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PP NAGATA DAN YAKIN" sheetId="1" r:id="rId4"/>
    <sheet state="visible" name="Nagata Tuna" sheetId="2" r:id="rId5"/>
    <sheet state="visible" name="Persediaan &amp; HPP Cakalang A-B" sheetId="3" r:id="rId6"/>
    <sheet state="visible" name="Persediaan &amp; HPP Cakalang PP" sheetId="4" r:id="rId7"/>
    <sheet state="visible" name="Yakin Pasifik Tuna" sheetId="5" r:id="rId8"/>
    <sheet state="visible" name="Persediaan &amp; HPP Ca A-B YPT" sheetId="6" r:id="rId9"/>
    <sheet state="visible" name="Persediaan &amp; HPP Ca A-B YPT (2)" sheetId="7" r:id="rId10"/>
    <sheet state="hidden" name="Persediaan &amp; HPP Ca A-B YPT (3" sheetId="8" r:id="rId11"/>
    <sheet state="visible" name="Persediaan &amp; HPP DH A-B YPT " sheetId="9" r:id="rId12"/>
    <sheet state="hidden" name="Persediaan &amp; HPP DH A-B YPT (2" sheetId="10" r:id="rId13"/>
    <sheet state="visible" name="Persediaan &amp; HPP Ca PP YPT " sheetId="11" r:id="rId14"/>
    <sheet state="hidden" name="Persediaan &amp; HPP Ca PP YPT  (2" sheetId="12" r:id="rId15"/>
    <sheet state="visible" name="Persediaan &amp; HPP DH PP YPT " sheetId="13" r:id="rId16"/>
    <sheet state="hidden" name="Persediaan &amp; HPP DH PP YPT  (2" sheetId="14" r:id="rId17"/>
    <sheet state="visible" name="Persediaan &amp; HPP Ca RC YPT " sheetId="15" r:id="rId18"/>
    <sheet state="hidden" name="Persediaan &amp; HPP Ca RC YPT  (2" sheetId="16" r:id="rId19"/>
    <sheet state="visible" name="Sheet1" sheetId="17" r:id="rId20"/>
  </sheets>
  <externalReferences>
    <externalReference r:id="rId21"/>
    <externalReference r:id="rId22"/>
    <externalReference r:id="rId23"/>
  </externalReferences>
  <definedNames/>
  <calcPr/>
  <extLst>
    <ext uri="GoogleSheetsCustomDataVersion2">
      <go:sheetsCustomData xmlns:go="http://customooxmlschemas.google.com/" r:id="rId24" roundtripDataChecksum="zubENLel4+8Gy9SmGp5/CpNOXLg1/+S6tv6HBHszhME="/>
    </ext>
  </extLst>
</workbook>
</file>

<file path=xl/sharedStrings.xml><?xml version="1.0" encoding="utf-8"?>
<sst xmlns="http://schemas.openxmlformats.org/spreadsheetml/2006/main" count="492" uniqueCount="108">
  <si>
    <t>HPP CS YAKIN PASIFIK TUNA</t>
  </si>
  <si>
    <t>HPP CS NAGATA TUNA</t>
  </si>
  <si>
    <t>No</t>
  </si>
  <si>
    <t>Jenis</t>
  </si>
  <si>
    <t>Grade</t>
  </si>
  <si>
    <t>Size (gr)</t>
  </si>
  <si>
    <t xml:space="preserve">HPP </t>
  </si>
  <si>
    <t>HPP + Ekspedisi</t>
  </si>
  <si>
    <t>Estimasi Harga Jual</t>
  </si>
  <si>
    <t>Baby tuna</t>
  </si>
  <si>
    <t>A</t>
  </si>
  <si>
    <t>100-500</t>
  </si>
  <si>
    <t>500-1000</t>
  </si>
  <si>
    <t>1000-UP</t>
  </si>
  <si>
    <t>B</t>
  </si>
  <si>
    <t>PP</t>
  </si>
  <si>
    <t>Cakalang</t>
  </si>
  <si>
    <t>Deiho</t>
  </si>
  <si>
    <t>200-600</t>
  </si>
  <si>
    <t>600-1000</t>
  </si>
  <si>
    <t>RC</t>
  </si>
  <si>
    <t>KOREKSI REKAPITULASI PEMBELIAN PERSEDIAAN DI NAGATA TUNA</t>
  </si>
  <si>
    <t xml:space="preserve">      </t>
  </si>
  <si>
    <t>Tanggal</t>
  </si>
  <si>
    <t>TOTAL TONASE</t>
  </si>
  <si>
    <t>Kuota (A&amp;B) kg Harga 14000</t>
  </si>
  <si>
    <t>Kuota (A&amp;B) kg Harga 13000</t>
  </si>
  <si>
    <t>Kuota (A&amp;B) kg Harga 12000</t>
  </si>
  <si>
    <t>Kuota (A&amp;B) kg Harga 11000</t>
  </si>
  <si>
    <t>Kuota (A&amp;B) kg Harga 10000</t>
  </si>
  <si>
    <t>Kuota (A&amp;B) kg Harga 9000</t>
  </si>
  <si>
    <t>Kuota (A8B) kg Harga 8000</t>
  </si>
  <si>
    <t>susut proses   kg</t>
  </si>
  <si>
    <t>Kuota (PP) kg Harga 7000</t>
  </si>
  <si>
    <t>Perolehan Cakalang A-B</t>
  </si>
  <si>
    <t>Perolehan Cakalang PP</t>
  </si>
  <si>
    <t>Keranjang raga</t>
  </si>
  <si>
    <t>Es balok</t>
  </si>
  <si>
    <t>Lansir         pelabuhan-pabrik</t>
  </si>
  <si>
    <t>Jasa muat pelabuhan</t>
  </si>
  <si>
    <t>Jasa beli</t>
  </si>
  <si>
    <t>Jasa pembekuan</t>
  </si>
  <si>
    <t>Biaya Perolehan tanpa Pembekuan</t>
  </si>
  <si>
    <t>Jumlah ops</t>
  </si>
  <si>
    <t>Ops Cakalang (per kg)</t>
  </si>
  <si>
    <t>BPP Ca A-B</t>
  </si>
  <si>
    <t>BPP Ca PP</t>
  </si>
  <si>
    <t>Diskon Susut</t>
  </si>
  <si>
    <t>Sabtu</t>
  </si>
  <si>
    <t>Minggu</t>
  </si>
  <si>
    <t>Senin</t>
  </si>
  <si>
    <t>Rabu</t>
  </si>
  <si>
    <t>Kamis</t>
  </si>
  <si>
    <t>Jumat</t>
  </si>
  <si>
    <t>TOTAL</t>
  </si>
  <si>
    <t>selasa</t>
  </si>
  <si>
    <t>Selasa</t>
  </si>
  <si>
    <t>rabu</t>
  </si>
  <si>
    <t>GRAND TOTAL</t>
  </si>
  <si>
    <t>Catatan</t>
  </si>
  <si>
    <t>Biaya Jasa Pembekuan</t>
  </si>
  <si>
    <t>/kg</t>
  </si>
  <si>
    <t>Jasa ongkos kriim</t>
  </si>
  <si>
    <t>KOREKSI KARTU PERSEDIAAN CAKALANG A-B</t>
  </si>
  <si>
    <t>Nama Item: Ikan Cakalang A&amp;B</t>
  </si>
  <si>
    <t>AVERAGE</t>
  </si>
  <si>
    <t>Pembelian</t>
  </si>
  <si>
    <t>Beban pokok penjualan</t>
  </si>
  <si>
    <t>Persediaan</t>
  </si>
  <si>
    <t>Kuota (kg)</t>
  </si>
  <si>
    <t>Harga/unit</t>
  </si>
  <si>
    <t>Total harga</t>
  </si>
  <si>
    <t xml:space="preserve"> </t>
  </si>
  <si>
    <t>KOREKSI KARTU PERSEDIAAN CAKALANG PP</t>
  </si>
  <si>
    <t>Nama Item: Ikan Cakalang PP</t>
  </si>
  <si>
    <t>KOREKSI REKAPITULASI PERSEDIAAN DI YAKIN PASIFIK TUNA</t>
  </si>
  <si>
    <t>TOTAL TONASE (KG)</t>
  </si>
  <si>
    <t xml:space="preserve">Kuota  (PP) </t>
  </si>
  <si>
    <t xml:space="preserve">Kuota  (RC) </t>
  </si>
  <si>
    <t>Perolehan Cakalang RC</t>
  </si>
  <si>
    <t>Jumlah Ops</t>
  </si>
  <si>
    <t>Ops per kg</t>
  </si>
  <si>
    <t>Harga Jual Ca A-B</t>
  </si>
  <si>
    <t>Harga Jual Ca PP</t>
  </si>
  <si>
    <t>Harga Jual Ca RC</t>
  </si>
  <si>
    <t xml:space="preserve">Kuota (A&amp;B) 1kg up </t>
  </si>
  <si>
    <t>Kuota (A&amp;B) 5-9 gr</t>
  </si>
  <si>
    <t>Kuota (A&amp;B) 1-5gr</t>
  </si>
  <si>
    <t xml:space="preserve">Kuota DH (A&amp;B) </t>
  </si>
  <si>
    <t xml:space="preserve">Kuota ca  (PP) </t>
  </si>
  <si>
    <t xml:space="preserve">Kuota dh  (PP) </t>
  </si>
  <si>
    <t xml:space="preserve">Perolehan Ca A-B </t>
  </si>
  <si>
    <t xml:space="preserve">Perolehan DH A-B </t>
  </si>
  <si>
    <t>Perolehan    Deiho PP</t>
  </si>
  <si>
    <t>Harga Jual DH A-B</t>
  </si>
  <si>
    <t>Harga Jual Dh PP</t>
  </si>
  <si>
    <t xml:space="preserve">Catatan </t>
  </si>
  <si>
    <t>Jasa Beku 3000/kg</t>
  </si>
  <si>
    <t>Jasa Beku 2834/kg (per 8 okt)</t>
  </si>
  <si>
    <t>KOREKSI KARTU PERSEDIAAN CAKALANG A-B keseluruhan</t>
  </si>
  <si>
    <t>KOREKSI KARTU PERSEDIAAN CAKALANG A-B 1kg - up</t>
  </si>
  <si>
    <t>KOREKSI KARTU PERSEDIAAN DEIHO A-B</t>
  </si>
  <si>
    <t>KOREKSI KARTU PERSEDIAAN DEIHO PP</t>
  </si>
  <si>
    <t>KOREKSI KARTU PERSEDIAAN CAKALANG RC</t>
  </si>
  <si>
    <t>TANGGAL</t>
  </si>
  <si>
    <t xml:space="preserve">CAKALANG </t>
  </si>
  <si>
    <t>DEIHO</t>
  </si>
  <si>
    <t>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</si>
</sst>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* #,##0_);_(* \(#,##0\);_(* &quot;-&quot;_);_(@_)"/>
    <numFmt numFmtId="165" formatCode="_(* #,##0.00_);_(* \(#,##0.00\);_(* &quot;-&quot;_);_(@_)"/>
    <numFmt numFmtId="166" formatCode="#,##0;[Red]#,##0"/>
    <numFmt numFmtId="167" formatCode="_-&quot;Rp&quot;* #,##0.00_-;\-&quot;Rp&quot;* #,##0.00_-;_-&quot;Rp&quot;* &quot;-&quot;??_-;_-@"/>
    <numFmt numFmtId="168" formatCode="_(* #,##0.000_);_(* \(#,##0.000\);_(* &quot;-&quot;_);_(@_)"/>
    <numFmt numFmtId="169" formatCode="_(* #,##0_);_(* \(#,##0\);_(* &quot;-&quot;??_);_(@_)"/>
    <numFmt numFmtId="170" formatCode="_-* #,##0.00_-;\-* #,##0.00_-;_-* &quot;-&quot;??_-;_-@"/>
    <numFmt numFmtId="171" formatCode="_-* #,##0_-;\-* #,##0_-;_-* &quot;-&quot;_-;_-@"/>
    <numFmt numFmtId="172" formatCode="_(* #.##0.00_);_(* \(#.##0.00\);_(* &quot;-&quot;??_);_(@_)"/>
  </numFmts>
  <fonts count="16">
    <font>
      <sz val="12.0"/>
      <color theme="1"/>
      <name val="Calibri"/>
      <scheme val="minor"/>
    </font>
    <font>
      <color theme="1"/>
      <name val="Calibri"/>
      <scheme val="minor"/>
    </font>
    <font>
      <b/>
      <sz val="14.0"/>
      <color theme="1"/>
      <name val="Calibri"/>
      <scheme val="minor"/>
    </font>
    <font>
      <sz val="12.0"/>
      <color rgb="FFFFFFFF"/>
      <name val="Calibri"/>
      <scheme val="minor"/>
    </font>
    <font>
      <color rgb="FFFFFFFF"/>
      <name val="Calibri"/>
      <scheme val="minor"/>
    </font>
    <font/>
    <font>
      <sz val="11.0"/>
      <color theme="1"/>
      <name val="Calibri"/>
      <scheme val="minor"/>
    </font>
    <font>
      <b/>
      <sz val="20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sz val="14.0"/>
      <color theme="1"/>
      <name val="Calibri"/>
    </font>
    <font>
      <b/>
      <u/>
      <sz val="16.0"/>
      <color theme="1"/>
      <name val="Calibri"/>
    </font>
    <font>
      <sz val="16.0"/>
      <color theme="1"/>
      <name val="Calibri"/>
    </font>
    <font>
      <b/>
      <sz val="11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rgb="FF92D050"/>
      </patternFill>
    </fill>
    <fill>
      <patternFill patternType="solid">
        <fgColor rgb="FF5B9BD5"/>
        <bgColor rgb="FF5B9BD5"/>
      </patternFill>
    </fill>
    <fill>
      <patternFill patternType="solid">
        <fgColor rgb="FFA365D1"/>
        <bgColor rgb="FFA365D1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BE4D5"/>
        <bgColor rgb="FFFBE4D5"/>
      </patternFill>
    </fill>
    <fill>
      <patternFill patternType="solid">
        <fgColor rgb="FF2BBBA3"/>
        <bgColor rgb="FF2BBBA3"/>
      </patternFill>
    </fill>
    <fill>
      <patternFill patternType="solid">
        <fgColor rgb="FFFF33CC"/>
        <bgColor rgb="FFFF33CC"/>
      </patternFill>
    </fill>
    <fill>
      <patternFill patternType="solid">
        <fgColor rgb="FF6AA84F"/>
        <bgColor rgb="FF6AA84F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3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2" fillId="4" fontId="0" numFmtId="0" xfId="0" applyAlignment="1" applyBorder="1" applyFill="1" applyFont="1">
      <alignment horizontal="center" readingOrder="0" vertical="center"/>
    </xf>
    <xf borderId="1" fillId="4" fontId="0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horizontal="center" readingOrder="0"/>
    </xf>
    <xf borderId="2" fillId="4" fontId="1" numFmtId="164" xfId="0" applyBorder="1" applyFont="1" applyNumberFormat="1"/>
    <xf borderId="1" fillId="4" fontId="1" numFmtId="164" xfId="0" applyBorder="1" applyFont="1" applyNumberFormat="1"/>
    <xf borderId="4" fillId="4" fontId="1" numFmtId="0" xfId="0" applyBorder="1" applyFont="1"/>
    <xf borderId="2" fillId="4" fontId="1" numFmtId="165" xfId="0" applyBorder="1" applyFont="1" applyNumberFormat="1"/>
    <xf borderId="1" fillId="4" fontId="1" numFmtId="165" xfId="0" applyBorder="1" applyFont="1" applyNumberFormat="1"/>
    <xf borderId="4" fillId="4" fontId="1" numFmtId="165" xfId="0" applyBorder="1" applyFont="1" applyNumberFormat="1"/>
    <xf borderId="5" fillId="5" fontId="5" numFmtId="0" xfId="0" applyBorder="1" applyFill="1" applyFont="1"/>
    <xf borderId="6" fillId="5" fontId="5" numFmtId="0" xfId="0" applyBorder="1" applyFont="1"/>
    <xf borderId="0" fillId="4" fontId="1" numFmtId="0" xfId="0" applyAlignment="1" applyFont="1">
      <alignment horizontal="center" readingOrder="0"/>
    </xf>
    <xf borderId="5" fillId="4" fontId="1" numFmtId="164" xfId="0" applyBorder="1" applyFont="1" applyNumberFormat="1"/>
    <xf borderId="6" fillId="4" fontId="1" numFmtId="164" xfId="0" applyBorder="1" applyFont="1" applyNumberFormat="1"/>
    <xf borderId="7" fillId="4" fontId="1" numFmtId="0" xfId="0" applyBorder="1" applyFont="1"/>
    <xf borderId="5" fillId="4" fontId="1" numFmtId="165" xfId="0" applyBorder="1" applyFont="1" applyNumberFormat="1"/>
    <xf borderId="6" fillId="4" fontId="1" numFmtId="165" xfId="0" applyBorder="1" applyFont="1" applyNumberFormat="1"/>
    <xf borderId="7" fillId="4" fontId="1" numFmtId="165" xfId="0" applyBorder="1" applyFont="1" applyNumberFormat="1"/>
    <xf borderId="5" fillId="4" fontId="5" numFmtId="0" xfId="0" applyBorder="1" applyFont="1"/>
    <xf borderId="6" fillId="4" fontId="5" numFmtId="0" xfId="0" applyBorder="1" applyFont="1"/>
    <xf borderId="1" fillId="6" fontId="0" numFmtId="0" xfId="0" applyAlignment="1" applyBorder="1" applyFill="1" applyFont="1">
      <alignment horizontal="center" readingOrder="0" vertical="center"/>
    </xf>
    <xf borderId="2" fillId="6" fontId="0" numFmtId="0" xfId="0" applyAlignment="1" applyBorder="1" applyFont="1">
      <alignment vertical="center"/>
    </xf>
    <xf borderId="2" fillId="6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readingOrder="0"/>
    </xf>
    <xf borderId="3" fillId="6" fontId="1" numFmtId="164" xfId="0" applyBorder="1" applyFont="1" applyNumberFormat="1"/>
    <xf borderId="1" fillId="6" fontId="1" numFmtId="164" xfId="0" applyBorder="1" applyFont="1" applyNumberFormat="1"/>
    <xf borderId="4" fillId="6" fontId="1" numFmtId="0" xfId="0" applyBorder="1" applyFont="1"/>
    <xf borderId="1" fillId="7" fontId="0" numFmtId="0" xfId="0" applyAlignment="1" applyBorder="1" applyFill="1" applyFont="1">
      <alignment horizontal="center" readingOrder="0" vertical="center"/>
    </xf>
    <xf borderId="2" fillId="7" fontId="0" numFmtId="0" xfId="0" applyAlignment="1" applyBorder="1" applyFont="1">
      <alignment vertical="center"/>
    </xf>
    <xf borderId="2" fillId="7" fontId="1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/>
    </xf>
    <xf borderId="3" fillId="7" fontId="1" numFmtId="165" xfId="0" applyBorder="1" applyFont="1" applyNumberFormat="1"/>
    <xf borderId="1" fillId="7" fontId="1" numFmtId="165" xfId="0" applyBorder="1" applyFont="1" applyNumberFormat="1"/>
    <xf borderId="4" fillId="7" fontId="1" numFmtId="165" xfId="0" applyBorder="1" applyFont="1" applyNumberFormat="1"/>
    <xf borderId="6" fillId="6" fontId="1" numFmtId="0" xfId="0" applyAlignment="1" applyBorder="1" applyFont="1">
      <alignment horizontal="center" readingOrder="0"/>
    </xf>
    <xf borderId="0" fillId="6" fontId="1" numFmtId="164" xfId="0" applyFont="1" applyNumberFormat="1"/>
    <xf borderId="6" fillId="6" fontId="1" numFmtId="164" xfId="0" applyBorder="1" applyFont="1" applyNumberFormat="1"/>
    <xf borderId="7" fillId="6" fontId="1" numFmtId="0" xfId="0" applyBorder="1" applyFont="1"/>
    <xf borderId="6" fillId="7" fontId="1" numFmtId="0" xfId="0" applyAlignment="1" applyBorder="1" applyFont="1">
      <alignment horizontal="center" readingOrder="0"/>
    </xf>
    <xf borderId="0" fillId="7" fontId="1" numFmtId="165" xfId="0" applyFont="1" applyNumberFormat="1"/>
    <xf borderId="6" fillId="7" fontId="1" numFmtId="165" xfId="0" applyBorder="1" applyFont="1" applyNumberFormat="1"/>
    <xf borderId="7" fillId="7" fontId="1" numFmtId="165" xfId="0" applyBorder="1" applyFont="1" applyNumberFormat="1"/>
    <xf borderId="8" fillId="6" fontId="1" numFmtId="164" xfId="0" applyBorder="1" applyFont="1" applyNumberFormat="1"/>
    <xf borderId="8" fillId="7" fontId="1" numFmtId="165" xfId="0" applyBorder="1" applyFont="1" applyNumberFormat="1"/>
    <xf borderId="1" fillId="4" fontId="0" numFmtId="0" xfId="0" applyAlignment="1" applyBorder="1" applyFont="1">
      <alignment vertical="center"/>
    </xf>
    <xf borderId="3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readingOrder="0"/>
    </xf>
    <xf borderId="3" fillId="4" fontId="1" numFmtId="164" xfId="0" applyBorder="1" applyFont="1" applyNumberFormat="1"/>
    <xf borderId="3" fillId="4" fontId="1" numFmtId="165" xfId="0" applyBorder="1" applyFont="1" applyNumberFormat="1"/>
    <xf borderId="6" fillId="4" fontId="1" numFmtId="0" xfId="0" applyAlignment="1" applyBorder="1" applyFont="1">
      <alignment horizontal="center" readingOrder="0"/>
    </xf>
    <xf borderId="0" fillId="4" fontId="1" numFmtId="164" xfId="0" applyFont="1" applyNumberFormat="1"/>
    <xf borderId="0" fillId="4" fontId="1" numFmtId="165" xfId="0" applyFont="1" applyNumberFormat="1"/>
    <xf borderId="9" fillId="4" fontId="5" numFmtId="0" xfId="0" applyBorder="1" applyFont="1"/>
    <xf borderId="8" fillId="4" fontId="5" numFmtId="0" xfId="0" applyBorder="1" applyFont="1"/>
    <xf borderId="10" fillId="4" fontId="5" numFmtId="0" xfId="0" applyBorder="1" applyFont="1"/>
    <xf borderId="8" fillId="4" fontId="1" numFmtId="0" xfId="0" applyAlignment="1" applyBorder="1" applyFont="1">
      <alignment horizontal="center" readingOrder="0"/>
    </xf>
    <xf borderId="10" fillId="4" fontId="1" numFmtId="164" xfId="0" applyBorder="1" applyFont="1" applyNumberFormat="1"/>
    <xf borderId="11" fillId="4" fontId="1" numFmtId="0" xfId="0" applyBorder="1" applyFont="1"/>
    <xf borderId="10" fillId="4" fontId="1" numFmtId="165" xfId="0" applyBorder="1" applyFont="1" applyNumberFormat="1"/>
    <xf borderId="11" fillId="4" fontId="1" numFmtId="165" xfId="0" applyBorder="1" applyFont="1" applyNumberFormat="1"/>
    <xf borderId="2" fillId="6" fontId="0" numFmtId="0" xfId="0" applyAlignment="1" applyBorder="1" applyFont="1">
      <alignment horizontal="center" readingOrder="0" vertical="center"/>
    </xf>
    <xf borderId="1" fillId="6" fontId="0" numFmtId="0" xfId="0" applyAlignment="1" applyBorder="1" applyFont="1">
      <alignment readingOrder="0" vertical="center"/>
    </xf>
    <xf borderId="1" fillId="6" fontId="1" numFmtId="0" xfId="0" applyAlignment="1" applyBorder="1" applyFont="1">
      <alignment horizontal="center" readingOrder="0" vertical="center"/>
    </xf>
    <xf borderId="3" fillId="6" fontId="1" numFmtId="0" xfId="0" applyAlignment="1" applyBorder="1" applyFont="1">
      <alignment horizontal="center" readingOrder="0"/>
    </xf>
    <xf borderId="2" fillId="6" fontId="1" numFmtId="164" xfId="0" applyBorder="1" applyFont="1" applyNumberFormat="1"/>
    <xf borderId="2" fillId="7" fontId="0" numFmtId="0" xfId="0" applyAlignment="1" applyBorder="1" applyFont="1">
      <alignment horizontal="center" readingOrder="0" vertical="center"/>
    </xf>
    <xf borderId="1" fillId="7" fontId="0" numFmtId="0" xfId="0" applyAlignment="1" applyBorder="1" applyFont="1">
      <alignment readingOrder="0" vertical="center"/>
    </xf>
    <xf borderId="1" fillId="7" fontId="1" numFmtId="0" xfId="0" applyAlignment="1" applyBorder="1" applyFont="1">
      <alignment horizontal="center" readingOrder="0" vertical="center"/>
    </xf>
    <xf borderId="3" fillId="7" fontId="1" numFmtId="0" xfId="0" applyAlignment="1" applyBorder="1" applyFont="1">
      <alignment horizontal="center" readingOrder="0"/>
    </xf>
    <xf borderId="2" fillId="7" fontId="1" numFmtId="165" xfId="0" applyBorder="1" applyFont="1" applyNumberFormat="1"/>
    <xf borderId="5" fillId="0" fontId="5" numFmtId="0" xfId="0" applyBorder="1" applyFont="1"/>
    <xf borderId="6" fillId="0" fontId="5" numFmtId="0" xfId="0" applyBorder="1" applyFont="1"/>
    <xf borderId="0" fillId="6" fontId="1" numFmtId="0" xfId="0" applyAlignment="1" applyFont="1">
      <alignment horizontal="center" readingOrder="0"/>
    </xf>
    <xf borderId="5" fillId="6" fontId="1" numFmtId="164" xfId="0" applyBorder="1" applyFont="1" applyNumberFormat="1"/>
    <xf borderId="0" fillId="7" fontId="1" numFmtId="0" xfId="0" applyAlignment="1" applyFont="1">
      <alignment horizontal="center" readingOrder="0"/>
    </xf>
    <xf borderId="5" fillId="7" fontId="1" numFmtId="165" xfId="0" applyBorder="1" applyFont="1" applyNumberFormat="1"/>
    <xf borderId="1" fillId="4" fontId="0" numFmtId="0" xfId="0" applyAlignment="1" applyBorder="1" applyFont="1">
      <alignment horizontal="center" readingOrder="0" vertical="center"/>
    </xf>
    <xf borderId="2" fillId="4" fontId="0" numFmtId="0" xfId="0" applyAlignment="1" applyBorder="1" applyFont="1">
      <alignment vertical="center"/>
    </xf>
    <xf borderId="2" fillId="4" fontId="1" numFmtId="0" xfId="0" applyAlignment="1" applyBorder="1" applyFont="1">
      <alignment horizontal="center" readingOrder="0" vertical="center"/>
    </xf>
    <xf borderId="0" fillId="4" fontId="1" numFmtId="0" xfId="0" applyFont="1"/>
    <xf borderId="1" fillId="6" fontId="0" numFmtId="0" xfId="0" applyAlignment="1" applyBorder="1" applyFont="1">
      <alignment vertical="center"/>
    </xf>
    <xf borderId="3" fillId="6" fontId="1" numFmtId="0" xfId="0" applyAlignment="1" applyBorder="1" applyFont="1">
      <alignment horizontal="center" readingOrder="0" vertical="center"/>
    </xf>
    <xf borderId="1" fillId="7" fontId="0" numFmtId="0" xfId="0" applyAlignment="1" applyBorder="1" applyFont="1">
      <alignment vertical="center"/>
    </xf>
    <xf borderId="3" fillId="7" fontId="1" numFmtId="0" xfId="0" applyAlignment="1" applyBorder="1" applyFont="1">
      <alignment horizontal="center" readingOrder="0" vertical="center"/>
    </xf>
    <xf borderId="9" fillId="0" fontId="5" numFmtId="0" xfId="0" applyBorder="1" applyFont="1"/>
    <xf borderId="8" fillId="0" fontId="5" numFmtId="0" xfId="0" applyBorder="1" applyFont="1"/>
    <xf borderId="10" fillId="0" fontId="5" numFmtId="0" xfId="0" applyBorder="1" applyFont="1"/>
    <xf borderId="8" fillId="6" fontId="1" numFmtId="0" xfId="0" applyAlignment="1" applyBorder="1" applyFont="1">
      <alignment horizontal="center" readingOrder="0"/>
    </xf>
    <xf borderId="10" fillId="6" fontId="1" numFmtId="164" xfId="0" applyBorder="1" applyFont="1" applyNumberFormat="1"/>
    <xf borderId="11" fillId="6" fontId="1" numFmtId="0" xfId="0" applyBorder="1" applyFont="1"/>
    <xf borderId="8" fillId="7" fontId="1" numFmtId="0" xfId="0" applyAlignment="1" applyBorder="1" applyFont="1">
      <alignment horizontal="center" readingOrder="0"/>
    </xf>
    <xf borderId="10" fillId="7" fontId="1" numFmtId="165" xfId="0" applyBorder="1" applyFont="1" applyNumberFormat="1"/>
    <xf borderId="11" fillId="7" fontId="1" numFmtId="165" xfId="0" applyBorder="1" applyFont="1" applyNumberFormat="1"/>
    <xf borderId="1" fillId="4" fontId="0" numFmtId="0" xfId="0" applyAlignment="1" applyBorder="1" applyFont="1">
      <alignment readingOrder="0" vertical="center"/>
    </xf>
    <xf borderId="4" fillId="4" fontId="1" numFmtId="165" xfId="0" applyBorder="1" applyFont="1" applyNumberFormat="1"/>
    <xf borderId="8" fillId="4" fontId="1" numFmtId="165" xfId="0" applyBorder="1" applyFont="1" applyNumberFormat="1"/>
    <xf borderId="12" fillId="6" fontId="0" numFmtId="0" xfId="0" applyAlignment="1" applyBorder="1" applyFont="1">
      <alignment horizontal="center" readingOrder="0"/>
    </xf>
    <xf borderId="12" fillId="6" fontId="0" numFmtId="0" xfId="0" applyAlignment="1" applyBorder="1" applyFont="1">
      <alignment readingOrder="0"/>
    </xf>
    <xf borderId="12" fillId="6" fontId="6" numFmtId="0" xfId="0" applyAlignment="1" applyBorder="1" applyFont="1">
      <alignment horizontal="center" readingOrder="0"/>
    </xf>
    <xf borderId="12" fillId="6" fontId="1" numFmtId="0" xfId="0" applyAlignment="1" applyBorder="1" applyFont="1">
      <alignment horizontal="center"/>
    </xf>
    <xf borderId="13" fillId="6" fontId="1" numFmtId="164" xfId="0" applyBorder="1" applyFont="1" applyNumberFormat="1"/>
    <xf borderId="12" fillId="6" fontId="1" numFmtId="164" xfId="0" applyBorder="1" applyFont="1" applyNumberFormat="1"/>
    <xf borderId="14" fillId="6" fontId="1" numFmtId="0" xfId="0" applyBorder="1" applyFont="1"/>
    <xf borderId="0" fillId="0" fontId="7" numFmtId="0" xfId="0" applyAlignment="1" applyFont="1">
      <alignment horizontal="center" vertical="center"/>
    </xf>
    <xf borderId="1" fillId="8" fontId="8" numFmtId="0" xfId="0" applyAlignment="1" applyBorder="1" applyFill="1" applyFont="1">
      <alignment horizontal="center" vertical="center"/>
    </xf>
    <xf borderId="1" fillId="8" fontId="8" numFmtId="0" xfId="0" applyAlignment="1" applyBorder="1" applyFont="1">
      <alignment horizontal="center" readingOrder="0" vertical="center"/>
    </xf>
    <xf borderId="1" fillId="9" fontId="8" numFmtId="0" xfId="0" applyAlignment="1" applyBorder="1" applyFill="1" applyFont="1">
      <alignment horizontal="center" shrinkToFit="0" vertical="center" wrapText="1"/>
    </xf>
    <xf borderId="1" fillId="10" fontId="8" numFmtId="0" xfId="0" applyAlignment="1" applyBorder="1" applyFill="1" applyFont="1">
      <alignment horizontal="center" shrinkToFit="0" vertical="center" wrapText="1"/>
    </xf>
    <xf borderId="1" fillId="11" fontId="8" numFmtId="164" xfId="0" applyAlignment="1" applyBorder="1" applyFill="1" applyFont="1" applyNumberFormat="1">
      <alignment horizontal="center" shrinkToFit="0" vertical="center" wrapText="1"/>
    </xf>
    <xf borderId="1" fillId="12" fontId="8" numFmtId="164" xfId="0" applyAlignment="1" applyBorder="1" applyFill="1" applyFont="1" applyNumberFormat="1">
      <alignment horizontal="center" shrinkToFit="0" vertical="center" wrapText="1"/>
    </xf>
    <xf borderId="1" fillId="13" fontId="8" numFmtId="164" xfId="0" applyAlignment="1" applyBorder="1" applyFill="1" applyFont="1" applyNumberFormat="1">
      <alignment horizontal="center" shrinkToFit="0" vertical="center" wrapText="1"/>
    </xf>
    <xf borderId="1" fillId="14" fontId="8" numFmtId="164" xfId="0" applyAlignment="1" applyBorder="1" applyFill="1" applyFont="1" applyNumberFormat="1">
      <alignment horizontal="center" shrinkToFit="0" vertical="center" wrapText="1"/>
    </xf>
    <xf borderId="1" fillId="14" fontId="8" numFmtId="164" xfId="0" applyAlignment="1" applyBorder="1" applyFont="1" applyNumberFormat="1">
      <alignment horizontal="center" vertical="center"/>
    </xf>
    <xf borderId="1" fillId="15" fontId="8" numFmtId="164" xfId="0" applyAlignment="1" applyBorder="1" applyFill="1" applyFont="1" applyNumberFormat="1">
      <alignment horizontal="center" shrinkToFit="0" vertical="center" wrapText="1"/>
    </xf>
    <xf borderId="0" fillId="0" fontId="9" numFmtId="164" xfId="0" applyFont="1" applyNumberFormat="1"/>
    <xf borderId="12" fillId="0" fontId="9" numFmtId="0" xfId="0" applyAlignment="1" applyBorder="1" applyFont="1">
      <alignment horizontal="center" vertical="center"/>
    </xf>
    <xf borderId="12" fillId="0" fontId="9" numFmtId="14" xfId="0" applyAlignment="1" applyBorder="1" applyFont="1" applyNumberFormat="1">
      <alignment horizontal="center" vertical="center"/>
    </xf>
    <xf borderId="12" fillId="0" fontId="9" numFmtId="166" xfId="0" applyAlignment="1" applyBorder="1" applyFont="1" applyNumberFormat="1">
      <alignment horizontal="right" vertical="center"/>
    </xf>
    <xf borderId="12" fillId="0" fontId="9" numFmtId="164" xfId="0" applyAlignment="1" applyBorder="1" applyFont="1" applyNumberFormat="1">
      <alignment horizontal="right" vertical="center"/>
    </xf>
    <xf borderId="12" fillId="0" fontId="9" numFmtId="164" xfId="0" applyAlignment="1" applyBorder="1" applyFont="1" applyNumberFormat="1">
      <alignment horizontal="right"/>
    </xf>
    <xf borderId="12" fillId="0" fontId="9" numFmtId="164" xfId="0" applyAlignment="1" applyBorder="1" applyFont="1" applyNumberFormat="1">
      <alignment horizontal="right" readingOrder="0"/>
    </xf>
    <xf borderId="12" fillId="16" fontId="9" numFmtId="166" xfId="0" applyAlignment="1" applyBorder="1" applyFill="1" applyFont="1" applyNumberFormat="1">
      <alignment horizontal="right" vertical="center"/>
    </xf>
    <xf borderId="13" fillId="17" fontId="10" numFmtId="0" xfId="0" applyAlignment="1" applyBorder="1" applyFill="1" applyFont="1">
      <alignment horizontal="center"/>
    </xf>
    <xf borderId="15" fillId="0" fontId="5" numFmtId="0" xfId="0" applyBorder="1" applyFont="1"/>
    <xf borderId="16" fillId="0" fontId="5" numFmtId="0" xfId="0" applyBorder="1" applyFont="1"/>
    <xf borderId="17" fillId="17" fontId="10" numFmtId="166" xfId="0" applyAlignment="1" applyBorder="1" applyFont="1" applyNumberFormat="1">
      <alignment horizontal="right" vertical="center"/>
    </xf>
    <xf borderId="12" fillId="17" fontId="9" numFmtId="164" xfId="0" applyAlignment="1" applyBorder="1" applyFont="1" applyNumberFormat="1">
      <alignment horizontal="right" vertical="center"/>
    </xf>
    <xf borderId="17" fillId="17" fontId="9" numFmtId="164" xfId="0" applyAlignment="1" applyBorder="1" applyFont="1" applyNumberFormat="1">
      <alignment horizontal="right" vertical="center"/>
    </xf>
    <xf borderId="12" fillId="14" fontId="10" numFmtId="164" xfId="0" applyAlignment="1" applyBorder="1" applyFont="1" applyNumberFormat="1">
      <alignment horizontal="right"/>
    </xf>
    <xf borderId="12" fillId="15" fontId="8" numFmtId="164" xfId="0" applyAlignment="1" applyBorder="1" applyFont="1" applyNumberFormat="1">
      <alignment horizontal="right"/>
    </xf>
    <xf borderId="8" fillId="0" fontId="9" numFmtId="166" xfId="0" applyAlignment="1" applyBorder="1" applyFont="1" applyNumberFormat="1">
      <alignment horizontal="right" vertical="center"/>
    </xf>
    <xf borderId="8" fillId="0" fontId="9" numFmtId="164" xfId="0" applyAlignment="1" applyBorder="1" applyFont="1" applyNumberFormat="1">
      <alignment horizontal="right" vertical="center"/>
    </xf>
    <xf borderId="12" fillId="18" fontId="9" numFmtId="14" xfId="0" applyAlignment="1" applyBorder="1" applyFill="1" applyFont="1" applyNumberFormat="1">
      <alignment horizontal="center" vertical="center"/>
    </xf>
    <xf borderId="12" fillId="16" fontId="9" numFmtId="14" xfId="0" applyAlignment="1" applyBorder="1" applyFont="1" applyNumberFormat="1">
      <alignment horizontal="center" vertical="center"/>
    </xf>
    <xf borderId="12" fillId="14" fontId="9" numFmtId="0" xfId="0" applyAlignment="1" applyBorder="1" applyFont="1">
      <alignment horizontal="center" vertical="center"/>
    </xf>
    <xf borderId="12" fillId="14" fontId="9" numFmtId="14" xfId="0" applyAlignment="1" applyBorder="1" applyFont="1" applyNumberFormat="1">
      <alignment horizontal="center" vertical="center"/>
    </xf>
    <xf borderId="12" fillId="14" fontId="9" numFmtId="164" xfId="0" applyAlignment="1" applyBorder="1" applyFont="1" applyNumberFormat="1">
      <alignment horizontal="right" vertical="center"/>
    </xf>
    <xf borderId="17" fillId="14" fontId="9" numFmtId="166" xfId="0" applyAlignment="1" applyBorder="1" applyFont="1" applyNumberFormat="1">
      <alignment horizontal="right" vertical="center"/>
    </xf>
    <xf borderId="12" fillId="14" fontId="9" numFmtId="166" xfId="0" applyAlignment="1" applyBorder="1" applyFont="1" applyNumberFormat="1">
      <alignment horizontal="right" vertical="center"/>
    </xf>
    <xf borderId="17" fillId="14" fontId="9" numFmtId="164" xfId="0" applyAlignment="1" applyBorder="1" applyFont="1" applyNumberFormat="1">
      <alignment horizontal="right" vertical="center"/>
    </xf>
    <xf borderId="12" fillId="14" fontId="9" numFmtId="164" xfId="0" applyAlignment="1" applyBorder="1" applyFont="1" applyNumberFormat="1">
      <alignment horizontal="right"/>
    </xf>
    <xf borderId="18" fillId="14" fontId="9" numFmtId="0" xfId="0" applyBorder="1" applyFont="1"/>
    <xf borderId="15" fillId="0" fontId="9" numFmtId="0" xfId="0" applyAlignment="1" applyBorder="1" applyFont="1">
      <alignment horizontal="center" vertical="center"/>
    </xf>
    <xf borderId="17" fillId="16" fontId="9" numFmtId="166" xfId="0" applyAlignment="1" applyBorder="1" applyFont="1" applyNumberFormat="1">
      <alignment horizontal="right" vertical="center"/>
    </xf>
    <xf borderId="12" fillId="17" fontId="10" numFmtId="164" xfId="0" applyAlignment="1" applyBorder="1" applyFont="1" applyNumberFormat="1">
      <alignment horizontal="right" vertical="center"/>
    </xf>
    <xf borderId="0" fillId="0" fontId="9" numFmtId="0" xfId="0" applyAlignment="1" applyFont="1">
      <alignment horizontal="center"/>
    </xf>
    <xf borderId="12" fillId="16" fontId="9" numFmtId="0" xfId="0" applyAlignment="1" applyBorder="1" applyFont="1">
      <alignment horizontal="center" vertical="center"/>
    </xf>
    <xf borderId="12" fillId="16" fontId="9" numFmtId="164" xfId="0" applyAlignment="1" applyBorder="1" applyFont="1" applyNumberFormat="1">
      <alignment horizontal="right" vertical="center"/>
    </xf>
    <xf borderId="12" fillId="16" fontId="9" numFmtId="164" xfId="0" applyAlignment="1" applyBorder="1" applyFont="1" applyNumberFormat="1">
      <alignment horizontal="right"/>
    </xf>
    <xf borderId="18" fillId="16" fontId="9" numFmtId="166" xfId="0" applyBorder="1" applyFont="1" applyNumberFormat="1"/>
    <xf borderId="18" fillId="16" fontId="9" numFmtId="0" xfId="0" applyBorder="1" applyFont="1"/>
    <xf borderId="19" fillId="17" fontId="10" numFmtId="0" xfId="0" applyAlignment="1" applyBorder="1" applyFont="1">
      <alignment horizontal="center"/>
    </xf>
    <xf borderId="20" fillId="17" fontId="10" numFmtId="0" xfId="0" applyAlignment="1" applyBorder="1" applyFont="1">
      <alignment horizontal="center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left"/>
    </xf>
    <xf borderId="12" fillId="16" fontId="9" numFmtId="14" xfId="0" applyAlignment="1" applyBorder="1" applyFont="1" applyNumberFormat="1">
      <alignment horizontal="center" readingOrder="0" vertical="center"/>
    </xf>
    <xf borderId="12" fillId="0" fontId="9" numFmtId="0" xfId="0" applyBorder="1" applyFont="1"/>
    <xf borderId="12" fillId="0" fontId="9" numFmtId="0" xfId="0" applyAlignment="1" applyBorder="1" applyFont="1">
      <alignment horizontal="left"/>
    </xf>
    <xf borderId="12" fillId="0" fontId="9" numFmtId="0" xfId="0" applyAlignment="1" applyBorder="1" applyFont="1">
      <alignment horizontal="center"/>
    </xf>
    <xf borderId="12" fillId="0" fontId="9" numFmtId="167" xfId="0" applyAlignment="1" applyBorder="1" applyFont="1" applyNumberFormat="1">
      <alignment horizontal="center"/>
    </xf>
    <xf quotePrefix="1" borderId="12" fillId="0" fontId="9" numFmtId="0" xfId="0" applyAlignment="1" applyBorder="1" applyFont="1">
      <alignment horizont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left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/>
    </xf>
    <xf borderId="0" fillId="0" fontId="1" numFmtId="0" xfId="0" applyFont="1"/>
    <xf borderId="0" fillId="0" fontId="12" numFmtId="0" xfId="0" applyFont="1"/>
    <xf borderId="0" fillId="0" fontId="13" numFmtId="0" xfId="0" applyAlignment="1" applyFont="1">
      <alignment horizontal="center"/>
    </xf>
    <xf borderId="0" fillId="0" fontId="14" numFmtId="0" xfId="0" applyAlignment="1" applyFont="1">
      <alignment horizontal="center" vertical="top"/>
    </xf>
    <xf borderId="0" fillId="0" fontId="10" numFmtId="0" xfId="0" applyAlignment="1" applyFont="1">
      <alignment horizontal="center"/>
    </xf>
    <xf borderId="0" fillId="0" fontId="8" numFmtId="0" xfId="0" applyFont="1"/>
    <xf borderId="0" fillId="0" fontId="11" numFmtId="0" xfId="0" applyAlignment="1" applyFont="1">
      <alignment horizontal="center"/>
    </xf>
    <xf borderId="0" fillId="0" fontId="11" numFmtId="164" xfId="0" applyFont="1" applyNumberFormat="1"/>
    <xf borderId="0" fillId="0" fontId="11" numFmtId="0" xfId="0" applyFont="1"/>
    <xf borderId="0" fillId="0" fontId="11" numFmtId="164" xfId="0" applyAlignment="1" applyFont="1" applyNumberFormat="1">
      <alignment horizontal="center" vertical="center"/>
    </xf>
    <xf borderId="0" fillId="0" fontId="11" numFmtId="165" xfId="0" applyAlignment="1" applyFont="1" applyNumberFormat="1">
      <alignment horizontal="center" vertical="center"/>
    </xf>
    <xf borderId="0" fillId="0" fontId="15" numFmtId="165" xfId="0" applyAlignment="1" applyFont="1" applyNumberFormat="1">
      <alignment horizontal="right"/>
    </xf>
    <xf borderId="21" fillId="8" fontId="15" numFmtId="0" xfId="0" applyAlignment="1" applyBorder="1" applyFont="1">
      <alignment horizontal="center" vertical="center"/>
    </xf>
    <xf borderId="13" fillId="9" fontId="15" numFmtId="0" xfId="0" applyAlignment="1" applyBorder="1" applyFont="1">
      <alignment horizontal="center" vertical="center"/>
    </xf>
    <xf borderId="14" fillId="0" fontId="5" numFmtId="0" xfId="0" applyBorder="1" applyFont="1"/>
    <xf borderId="13" fillId="17" fontId="15" numFmtId="0" xfId="0" applyAlignment="1" applyBorder="1" applyFont="1">
      <alignment horizontal="center" vertical="center"/>
    </xf>
    <xf borderId="13" fillId="19" fontId="15" numFmtId="0" xfId="0" applyAlignment="1" applyBorder="1" applyFill="1" applyFont="1">
      <alignment horizontal="center" vertical="center"/>
    </xf>
    <xf borderId="17" fillId="8" fontId="15" numFmtId="0" xfId="0" applyAlignment="1" applyBorder="1" applyFont="1">
      <alignment horizontal="center" vertical="center"/>
    </xf>
    <xf borderId="12" fillId="9" fontId="15" numFmtId="0" xfId="0" applyAlignment="1" applyBorder="1" applyFont="1">
      <alignment horizontal="center" vertical="center"/>
    </xf>
    <xf borderId="12" fillId="9" fontId="15" numFmtId="164" xfId="0" applyAlignment="1" applyBorder="1" applyFont="1" applyNumberFormat="1">
      <alignment horizontal="center" vertical="center"/>
    </xf>
    <xf borderId="12" fillId="17" fontId="15" numFmtId="0" xfId="0" applyAlignment="1" applyBorder="1" applyFont="1">
      <alignment horizontal="center" vertical="center"/>
    </xf>
    <xf borderId="12" fillId="17" fontId="15" numFmtId="164" xfId="0" applyAlignment="1" applyBorder="1" applyFont="1" applyNumberFormat="1">
      <alignment horizontal="center" vertical="center"/>
    </xf>
    <xf borderId="12" fillId="19" fontId="15" numFmtId="164" xfId="0" applyAlignment="1" applyBorder="1" applyFont="1" applyNumberFormat="1">
      <alignment horizontal="center" vertical="center"/>
    </xf>
    <xf borderId="12" fillId="19" fontId="15" numFmtId="165" xfId="0" applyAlignment="1" applyBorder="1" applyFont="1" applyNumberFormat="1">
      <alignment horizontal="center" vertical="center"/>
    </xf>
    <xf borderId="12" fillId="0" fontId="11" numFmtId="0" xfId="0" applyAlignment="1" applyBorder="1" applyFont="1">
      <alignment horizontal="center" vertical="center"/>
    </xf>
    <xf borderId="12" fillId="0" fontId="11" numFmtId="14" xfId="0" applyAlignment="1" applyBorder="1" applyFont="1" applyNumberFormat="1">
      <alignment horizontal="center" vertical="center"/>
    </xf>
    <xf borderId="12" fillId="0" fontId="11" numFmtId="166" xfId="0" applyAlignment="1" applyBorder="1" applyFont="1" applyNumberFormat="1">
      <alignment horizontal="right" vertical="center"/>
    </xf>
    <xf borderId="12" fillId="0" fontId="11" numFmtId="164" xfId="0" applyAlignment="1" applyBorder="1" applyFont="1" applyNumberFormat="1">
      <alignment horizontal="right"/>
    </xf>
    <xf borderId="12" fillId="0" fontId="11" numFmtId="165" xfId="0" applyAlignment="1" applyBorder="1" applyFont="1" applyNumberFormat="1">
      <alignment horizontal="right"/>
    </xf>
    <xf borderId="12" fillId="0" fontId="11" numFmtId="164" xfId="0" applyAlignment="1" applyBorder="1" applyFont="1" applyNumberFormat="1">
      <alignment horizontal="right" vertical="center"/>
    </xf>
    <xf borderId="12" fillId="0" fontId="11" numFmtId="165" xfId="0" applyAlignment="1" applyBorder="1" applyFont="1" applyNumberFormat="1">
      <alignment horizontal="right" vertical="center"/>
    </xf>
    <xf borderId="0" fillId="0" fontId="11" numFmtId="0" xfId="0" applyAlignment="1" applyFont="1">
      <alignment readingOrder="0"/>
    </xf>
    <xf borderId="0" fillId="0" fontId="11" numFmtId="165" xfId="0" applyFont="1" applyNumberFormat="1"/>
    <xf borderId="12" fillId="10" fontId="11" numFmtId="0" xfId="0" applyAlignment="1" applyBorder="1" applyFont="1">
      <alignment horizontal="center" vertical="center"/>
    </xf>
    <xf borderId="12" fillId="10" fontId="11" numFmtId="14" xfId="0" applyAlignment="1" applyBorder="1" applyFont="1" applyNumberFormat="1">
      <alignment horizontal="center" vertical="center"/>
    </xf>
    <xf borderId="12" fillId="10" fontId="11" numFmtId="166" xfId="0" applyAlignment="1" applyBorder="1" applyFont="1" applyNumberFormat="1">
      <alignment horizontal="right" vertical="center"/>
    </xf>
    <xf borderId="12" fillId="10" fontId="11" numFmtId="165" xfId="0" applyAlignment="1" applyBorder="1" applyFont="1" applyNumberFormat="1">
      <alignment horizontal="right"/>
    </xf>
    <xf borderId="12" fillId="10" fontId="11" numFmtId="164" xfId="0" applyAlignment="1" applyBorder="1" applyFont="1" applyNumberFormat="1">
      <alignment horizontal="right"/>
    </xf>
    <xf borderId="12" fillId="10" fontId="11" numFmtId="164" xfId="0" applyAlignment="1" applyBorder="1" applyFont="1" applyNumberFormat="1">
      <alignment horizontal="right" vertical="center"/>
    </xf>
    <xf borderId="12" fillId="10" fontId="11" numFmtId="165" xfId="0" applyAlignment="1" applyBorder="1" applyFont="1" applyNumberFormat="1">
      <alignment horizontal="right" vertical="center"/>
    </xf>
    <xf borderId="12" fillId="10" fontId="11" numFmtId="20" xfId="0" applyAlignment="1" applyBorder="1" applyFont="1" applyNumberFormat="1">
      <alignment horizontal="right" vertical="center"/>
    </xf>
    <xf borderId="0" fillId="0" fontId="9" numFmtId="3" xfId="0" applyFont="1" applyNumberFormat="1"/>
    <xf borderId="17" fillId="10" fontId="11" numFmtId="166" xfId="0" applyAlignment="1" applyBorder="1" applyFont="1" applyNumberFormat="1">
      <alignment horizontal="right" vertical="center"/>
    </xf>
    <xf borderId="18" fillId="10" fontId="9" numFmtId="0" xfId="0" applyBorder="1" applyFont="1"/>
    <xf borderId="18" fillId="10" fontId="9" numFmtId="166" xfId="0" applyBorder="1" applyFont="1" applyNumberFormat="1"/>
    <xf borderId="18" fillId="10" fontId="9" numFmtId="164" xfId="0" applyBorder="1" applyFont="1" applyNumberFormat="1"/>
    <xf borderId="18" fillId="10" fontId="9" numFmtId="3" xfId="0" applyBorder="1" applyFont="1" applyNumberFormat="1"/>
    <xf borderId="8" fillId="0" fontId="11" numFmtId="166" xfId="0" applyAlignment="1" applyBorder="1" applyFont="1" applyNumberFormat="1">
      <alignment horizontal="right" vertical="center"/>
    </xf>
    <xf borderId="0" fillId="0" fontId="9" numFmtId="166" xfId="0" applyFont="1" applyNumberFormat="1"/>
    <xf borderId="0" fillId="0" fontId="9" numFmtId="165" xfId="0" applyFont="1" applyNumberFormat="1"/>
    <xf borderId="12" fillId="10" fontId="11" numFmtId="168" xfId="0" applyAlignment="1" applyBorder="1" applyFont="1" applyNumberFormat="1">
      <alignment horizontal="right"/>
    </xf>
    <xf borderId="18" fillId="10" fontId="9" numFmtId="165" xfId="0" applyBorder="1" applyFont="1" applyNumberFormat="1"/>
    <xf borderId="12" fillId="0" fontId="11" numFmtId="0" xfId="0" applyAlignment="1" applyBorder="1" applyFont="1">
      <alignment horizontal="right"/>
    </xf>
    <xf borderId="12" fillId="10" fontId="9" numFmtId="0" xfId="0" applyBorder="1" applyFont="1"/>
    <xf borderId="12" fillId="10" fontId="11" numFmtId="0" xfId="0" applyAlignment="1" applyBorder="1" applyFont="1">
      <alignment horizontal="right"/>
    </xf>
    <xf borderId="18" fillId="10" fontId="9" numFmtId="169" xfId="0" applyBorder="1" applyFont="1" applyNumberFormat="1"/>
    <xf borderId="0" fillId="0" fontId="9" numFmtId="169" xfId="0" applyFont="1" applyNumberFormat="1"/>
    <xf borderId="12" fillId="0" fontId="11" numFmtId="14" xfId="0" applyAlignment="1" applyBorder="1" applyFont="1" applyNumberFormat="1">
      <alignment horizontal="center"/>
    </xf>
    <xf borderId="12" fillId="0" fontId="11" numFmtId="169" xfId="0" applyAlignment="1" applyBorder="1" applyFont="1" applyNumberFormat="1">
      <alignment horizontal="right"/>
    </xf>
    <xf borderId="12" fillId="10" fontId="11" numFmtId="14" xfId="0" applyAlignment="1" applyBorder="1" applyFont="1" applyNumberFormat="1">
      <alignment horizontal="center"/>
    </xf>
    <xf borderId="12" fillId="10" fontId="9" numFmtId="0" xfId="0" applyAlignment="1" applyBorder="1" applyFont="1">
      <alignment horizontal="right"/>
    </xf>
    <xf borderId="12" fillId="16" fontId="11" numFmtId="14" xfId="0" applyAlignment="1" applyBorder="1" applyFont="1" applyNumberFormat="1">
      <alignment horizontal="center" vertical="center"/>
    </xf>
    <xf borderId="12" fillId="0" fontId="9" numFmtId="164" xfId="0" applyBorder="1" applyFont="1" applyNumberFormat="1"/>
    <xf borderId="12" fillId="0" fontId="11" numFmtId="0" xfId="0" applyBorder="1" applyFont="1"/>
    <xf borderId="12" fillId="0" fontId="11" numFmtId="164" xfId="0" applyBorder="1" applyFont="1" applyNumberFormat="1"/>
    <xf borderId="12" fillId="10" fontId="11" numFmtId="164" xfId="0" applyBorder="1" applyFont="1" applyNumberFormat="1"/>
    <xf borderId="12" fillId="10" fontId="11" numFmtId="0" xfId="0" applyBorder="1" applyFont="1"/>
    <xf borderId="12" fillId="10" fontId="11" numFmtId="164" xfId="0" applyAlignment="1" applyBorder="1" applyFont="1" applyNumberFormat="1">
      <alignment horizontal="center" vertical="center"/>
    </xf>
    <xf borderId="12" fillId="10" fontId="11" numFmtId="165" xfId="0" applyAlignment="1" applyBorder="1" applyFont="1" applyNumberFormat="1">
      <alignment horizontal="center" vertical="center"/>
    </xf>
    <xf borderId="12" fillId="10" fontId="11" numFmtId="165" xfId="0" applyBorder="1" applyFont="1" applyNumberFormat="1"/>
    <xf borderId="12" fillId="0" fontId="11" numFmtId="164" xfId="0" applyAlignment="1" applyBorder="1" applyFont="1" applyNumberFormat="1">
      <alignment horizontal="center" vertical="center"/>
    </xf>
    <xf borderId="12" fillId="0" fontId="11" numFmtId="165" xfId="0" applyAlignment="1" applyBorder="1" applyFont="1" applyNumberFormat="1">
      <alignment horizontal="center" vertical="center"/>
    </xf>
    <xf borderId="12" fillId="0" fontId="11" numFmtId="165" xfId="0" applyBorder="1" applyFont="1" applyNumberFormat="1"/>
    <xf borderId="12" fillId="10" fontId="9" numFmtId="164" xfId="0" applyBorder="1" applyFont="1" applyNumberFormat="1"/>
    <xf borderId="12" fillId="0" fontId="9" numFmtId="166" xfId="0" applyBorder="1" applyFont="1" applyNumberFormat="1"/>
    <xf borderId="12" fillId="17" fontId="9" numFmtId="0" xfId="0" applyBorder="1" applyFont="1"/>
    <xf borderId="12" fillId="17" fontId="11" numFmtId="14" xfId="0" applyAlignment="1" applyBorder="1" applyFont="1" applyNumberFormat="1">
      <alignment horizontal="center" readingOrder="0"/>
    </xf>
    <xf borderId="12" fillId="17" fontId="11" numFmtId="164" xfId="0" applyBorder="1" applyFont="1" applyNumberFormat="1"/>
    <xf borderId="12" fillId="17" fontId="11" numFmtId="0" xfId="0" applyAlignment="1" applyBorder="1" applyFont="1">
      <alignment readingOrder="0"/>
    </xf>
    <xf borderId="12" fillId="17" fontId="11" numFmtId="165" xfId="0" applyBorder="1" applyFont="1" applyNumberFormat="1"/>
    <xf borderId="12" fillId="17" fontId="11" numFmtId="164" xfId="0" applyAlignment="1" applyBorder="1" applyFont="1" applyNumberFormat="1">
      <alignment horizontal="center" vertical="center"/>
    </xf>
    <xf borderId="12" fillId="17" fontId="11" numFmtId="165" xfId="0" applyAlignment="1" applyBorder="1" applyFont="1" applyNumberFormat="1">
      <alignment horizontal="center" vertical="center"/>
    </xf>
    <xf borderId="0" fillId="17" fontId="1" numFmtId="0" xfId="0" applyFont="1"/>
    <xf borderId="12" fillId="0" fontId="11" numFmtId="14" xfId="0" applyAlignment="1" applyBorder="1" applyFont="1" applyNumberFormat="1">
      <alignment horizontal="center" readingOrder="0"/>
    </xf>
    <xf borderId="12" fillId="0" fontId="11" numFmtId="0" xfId="0" applyAlignment="1" applyBorder="1" applyFont="1">
      <alignment horizontal="center"/>
    </xf>
    <xf borderId="1" fillId="8" fontId="15" numFmtId="0" xfId="0" applyAlignment="1" applyBorder="1" applyFont="1">
      <alignment horizontal="center" vertical="center"/>
    </xf>
    <xf borderId="12" fillId="19" fontId="15" numFmtId="0" xfId="0" applyAlignment="1" applyBorder="1" applyFont="1">
      <alignment horizontal="center" vertical="center"/>
    </xf>
    <xf borderId="12" fillId="0" fontId="11" numFmtId="3" xfId="0" applyAlignment="1" applyBorder="1" applyFont="1" applyNumberFormat="1">
      <alignment horizontal="right" vertical="center"/>
    </xf>
    <xf borderId="12" fillId="10" fontId="11" numFmtId="3" xfId="0" applyAlignment="1" applyBorder="1" applyFont="1" applyNumberFormat="1">
      <alignment horizontal="right" vertical="center"/>
    </xf>
    <xf borderId="18" fillId="10" fontId="9" numFmtId="170" xfId="0" applyBorder="1" applyFont="1" applyNumberFormat="1"/>
    <xf borderId="17" fillId="10" fontId="9" numFmtId="166" xfId="0" applyAlignment="1" applyBorder="1" applyFont="1" applyNumberFormat="1">
      <alignment horizontal="right" vertical="center"/>
    </xf>
    <xf borderId="12" fillId="10" fontId="11" numFmtId="169" xfId="0" applyAlignment="1" applyBorder="1" applyFont="1" applyNumberFormat="1">
      <alignment horizontal="right" vertical="center"/>
    </xf>
    <xf borderId="18" fillId="10" fontId="9" numFmtId="167" xfId="0" applyBorder="1" applyFont="1" applyNumberFormat="1"/>
    <xf borderId="12" fillId="0" fontId="11" numFmtId="169" xfId="0" applyAlignment="1" applyBorder="1" applyFont="1" applyNumberFormat="1">
      <alignment horizontal="right" vertical="center"/>
    </xf>
    <xf borderId="12" fillId="0" fontId="9" numFmtId="166" xfId="0" applyAlignment="1" applyBorder="1" applyFont="1" applyNumberFormat="1">
      <alignment horizontal="right"/>
    </xf>
    <xf borderId="12" fillId="0" fontId="11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readingOrder="0"/>
    </xf>
    <xf borderId="1" fillId="8" fontId="8" numFmtId="0" xfId="0" applyAlignment="1" applyBorder="1" applyFont="1">
      <alignment horizontal="center" shrinkToFit="0" vertical="center" wrapText="1"/>
    </xf>
    <xf borderId="1" fillId="9" fontId="8" numFmtId="164" xfId="0" applyAlignment="1" applyBorder="1" applyFont="1" applyNumberFormat="1">
      <alignment horizontal="center" shrinkToFit="0" vertical="center" wrapText="1"/>
    </xf>
    <xf borderId="21" fillId="9" fontId="8" numFmtId="164" xfId="0" applyAlignment="1" applyBorder="1" applyFont="1" applyNumberFormat="1">
      <alignment horizontal="center" shrinkToFit="0" vertical="center" wrapText="1"/>
    </xf>
    <xf borderId="1" fillId="10" fontId="8" numFmtId="164" xfId="0" applyAlignment="1" applyBorder="1" applyFont="1" applyNumberFormat="1">
      <alignment horizontal="center" shrinkToFit="0" vertical="center" wrapText="1"/>
    </xf>
    <xf borderId="21" fillId="10" fontId="8" numFmtId="164" xfId="0" applyAlignment="1" applyBorder="1" applyFont="1" applyNumberFormat="1">
      <alignment horizontal="center" shrinkToFit="0" vertical="center" wrapText="1"/>
    </xf>
    <xf borderId="21" fillId="14" fontId="8" numFmtId="164" xfId="0" applyAlignment="1" applyBorder="1" applyFont="1" applyNumberFormat="1">
      <alignment horizontal="center" shrinkToFit="0" vertical="center" wrapText="1"/>
    </xf>
    <xf borderId="17" fillId="9" fontId="8" numFmtId="164" xfId="0" applyAlignment="1" applyBorder="1" applyFont="1" applyNumberFormat="1">
      <alignment horizontal="center" shrinkToFit="0" vertical="center" wrapText="1"/>
    </xf>
    <xf borderId="17" fillId="10" fontId="8" numFmtId="164" xfId="0" applyAlignment="1" applyBorder="1" applyFont="1" applyNumberFormat="1">
      <alignment horizontal="center" shrinkToFit="0" vertical="center" wrapText="1"/>
    </xf>
    <xf borderId="17" fillId="14" fontId="8" numFmtId="164" xfId="0" applyAlignment="1" applyBorder="1" applyFont="1" applyNumberFormat="1">
      <alignment horizontal="center" shrinkToFit="0" vertical="center" wrapText="1"/>
    </xf>
    <xf borderId="12" fillId="0" fontId="9" numFmtId="164" xfId="0" applyAlignment="1" applyBorder="1" applyFont="1" applyNumberFormat="1">
      <alignment horizontal="center" vertical="center"/>
    </xf>
    <xf borderId="12" fillId="0" fontId="9" numFmtId="171" xfId="0" applyAlignment="1" applyBorder="1" applyFont="1" applyNumberFormat="1">
      <alignment horizontal="right" vertical="center"/>
    </xf>
    <xf borderId="12" fillId="0" fontId="9" numFmtId="0" xfId="0" applyAlignment="1" applyBorder="1" applyFont="1">
      <alignment horizontal="right"/>
    </xf>
    <xf borderId="12" fillId="17" fontId="10" numFmtId="164" xfId="0" applyAlignment="1" applyBorder="1" applyFont="1" applyNumberFormat="1">
      <alignment horizontal="center"/>
    </xf>
    <xf borderId="22" fillId="17" fontId="10" numFmtId="164" xfId="0" applyAlignment="1" applyBorder="1" applyFont="1" applyNumberFormat="1">
      <alignment horizontal="center"/>
    </xf>
    <xf borderId="17" fillId="17" fontId="10" numFmtId="164" xfId="0" applyAlignment="1" applyBorder="1" applyFont="1" applyNumberFormat="1">
      <alignment horizontal="right" vertical="center"/>
    </xf>
    <xf borderId="12" fillId="17" fontId="10" numFmtId="171" xfId="0" applyAlignment="1" applyBorder="1" applyFont="1" applyNumberFormat="1">
      <alignment horizontal="right" vertical="center"/>
    </xf>
    <xf borderId="12" fillId="14" fontId="10" numFmtId="164" xfId="0" applyBorder="1" applyFont="1" applyNumberFormat="1"/>
    <xf borderId="12" fillId="0" fontId="12" numFmtId="0" xfId="0" applyBorder="1" applyFont="1"/>
    <xf borderId="12" fillId="16" fontId="9" numFmtId="164" xfId="0" applyAlignment="1" applyBorder="1" applyFont="1" applyNumberFormat="1">
      <alignment horizontal="center" vertical="center"/>
    </xf>
    <xf borderId="23" fillId="17" fontId="10" numFmtId="164" xfId="0" applyAlignment="1" applyBorder="1" applyFont="1" applyNumberFormat="1">
      <alignment horizontal="center"/>
    </xf>
    <xf borderId="12" fillId="9" fontId="9" numFmtId="0" xfId="0" applyAlignment="1" applyBorder="1" applyFont="1">
      <alignment horizontal="center" vertical="center"/>
    </xf>
    <xf borderId="8" fillId="0" fontId="9" numFmtId="0" xfId="0" applyAlignment="1" applyBorder="1" applyFont="1">
      <alignment horizontal="center" vertical="center"/>
    </xf>
    <xf borderId="8" fillId="0" fontId="9" numFmtId="14" xfId="0" applyAlignment="1" applyBorder="1" applyFont="1" applyNumberFormat="1">
      <alignment horizontal="center" vertical="center"/>
    </xf>
    <xf borderId="17" fillId="16" fontId="9" numFmtId="164" xfId="0" applyAlignment="1" applyBorder="1" applyFont="1" applyNumberFormat="1">
      <alignment horizontal="right" vertical="center"/>
    </xf>
    <xf borderId="17" fillId="16" fontId="9" numFmtId="164" xfId="0" applyAlignment="1" applyBorder="1" applyFont="1" applyNumberFormat="1">
      <alignment horizontal="right"/>
    </xf>
    <xf borderId="13" fillId="17" fontId="10" numFmtId="0" xfId="0" applyAlignment="1" applyBorder="1" applyFont="1">
      <alignment horizontal="center" vertical="center"/>
    </xf>
    <xf borderId="23" fillId="17" fontId="10" numFmtId="164" xfId="0" applyAlignment="1" applyBorder="1" applyFont="1" applyNumberFormat="1">
      <alignment horizontal="center" vertical="center"/>
    </xf>
    <xf borderId="12" fillId="17" fontId="10" numFmtId="166" xfId="0" applyAlignment="1" applyBorder="1" applyFont="1" applyNumberFormat="1">
      <alignment horizontal="right" vertical="center"/>
    </xf>
    <xf borderId="12" fillId="14" fontId="10" numFmtId="166" xfId="0" applyAlignment="1" applyBorder="1" applyFont="1" applyNumberFormat="1">
      <alignment horizontal="right" vertical="center"/>
    </xf>
    <xf borderId="12" fillId="13" fontId="10" numFmtId="164" xfId="0" applyAlignment="1" applyBorder="1" applyFont="1" applyNumberFormat="1">
      <alignment horizontal="right"/>
    </xf>
    <xf borderId="12" fillId="17" fontId="10" numFmtId="0" xfId="0" applyBorder="1" applyFont="1"/>
    <xf borderId="2" fillId="0" fontId="10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1" fillId="0" fontId="10" numFmtId="164" xfId="0" applyAlignment="1" applyBorder="1" applyFont="1" applyNumberFormat="1">
      <alignment horizontal="right" vertical="center"/>
    </xf>
    <xf borderId="1" fillId="0" fontId="10" numFmtId="166" xfId="0" applyAlignment="1" applyBorder="1" applyFont="1" applyNumberFormat="1">
      <alignment horizontal="right" vertical="center"/>
    </xf>
    <xf borderId="1" fillId="0" fontId="10" numFmtId="164" xfId="0" applyAlignment="1" applyBorder="1" applyFont="1" applyNumberFormat="1">
      <alignment horizontal="right"/>
    </xf>
    <xf borderId="0" fillId="0" fontId="10" numFmtId="0" xfId="0" applyFont="1"/>
    <xf borderId="1" fillId="20" fontId="8" numFmtId="164" xfId="0" applyAlignment="1" applyBorder="1" applyFill="1" applyFont="1" applyNumberFormat="1">
      <alignment horizontal="center" shrinkToFit="0" vertical="center" wrapText="1"/>
    </xf>
    <xf borderId="17" fillId="16" fontId="9" numFmtId="14" xfId="0" applyAlignment="1" applyBorder="1" applyFont="1" applyNumberFormat="1">
      <alignment horizontal="center" vertical="center"/>
    </xf>
    <xf borderId="12" fillId="0" fontId="9" numFmtId="164" xfId="0" applyAlignment="1" applyBorder="1" applyFont="1" applyNumberFormat="1">
      <alignment horizontal="right" readingOrder="0" vertical="center"/>
    </xf>
    <xf borderId="8" fillId="0" fontId="9" numFmtId="164" xfId="0" applyAlignment="1" applyBorder="1" applyFont="1" applyNumberFormat="1">
      <alignment horizontal="right" readingOrder="0" vertical="center"/>
    </xf>
    <xf borderId="9" fillId="0" fontId="9" numFmtId="0" xfId="0" applyAlignment="1" applyBorder="1" applyFont="1">
      <alignment horizontal="center" readingOrder="0" vertical="center"/>
    </xf>
    <xf borderId="9" fillId="16" fontId="9" numFmtId="14" xfId="0" applyAlignment="1" applyBorder="1" applyFont="1" applyNumberFormat="1">
      <alignment horizontal="center" readingOrder="0" vertical="center"/>
    </xf>
    <xf borderId="8" fillId="0" fontId="9" numFmtId="166" xfId="0" applyAlignment="1" applyBorder="1" applyFont="1" applyNumberFormat="1">
      <alignment horizontal="right" readingOrder="0" vertical="center"/>
    </xf>
    <xf borderId="8" fillId="16" fontId="9" numFmtId="164" xfId="0" applyAlignment="1" applyBorder="1" applyFont="1" applyNumberFormat="1">
      <alignment horizontal="right"/>
    </xf>
    <xf borderId="0" fillId="0" fontId="11" numFmtId="14" xfId="0" applyFont="1" applyNumberFormat="1"/>
    <xf borderId="1" fillId="8" fontId="15" numFmtId="14" xfId="0" applyAlignment="1" applyBorder="1" applyFont="1" applyNumberFormat="1">
      <alignment horizontal="center" vertical="center"/>
    </xf>
    <xf borderId="12" fillId="0" fontId="11" numFmtId="166" xfId="0" applyAlignment="1" applyBorder="1" applyFont="1" applyNumberFormat="1">
      <alignment horizontal="center" vertical="center"/>
    </xf>
    <xf borderId="12" fillId="10" fontId="11" numFmtId="166" xfId="0" applyAlignment="1" applyBorder="1" applyFont="1" applyNumberFormat="1">
      <alignment horizontal="center" vertical="center"/>
    </xf>
    <xf borderId="18" fillId="10" fontId="11" numFmtId="0" xfId="0" applyBorder="1" applyFont="1"/>
    <xf borderId="18" fillId="10" fontId="11" numFmtId="164" xfId="0" applyBorder="1" applyFont="1" applyNumberFormat="1"/>
    <xf borderId="12" fillId="0" fontId="11" numFmtId="3" xfId="0" applyAlignment="1" applyBorder="1" applyFont="1" applyNumberFormat="1">
      <alignment horizontal="center" vertical="center"/>
    </xf>
    <xf borderId="12" fillId="0" fontId="11" numFmtId="14" xfId="0" applyBorder="1" applyFont="1" applyNumberFormat="1"/>
    <xf borderId="12" fillId="10" fontId="11" numFmtId="14" xfId="0" applyBorder="1" applyFont="1" applyNumberFormat="1"/>
    <xf borderId="12" fillId="10" fontId="11" numFmtId="3" xfId="0" applyAlignment="1" applyBorder="1" applyFont="1" applyNumberFormat="1">
      <alignment horizontal="center" vertical="center"/>
    </xf>
    <xf borderId="12" fillId="16" fontId="11" numFmtId="3" xfId="0" applyAlignment="1" applyBorder="1" applyFont="1" applyNumberFormat="1">
      <alignment horizontal="center" vertical="center"/>
    </xf>
    <xf borderId="12" fillId="10" fontId="9" numFmtId="14" xfId="0" applyAlignment="1" applyBorder="1" applyFont="1" applyNumberFormat="1">
      <alignment horizontal="center" vertical="center"/>
    </xf>
    <xf borderId="12" fillId="16" fontId="9" numFmtId="164" xfId="0" applyBorder="1" applyFont="1" applyNumberFormat="1"/>
    <xf borderId="12" fillId="10" fontId="9" numFmtId="172" xfId="0" applyBorder="1" applyFont="1" applyNumberFormat="1"/>
    <xf borderId="12" fillId="10" fontId="9" numFmtId="14" xfId="0" applyBorder="1" applyFont="1" applyNumberFormat="1"/>
    <xf borderId="12" fillId="0" fontId="9" numFmtId="14" xfId="0" applyBorder="1" applyFont="1" applyNumberFormat="1"/>
    <xf borderId="0" fillId="0" fontId="9" numFmtId="14" xfId="0" applyFont="1" applyNumberFormat="1"/>
    <xf borderId="12" fillId="16" fontId="11" numFmtId="164" xfId="0" applyAlignment="1" applyBorder="1" applyFont="1" applyNumberFormat="1">
      <alignment horizontal="center" vertical="center"/>
    </xf>
    <xf borderId="12" fillId="14" fontId="9" numFmtId="14" xfId="0" applyBorder="1" applyFont="1" applyNumberFormat="1"/>
    <xf borderId="12" fillId="14" fontId="9" numFmtId="0" xfId="0" applyBorder="1" applyFont="1"/>
    <xf borderId="12" fillId="14" fontId="9" numFmtId="164" xfId="0" applyBorder="1" applyFont="1" applyNumberFormat="1"/>
    <xf borderId="12" fillId="0" fontId="1" numFmtId="0" xfId="0" applyAlignment="1" applyBorder="1" applyFont="1">
      <alignment readingOrder="0"/>
    </xf>
    <xf borderId="12" fillId="0" fontId="1" numFmtId="0" xfId="0" applyBorder="1" applyFont="1"/>
    <xf borderId="12" fillId="16" fontId="9" numFmtId="0" xfId="0" applyBorder="1" applyFont="1"/>
    <xf borderId="0" fillId="0" fontId="15" numFmtId="164" xfId="0" applyAlignment="1" applyFont="1" applyNumberFormat="1">
      <alignment horizontal="right"/>
    </xf>
    <xf borderId="12" fillId="21" fontId="9" numFmtId="0" xfId="0" applyBorder="1" applyFill="1" applyFont="1"/>
    <xf borderId="12" fillId="21" fontId="9" numFmtId="14" xfId="0" applyAlignment="1" applyBorder="1" applyFont="1" applyNumberFormat="1">
      <alignment readingOrder="0"/>
    </xf>
    <xf borderId="12" fillId="21" fontId="9" numFmtId="164" xfId="0" applyBorder="1" applyFont="1" applyNumberFormat="1"/>
    <xf borderId="12" fillId="21" fontId="9" numFmtId="164" xfId="0" applyAlignment="1" applyBorder="1" applyFont="1" applyNumberFormat="1">
      <alignment readingOrder="0"/>
    </xf>
    <xf borderId="0" fillId="21" fontId="1" numFmtId="0" xfId="0" applyFont="1"/>
    <xf borderId="12" fillId="0" fontId="9" numFmtId="164" xfId="0" applyAlignment="1" applyBorder="1" applyFont="1" applyNumberFormat="1">
      <alignment readingOrder="0"/>
    </xf>
    <xf borderId="12" fillId="17" fontId="1" numFmtId="0" xfId="0" applyBorder="1" applyFont="1"/>
    <xf borderId="12" fillId="17" fontId="9" numFmtId="14" xfId="0" applyBorder="1" applyFont="1" applyNumberFormat="1"/>
    <xf borderId="12" fillId="17" fontId="9" numFmtId="164" xfId="0" applyBorder="1" applyFont="1" applyNumberFormat="1"/>
    <xf borderId="12" fillId="17" fontId="9" numFmtId="164" xfId="0" applyAlignment="1" applyBorder="1" applyFont="1" applyNumberFormat="1">
      <alignment readingOrder="0"/>
    </xf>
    <xf borderId="12" fillId="14" fontId="11" numFmtId="0" xfId="0" applyAlignment="1" applyBorder="1" applyFont="1">
      <alignment horizontal="center" vertical="center"/>
    </xf>
    <xf borderId="12" fillId="16" fontId="11" numFmtId="0" xfId="0" applyAlignment="1" applyBorder="1" applyFont="1">
      <alignment horizontal="center" vertical="center"/>
    </xf>
    <xf borderId="12" fillId="16" fontId="11" numFmtId="166" xfId="0" applyAlignment="1" applyBorder="1" applyFont="1" applyNumberFormat="1">
      <alignment horizontal="center" vertical="center"/>
    </xf>
    <xf borderId="12" fillId="16" fontId="11" numFmtId="164" xfId="0" applyBorder="1" applyFont="1" applyNumberFormat="1"/>
    <xf borderId="12" fillId="14" fontId="11" numFmtId="166" xfId="0" applyAlignment="1" applyBorder="1" applyFont="1" applyNumberFormat="1">
      <alignment horizontal="center" vertical="center"/>
    </xf>
    <xf borderId="12" fillId="14" fontId="11" numFmtId="164" xfId="0" applyBorder="1" applyFont="1" applyNumberFormat="1"/>
    <xf borderId="12" fillId="14" fontId="11" numFmtId="164" xfId="0" applyAlignment="1" applyBorder="1" applyFont="1" applyNumberFormat="1">
      <alignment horizontal="center" vertical="center"/>
    </xf>
    <xf borderId="12" fillId="16" fontId="9" numFmtId="164" xfId="0" applyAlignment="1" applyBorder="1" applyFont="1" applyNumberFormat="1">
      <alignment horizontal="center"/>
    </xf>
    <xf borderId="12" fillId="10" fontId="9" numFmtId="164" xfId="0" applyAlignment="1" applyBorder="1" applyFont="1" applyNumberFormat="1">
      <alignment horizontal="center"/>
    </xf>
    <xf borderId="12" fillId="16" fontId="9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externalLink" Target="externalLinks/externalLink2.xml"/><Relationship Id="rId10" Type="http://schemas.openxmlformats.org/officeDocument/2006/relationships/worksheet" Target="worksheets/sheet7.xml"/><Relationship Id="rId21" Type="http://schemas.openxmlformats.org/officeDocument/2006/relationships/externalLink" Target="externalLinks/externalLink1.xml"/><Relationship Id="rId13" Type="http://schemas.openxmlformats.org/officeDocument/2006/relationships/worksheet" Target="worksheets/sheet10.xml"/><Relationship Id="rId24" Type="http://customschemas.google.com/relationships/workbookmetadata" Target="metadata"/><Relationship Id="rId12" Type="http://schemas.openxmlformats.org/officeDocument/2006/relationships/worksheet" Target="worksheets/sheet9.xml"/><Relationship Id="rId23" Type="http://schemas.openxmlformats.org/officeDocument/2006/relationships/externalLink" Target="externalLinks/externalLink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SUS\Downloads\Laporan%20Keuangan\HPP%20Ikan%20(1)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Windows%208\Downloads\Book2%20(1)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ASUS\Downloads\Laporan%20Persediaan%20dan%20HPP%20Yakin%20pasifik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3 Juni"/>
      <sheetName val="4 juni"/>
      <sheetName val="10 Juni"/>
      <sheetName val="12 Juni"/>
      <sheetName val="14 Juni"/>
      <sheetName val="15 Juni"/>
      <sheetName val="HPP JUAL"/>
      <sheetName val="21 juni"/>
      <sheetName val="24 juni"/>
      <sheetName val="25 Juni"/>
      <sheetName val="26 juni"/>
      <sheetName val="2 juli"/>
      <sheetName val="HPP JUAL (2)"/>
      <sheetName val="15 Juli"/>
      <sheetName val="16 Juli "/>
      <sheetName val="17 Juli"/>
      <sheetName val="18 Juli"/>
      <sheetName val="19 Juli"/>
      <sheetName val="20 Juli"/>
      <sheetName val="HPP JUAL (3)"/>
      <sheetName val="26 Juli"/>
      <sheetName val="30 Juli"/>
      <sheetName val="31 juli"/>
      <sheetName val="01 agt"/>
      <sheetName val="HPP JUAL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Jurnal 3-8"/>
      <sheetName val="Jurnal 9"/>
      <sheetName val="Jurnal 10"/>
      <sheetName val="."/>
      <sheetName val="Sheet3 (2)"/>
      <sheetName val="Sheet2"/>
      <sheetName val="Jurnal 9-10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tal"/>
      <sheetName val="Persediaan &amp; HPP Cakalang A-B"/>
      <sheetName val="Persediaan &amp; HPP Cakalang PP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0.33"/>
    <col customWidth="1" min="3" max="3" width="7.33"/>
    <col customWidth="1" min="4" max="4" width="10.56"/>
    <col customWidth="1" min="6" max="6" width="12.78"/>
    <col customWidth="1" min="7" max="7" width="14.56"/>
    <col customWidth="1" min="9" max="9" width="4.78"/>
    <col customWidth="1" min="10" max="10" width="11.67"/>
    <col customWidth="1" min="11" max="11" width="7.67"/>
    <col customWidth="1" min="12" max="12" width="11.89"/>
    <col customWidth="1" min="13" max="13" width="11.67"/>
    <col customWidth="1" min="14" max="14" width="13.89"/>
    <col customWidth="1" min="15" max="15" width="16.11"/>
  </cols>
  <sheetData>
    <row r="1">
      <c r="A1" s="1"/>
      <c r="B1" s="2"/>
      <c r="C1" s="3"/>
      <c r="D1" s="3"/>
    </row>
    <row r="2">
      <c r="A2" s="4" t="s">
        <v>0</v>
      </c>
      <c r="I2" s="4" t="s">
        <v>1</v>
      </c>
    </row>
    <row r="3">
      <c r="A3" s="1"/>
      <c r="B3" s="2"/>
      <c r="C3" s="3"/>
      <c r="D3" s="3"/>
    </row>
    <row r="4">
      <c r="A4" s="5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I4" s="7" t="s">
        <v>2</v>
      </c>
      <c r="J4" s="7" t="s">
        <v>3</v>
      </c>
      <c r="K4" s="8" t="s">
        <v>4</v>
      </c>
      <c r="L4" s="8" t="s">
        <v>5</v>
      </c>
      <c r="M4" s="8" t="s">
        <v>6</v>
      </c>
      <c r="N4" s="8" t="s">
        <v>7</v>
      </c>
      <c r="O4" s="8" t="s">
        <v>8</v>
      </c>
    </row>
    <row r="5">
      <c r="A5" s="9">
        <v>1.0</v>
      </c>
      <c r="B5" s="10" t="s">
        <v>9</v>
      </c>
      <c r="C5" s="11" t="s">
        <v>10</v>
      </c>
      <c r="D5" s="12" t="s">
        <v>11</v>
      </c>
      <c r="E5" s="13">
        <f>'Persediaan &amp; HPP Ca A-B YPT (2)'!J76</f>
        <v>13348.43731</v>
      </c>
      <c r="F5" s="14">
        <f t="shared" ref="F5:F32" si="1">E5+1860</f>
        <v>15208.43731</v>
      </c>
      <c r="G5" s="15"/>
      <c r="I5" s="9">
        <v>1.0</v>
      </c>
      <c r="J5" s="10" t="s">
        <v>9</v>
      </c>
      <c r="K5" s="11" t="s">
        <v>10</v>
      </c>
      <c r="L5" s="12" t="s">
        <v>11</v>
      </c>
      <c r="M5" s="16">
        <f>'Persediaan &amp; HPP Cakalang A-B'!G111</f>
        <v>13757.28811</v>
      </c>
      <c r="N5" s="17">
        <f t="shared" ref="N5:N31" si="2">M5+1862</f>
        <v>15619.28811</v>
      </c>
      <c r="O5" s="18">
        <f>N5+2000</f>
        <v>17619.28811</v>
      </c>
    </row>
    <row r="6">
      <c r="A6" s="19"/>
      <c r="B6" s="20"/>
      <c r="C6" s="20"/>
      <c r="D6" s="21" t="s">
        <v>12</v>
      </c>
      <c r="E6" s="22">
        <f t="shared" ref="E6:E7" si="3">E5</f>
        <v>13348.43731</v>
      </c>
      <c r="F6" s="23">
        <f t="shared" si="1"/>
        <v>15208.43731</v>
      </c>
      <c r="G6" s="24"/>
      <c r="I6" s="19"/>
      <c r="J6" s="20"/>
      <c r="K6" s="20"/>
      <c r="L6" s="21" t="s">
        <v>12</v>
      </c>
      <c r="M6" s="25">
        <f t="shared" ref="M6:M10" si="4">M5</f>
        <v>13757.28811</v>
      </c>
      <c r="N6" s="26">
        <f t="shared" si="2"/>
        <v>15619.28811</v>
      </c>
      <c r="O6" s="27">
        <f>N6+2500</f>
        <v>18119.28811</v>
      </c>
    </row>
    <row r="7">
      <c r="A7" s="28"/>
      <c r="B7" s="29"/>
      <c r="C7" s="29"/>
      <c r="D7" s="21" t="s">
        <v>13</v>
      </c>
      <c r="E7" s="22">
        <f t="shared" si="3"/>
        <v>13348.43731</v>
      </c>
      <c r="F7" s="23">
        <f t="shared" si="1"/>
        <v>15208.43731</v>
      </c>
      <c r="G7" s="24"/>
      <c r="I7" s="28"/>
      <c r="J7" s="29"/>
      <c r="K7" s="29"/>
      <c r="L7" s="21" t="s">
        <v>13</v>
      </c>
      <c r="M7" s="25">
        <f t="shared" si="4"/>
        <v>13757.28811</v>
      </c>
      <c r="N7" s="26">
        <f t="shared" si="2"/>
        <v>15619.28811</v>
      </c>
      <c r="O7" s="27">
        <f>N7+3000</f>
        <v>18619.28811</v>
      </c>
    </row>
    <row r="8">
      <c r="A8" s="30">
        <v>2.0</v>
      </c>
      <c r="B8" s="31" t="str">
        <f>B5</f>
        <v>Baby tuna</v>
      </c>
      <c r="C8" s="32" t="s">
        <v>14</v>
      </c>
      <c r="D8" s="33" t="s">
        <v>11</v>
      </c>
      <c r="E8" s="34">
        <f t="shared" ref="E8:E9" si="5">E5</f>
        <v>13348.43731</v>
      </c>
      <c r="F8" s="35">
        <f t="shared" si="1"/>
        <v>15208.43731</v>
      </c>
      <c r="G8" s="36"/>
      <c r="I8" s="37">
        <v>2.0</v>
      </c>
      <c r="J8" s="38" t="str">
        <f>J5</f>
        <v>Baby tuna</v>
      </c>
      <c r="K8" s="39" t="s">
        <v>14</v>
      </c>
      <c r="L8" s="40" t="s">
        <v>11</v>
      </c>
      <c r="M8" s="41">
        <f t="shared" si="4"/>
        <v>13757.28811</v>
      </c>
      <c r="N8" s="42">
        <f t="shared" si="2"/>
        <v>15619.28811</v>
      </c>
      <c r="O8" s="43">
        <f>N8+1500</f>
        <v>17119.28811</v>
      </c>
    </row>
    <row r="9">
      <c r="A9" s="29"/>
      <c r="B9" s="28"/>
      <c r="C9" s="28"/>
      <c r="D9" s="44" t="s">
        <v>12</v>
      </c>
      <c r="E9" s="45">
        <f t="shared" si="5"/>
        <v>13348.43731</v>
      </c>
      <c r="F9" s="46">
        <f t="shared" si="1"/>
        <v>15208.43731</v>
      </c>
      <c r="G9" s="47"/>
      <c r="I9" s="29"/>
      <c r="J9" s="28"/>
      <c r="K9" s="28"/>
      <c r="L9" s="48" t="s">
        <v>12</v>
      </c>
      <c r="M9" s="49">
        <f t="shared" si="4"/>
        <v>13757.28811</v>
      </c>
      <c r="N9" s="50">
        <f t="shared" si="2"/>
        <v>15619.28811</v>
      </c>
      <c r="O9" s="51">
        <f>N9+2000</f>
        <v>17619.28811</v>
      </c>
    </row>
    <row r="10">
      <c r="A10" s="20"/>
      <c r="B10" s="19"/>
      <c r="C10" s="19"/>
      <c r="D10" s="44" t="s">
        <v>13</v>
      </c>
      <c r="E10" s="45">
        <f>E6</f>
        <v>13348.43731</v>
      </c>
      <c r="F10" s="52">
        <f t="shared" si="1"/>
        <v>15208.43731</v>
      </c>
      <c r="G10" s="47"/>
      <c r="I10" s="20"/>
      <c r="J10" s="19"/>
      <c r="K10" s="19"/>
      <c r="L10" s="48" t="s">
        <v>13</v>
      </c>
      <c r="M10" s="49">
        <f t="shared" si="4"/>
        <v>13757.28811</v>
      </c>
      <c r="N10" s="53">
        <f t="shared" si="2"/>
        <v>15619.28811</v>
      </c>
      <c r="O10" s="51">
        <f>N10+2500</f>
        <v>18119.28811</v>
      </c>
    </row>
    <row r="11">
      <c r="A11" s="9">
        <v>3.0</v>
      </c>
      <c r="B11" s="54" t="str">
        <f>B8</f>
        <v>Baby tuna</v>
      </c>
      <c r="C11" s="55" t="s">
        <v>15</v>
      </c>
      <c r="D11" s="56" t="s">
        <v>11</v>
      </c>
      <c r="E11" s="57">
        <f>'Persediaan &amp; HPP Ca PP YPT '!J77</f>
        <v>8864.962881</v>
      </c>
      <c r="F11" s="23">
        <f t="shared" si="1"/>
        <v>10724.96288</v>
      </c>
      <c r="G11" s="15"/>
      <c r="I11" s="9">
        <v>3.0</v>
      </c>
      <c r="J11" s="54" t="str">
        <f>J8</f>
        <v>Baby tuna</v>
      </c>
      <c r="K11" s="55" t="s">
        <v>15</v>
      </c>
      <c r="L11" s="56" t="s">
        <v>11</v>
      </c>
      <c r="M11" s="58">
        <f>'Persediaan &amp; HPP Cakalang PP'!J100</f>
        <v>8909.27525</v>
      </c>
      <c r="N11" s="26">
        <f t="shared" si="2"/>
        <v>10771.27525</v>
      </c>
      <c r="O11" s="18">
        <f>N11+3000</f>
        <v>13771.27525</v>
      </c>
    </row>
    <row r="12">
      <c r="A12" s="19"/>
      <c r="B12" s="20"/>
      <c r="D12" s="59" t="s">
        <v>12</v>
      </c>
      <c r="E12" s="60">
        <f t="shared" ref="E12:E13" si="6">E11</f>
        <v>8864.962881</v>
      </c>
      <c r="F12" s="23">
        <f t="shared" si="1"/>
        <v>10724.96288</v>
      </c>
      <c r="G12" s="24"/>
      <c r="I12" s="19"/>
      <c r="J12" s="20"/>
      <c r="L12" s="59" t="s">
        <v>12</v>
      </c>
      <c r="M12" s="61">
        <f t="shared" ref="M12:M13" si="7">M11</f>
        <v>8909.27525</v>
      </c>
      <c r="N12" s="26">
        <f t="shared" si="2"/>
        <v>10771.27525</v>
      </c>
      <c r="O12" s="27">
        <f>N12+3500</f>
        <v>14271.27525</v>
      </c>
    </row>
    <row r="13">
      <c r="A13" s="62"/>
      <c r="B13" s="63"/>
      <c r="C13" s="64"/>
      <c r="D13" s="65" t="s">
        <v>13</v>
      </c>
      <c r="E13" s="66">
        <f t="shared" si="6"/>
        <v>8864.962881</v>
      </c>
      <c r="F13" s="23">
        <f t="shared" si="1"/>
        <v>10724.96288</v>
      </c>
      <c r="G13" s="67"/>
      <c r="I13" s="62"/>
      <c r="J13" s="63"/>
      <c r="K13" s="64"/>
      <c r="L13" s="65" t="s">
        <v>13</v>
      </c>
      <c r="M13" s="68">
        <f t="shared" si="7"/>
        <v>8909.27525</v>
      </c>
      <c r="N13" s="26">
        <f t="shared" si="2"/>
        <v>10771.27525</v>
      </c>
      <c r="O13" s="69">
        <f>N12+4000</f>
        <v>14771.27525</v>
      </c>
    </row>
    <row r="14">
      <c r="A14" s="70">
        <v>4.0</v>
      </c>
      <c r="B14" s="71" t="s">
        <v>16</v>
      </c>
      <c r="C14" s="72" t="s">
        <v>10</v>
      </c>
      <c r="D14" s="73" t="s">
        <v>11</v>
      </c>
      <c r="E14" s="74">
        <f>E5</f>
        <v>13348.43731</v>
      </c>
      <c r="F14" s="35">
        <f t="shared" si="1"/>
        <v>15208.43731</v>
      </c>
      <c r="G14" s="36"/>
      <c r="I14" s="75">
        <v>4.0</v>
      </c>
      <c r="J14" s="76" t="s">
        <v>16</v>
      </c>
      <c r="K14" s="77" t="s">
        <v>10</v>
      </c>
      <c r="L14" s="78" t="s">
        <v>11</v>
      </c>
      <c r="M14" s="79">
        <f>M10</f>
        <v>13757.28811</v>
      </c>
      <c r="N14" s="42">
        <f t="shared" si="2"/>
        <v>15619.28811</v>
      </c>
      <c r="O14" s="43">
        <f>N14+1500</f>
        <v>17119.28811</v>
      </c>
    </row>
    <row r="15">
      <c r="A15" s="80"/>
      <c r="B15" s="81"/>
      <c r="C15" s="81"/>
      <c r="D15" s="82" t="s">
        <v>12</v>
      </c>
      <c r="E15" s="83">
        <f t="shared" ref="E15:E16" si="8">E5</f>
        <v>13348.43731</v>
      </c>
      <c r="F15" s="46">
        <f t="shared" si="1"/>
        <v>15208.43731</v>
      </c>
      <c r="G15" s="47"/>
      <c r="I15" s="80"/>
      <c r="J15" s="81"/>
      <c r="K15" s="81"/>
      <c r="L15" s="84" t="s">
        <v>12</v>
      </c>
      <c r="M15" s="85">
        <f>M10</f>
        <v>13757.28811</v>
      </c>
      <c r="N15" s="50">
        <f t="shared" si="2"/>
        <v>15619.28811</v>
      </c>
      <c r="O15" s="51">
        <f>N15+2000</f>
        <v>17619.28811</v>
      </c>
    </row>
    <row r="16">
      <c r="A16" s="80"/>
      <c r="B16" s="81"/>
      <c r="C16" s="81"/>
      <c r="D16" s="82" t="s">
        <v>13</v>
      </c>
      <c r="E16" s="83">
        <f t="shared" si="8"/>
        <v>13348.43731</v>
      </c>
      <c r="F16" s="52">
        <f t="shared" si="1"/>
        <v>15208.43731</v>
      </c>
      <c r="G16" s="47"/>
      <c r="I16" s="80"/>
      <c r="J16" s="81"/>
      <c r="K16" s="81"/>
      <c r="L16" s="84" t="s">
        <v>13</v>
      </c>
      <c r="M16" s="85">
        <f>M10</f>
        <v>13757.28811</v>
      </c>
      <c r="N16" s="53">
        <f t="shared" si="2"/>
        <v>15619.28811</v>
      </c>
      <c r="O16" s="51">
        <f>N16+2500</f>
        <v>18119.28811</v>
      </c>
    </row>
    <row r="17">
      <c r="A17" s="86">
        <v>5.0</v>
      </c>
      <c r="B17" s="87" t="str">
        <f>B14</f>
        <v>Cakalang</v>
      </c>
      <c r="C17" s="88" t="s">
        <v>14</v>
      </c>
      <c r="D17" s="56" t="s">
        <v>11</v>
      </c>
      <c r="E17" s="57">
        <f t="shared" ref="E17:E18" si="9">E14</f>
        <v>13348.43731</v>
      </c>
      <c r="F17" s="23">
        <f t="shared" si="1"/>
        <v>15208.43731</v>
      </c>
      <c r="G17" s="15"/>
      <c r="H17" s="89"/>
      <c r="I17" s="86">
        <v>5.0</v>
      </c>
      <c r="J17" s="87" t="str">
        <f>J14</f>
        <v>Cakalang</v>
      </c>
      <c r="K17" s="88" t="s">
        <v>14</v>
      </c>
      <c r="L17" s="56" t="s">
        <v>11</v>
      </c>
      <c r="M17" s="58">
        <f>M10</f>
        <v>13757.28811</v>
      </c>
      <c r="N17" s="26">
        <f t="shared" si="2"/>
        <v>15619.28811</v>
      </c>
      <c r="O17" s="18">
        <f>N17+1000</f>
        <v>16619.28811</v>
      </c>
      <c r="P17" s="89"/>
      <c r="Q17" s="89"/>
      <c r="R17" s="89"/>
      <c r="S17" s="89"/>
      <c r="T17" s="89"/>
      <c r="U17" s="89"/>
    </row>
    <row r="18">
      <c r="A18" s="81"/>
      <c r="B18" s="80"/>
      <c r="C18" s="80"/>
      <c r="D18" s="59" t="s">
        <v>12</v>
      </c>
      <c r="E18" s="60">
        <f t="shared" si="9"/>
        <v>13348.43731</v>
      </c>
      <c r="F18" s="23">
        <f t="shared" si="1"/>
        <v>15208.43731</v>
      </c>
      <c r="G18" s="24"/>
      <c r="H18" s="89"/>
      <c r="I18" s="81"/>
      <c r="J18" s="80"/>
      <c r="K18" s="80"/>
      <c r="L18" s="59" t="s">
        <v>12</v>
      </c>
      <c r="M18" s="61">
        <f t="shared" ref="M18:M19" si="10">M17</f>
        <v>13757.28811</v>
      </c>
      <c r="N18" s="26">
        <f t="shared" si="2"/>
        <v>15619.28811</v>
      </c>
      <c r="O18" s="27">
        <f>N18+1500</f>
        <v>17119.28811</v>
      </c>
      <c r="P18" s="89"/>
      <c r="Q18" s="89"/>
      <c r="R18" s="89"/>
      <c r="S18" s="89"/>
      <c r="T18" s="89"/>
      <c r="U18" s="89"/>
    </row>
    <row r="19">
      <c r="A19" s="81"/>
      <c r="B19" s="80"/>
      <c r="C19" s="80"/>
      <c r="D19" s="59" t="s">
        <v>13</v>
      </c>
      <c r="E19" s="60">
        <f>E14</f>
        <v>13348.43731</v>
      </c>
      <c r="F19" s="23">
        <f t="shared" si="1"/>
        <v>15208.43731</v>
      </c>
      <c r="G19" s="24"/>
      <c r="H19" s="89"/>
      <c r="I19" s="81"/>
      <c r="J19" s="80"/>
      <c r="K19" s="80"/>
      <c r="L19" s="59" t="s">
        <v>13</v>
      </c>
      <c r="M19" s="61">
        <f t="shared" si="10"/>
        <v>13757.28811</v>
      </c>
      <c r="N19" s="26">
        <f t="shared" si="2"/>
        <v>15619.28811</v>
      </c>
      <c r="O19" s="27">
        <f>N19+2000</f>
        <v>17619.28811</v>
      </c>
      <c r="P19" s="89"/>
      <c r="Q19" s="89"/>
      <c r="R19" s="89"/>
      <c r="S19" s="89"/>
      <c r="T19" s="89"/>
      <c r="U19" s="89"/>
    </row>
    <row r="20">
      <c r="A20" s="70">
        <v>6.0</v>
      </c>
      <c r="B20" s="90" t="str">
        <f>B17</f>
        <v>Cakalang</v>
      </c>
      <c r="C20" s="91" t="s">
        <v>15</v>
      </c>
      <c r="D20" s="33" t="s">
        <v>11</v>
      </c>
      <c r="E20" s="34">
        <f>E14</f>
        <v>13348.43731</v>
      </c>
      <c r="F20" s="35">
        <f t="shared" si="1"/>
        <v>15208.43731</v>
      </c>
      <c r="G20" s="36"/>
      <c r="I20" s="75">
        <v>6.0</v>
      </c>
      <c r="J20" s="92" t="str">
        <f>J17</f>
        <v>Cakalang</v>
      </c>
      <c r="K20" s="93" t="s">
        <v>15</v>
      </c>
      <c r="L20" s="40" t="s">
        <v>11</v>
      </c>
      <c r="M20" s="41">
        <f>M12</f>
        <v>8909.27525</v>
      </c>
      <c r="N20" s="42">
        <f t="shared" si="2"/>
        <v>10771.27525</v>
      </c>
      <c r="O20" s="43">
        <f>N20+2500</f>
        <v>13271.27525</v>
      </c>
    </row>
    <row r="21">
      <c r="A21" s="80"/>
      <c r="B21" s="81"/>
      <c r="D21" s="44" t="s">
        <v>12</v>
      </c>
      <c r="E21" s="45">
        <f t="shared" ref="E21:E22" si="11">E14</f>
        <v>13348.43731</v>
      </c>
      <c r="F21" s="46">
        <f t="shared" si="1"/>
        <v>15208.43731</v>
      </c>
      <c r="G21" s="47"/>
      <c r="I21" s="80"/>
      <c r="J21" s="81"/>
      <c r="L21" s="48" t="s">
        <v>12</v>
      </c>
      <c r="M21" s="49">
        <f>M20</f>
        <v>8909.27525</v>
      </c>
      <c r="N21" s="50">
        <f t="shared" si="2"/>
        <v>10771.27525</v>
      </c>
      <c r="O21" s="51">
        <f>N21+3000</f>
        <v>13771.27525</v>
      </c>
    </row>
    <row r="22">
      <c r="A22" s="94"/>
      <c r="B22" s="95"/>
      <c r="C22" s="96"/>
      <c r="D22" s="97" t="s">
        <v>13</v>
      </c>
      <c r="E22" s="98">
        <f t="shared" si="11"/>
        <v>13348.43731</v>
      </c>
      <c r="F22" s="52">
        <f t="shared" si="1"/>
        <v>15208.43731</v>
      </c>
      <c r="G22" s="99"/>
      <c r="I22" s="94"/>
      <c r="J22" s="95"/>
      <c r="K22" s="96"/>
      <c r="L22" s="100" t="s">
        <v>13</v>
      </c>
      <c r="M22" s="101">
        <f>M20</f>
        <v>8909.27525</v>
      </c>
      <c r="N22" s="53">
        <f t="shared" si="2"/>
        <v>10771.27525</v>
      </c>
      <c r="O22" s="102">
        <f>N22+3500</f>
        <v>14271.27525</v>
      </c>
    </row>
    <row r="23">
      <c r="A23" s="9">
        <v>7.0</v>
      </c>
      <c r="B23" s="103" t="s">
        <v>17</v>
      </c>
      <c r="C23" s="11" t="s">
        <v>10</v>
      </c>
      <c r="D23" s="12" t="s">
        <v>18</v>
      </c>
      <c r="E23" s="13">
        <f>'Persediaan &amp; HPP DH A-B YPT '!J74</f>
        <v>8495.447665</v>
      </c>
      <c r="F23" s="23">
        <f t="shared" si="1"/>
        <v>10355.44766</v>
      </c>
      <c r="G23" s="15"/>
      <c r="H23" s="89"/>
      <c r="I23" s="9">
        <v>7.0</v>
      </c>
      <c r="J23" s="103" t="s">
        <v>17</v>
      </c>
      <c r="K23" s="11" t="s">
        <v>10</v>
      </c>
      <c r="L23" s="12" t="s">
        <v>18</v>
      </c>
      <c r="M23" s="16">
        <f>M18</f>
        <v>13757.28811</v>
      </c>
      <c r="N23" s="26">
        <f t="shared" si="2"/>
        <v>15619.28811</v>
      </c>
      <c r="O23" s="18">
        <f>N23+1000</f>
        <v>16619.28811</v>
      </c>
      <c r="P23" s="89"/>
      <c r="Q23" s="89"/>
      <c r="R23" s="89"/>
      <c r="S23" s="89"/>
      <c r="T23" s="89"/>
      <c r="U23" s="89"/>
    </row>
    <row r="24">
      <c r="A24" s="80"/>
      <c r="B24" s="81"/>
      <c r="C24" s="81"/>
      <c r="D24" s="21" t="s">
        <v>19</v>
      </c>
      <c r="E24" s="22">
        <f>E23</f>
        <v>8495.447665</v>
      </c>
      <c r="F24" s="23">
        <f t="shared" si="1"/>
        <v>10355.44766</v>
      </c>
      <c r="G24" s="24"/>
      <c r="H24" s="89"/>
      <c r="I24" s="80"/>
      <c r="J24" s="81"/>
      <c r="K24" s="81"/>
      <c r="L24" s="21" t="s">
        <v>19</v>
      </c>
      <c r="M24" s="25">
        <f>M18</f>
        <v>13757.28811</v>
      </c>
      <c r="N24" s="26">
        <f t="shared" si="2"/>
        <v>15619.28811</v>
      </c>
      <c r="O24" s="27">
        <f>N24+1500</f>
        <v>17119.28811</v>
      </c>
      <c r="P24" s="89"/>
      <c r="Q24" s="89"/>
      <c r="R24" s="89"/>
      <c r="S24" s="89"/>
      <c r="T24" s="89"/>
      <c r="U24" s="89"/>
    </row>
    <row r="25">
      <c r="A25" s="80"/>
      <c r="B25" s="81"/>
      <c r="C25" s="81"/>
      <c r="D25" s="21" t="s">
        <v>13</v>
      </c>
      <c r="E25" s="22">
        <f t="shared" ref="E25:E26" si="12">E23</f>
        <v>8495.447665</v>
      </c>
      <c r="F25" s="23">
        <f t="shared" si="1"/>
        <v>10355.44766</v>
      </c>
      <c r="G25" s="24"/>
      <c r="H25" s="89"/>
      <c r="I25" s="80"/>
      <c r="J25" s="81"/>
      <c r="K25" s="81"/>
      <c r="L25" s="21" t="s">
        <v>13</v>
      </c>
      <c r="M25" s="25">
        <f>M24</f>
        <v>13757.28811</v>
      </c>
      <c r="N25" s="26">
        <f t="shared" si="2"/>
        <v>15619.28811</v>
      </c>
      <c r="O25" s="27">
        <f>N25+2000</f>
        <v>17619.28811</v>
      </c>
      <c r="P25" s="89"/>
      <c r="Q25" s="89"/>
      <c r="R25" s="89"/>
      <c r="S25" s="89"/>
      <c r="T25" s="89"/>
      <c r="U25" s="89"/>
    </row>
    <row r="26">
      <c r="A26" s="30">
        <v>8.0</v>
      </c>
      <c r="B26" s="31" t="str">
        <f>B23</f>
        <v>Deiho</v>
      </c>
      <c r="C26" s="32" t="s">
        <v>14</v>
      </c>
      <c r="D26" s="33" t="s">
        <v>18</v>
      </c>
      <c r="E26" s="34">
        <f t="shared" si="12"/>
        <v>8495.447665</v>
      </c>
      <c r="F26" s="35">
        <f t="shared" si="1"/>
        <v>10355.44766</v>
      </c>
      <c r="G26" s="36"/>
      <c r="H26" s="89"/>
      <c r="I26" s="37">
        <v>8.0</v>
      </c>
      <c r="J26" s="38" t="str">
        <f>J23</f>
        <v>Deiho</v>
      </c>
      <c r="K26" s="39" t="s">
        <v>14</v>
      </c>
      <c r="L26" s="40" t="s">
        <v>18</v>
      </c>
      <c r="M26" s="41">
        <f>M23</f>
        <v>13757.28811</v>
      </c>
      <c r="N26" s="42">
        <f t="shared" si="2"/>
        <v>15619.28811</v>
      </c>
      <c r="O26" s="43">
        <f>N26+500</f>
        <v>16119.28811</v>
      </c>
      <c r="P26" s="89"/>
      <c r="Q26" s="89"/>
      <c r="R26" s="89"/>
      <c r="S26" s="89"/>
      <c r="T26" s="89"/>
      <c r="U26" s="89"/>
    </row>
    <row r="27">
      <c r="A27" s="81"/>
      <c r="B27" s="80"/>
      <c r="C27" s="80"/>
      <c r="D27" s="44" t="s">
        <v>19</v>
      </c>
      <c r="E27" s="45">
        <f>E26</f>
        <v>8495.447665</v>
      </c>
      <c r="F27" s="46">
        <f t="shared" si="1"/>
        <v>10355.44766</v>
      </c>
      <c r="G27" s="47"/>
      <c r="H27" s="89"/>
      <c r="I27" s="81"/>
      <c r="J27" s="80"/>
      <c r="K27" s="80"/>
      <c r="L27" s="48" t="s">
        <v>19</v>
      </c>
      <c r="M27" s="49">
        <f>M26</f>
        <v>13757.28811</v>
      </c>
      <c r="N27" s="50">
        <f t="shared" si="2"/>
        <v>15619.28811</v>
      </c>
      <c r="O27" s="51">
        <f>N27+1000</f>
        <v>16619.28811</v>
      </c>
      <c r="P27" s="89"/>
      <c r="Q27" s="89"/>
      <c r="R27" s="89"/>
      <c r="S27" s="89"/>
      <c r="T27" s="89"/>
      <c r="U27" s="89"/>
    </row>
    <row r="28">
      <c r="A28" s="81"/>
      <c r="B28" s="80"/>
      <c r="C28" s="80"/>
      <c r="D28" s="44" t="s">
        <v>13</v>
      </c>
      <c r="E28" s="45">
        <f>E26</f>
        <v>8495.447665</v>
      </c>
      <c r="F28" s="52">
        <f t="shared" si="1"/>
        <v>10355.44766</v>
      </c>
      <c r="G28" s="47"/>
      <c r="H28" s="89"/>
      <c r="I28" s="81"/>
      <c r="J28" s="80"/>
      <c r="K28" s="80"/>
      <c r="L28" s="48" t="s">
        <v>13</v>
      </c>
      <c r="M28" s="49">
        <f>M26</f>
        <v>13757.28811</v>
      </c>
      <c r="N28" s="53">
        <f t="shared" si="2"/>
        <v>15619.28811</v>
      </c>
      <c r="O28" s="51">
        <f>N27+1500</f>
        <v>17119.28811</v>
      </c>
      <c r="P28" s="89"/>
      <c r="Q28" s="89"/>
      <c r="R28" s="89"/>
      <c r="S28" s="89"/>
      <c r="T28" s="89"/>
      <c r="U28" s="89"/>
    </row>
    <row r="29">
      <c r="A29" s="9">
        <v>9.0</v>
      </c>
      <c r="B29" s="54" t="str">
        <f>B26</f>
        <v>Deiho</v>
      </c>
      <c r="C29" s="55" t="s">
        <v>15</v>
      </c>
      <c r="D29" s="56" t="s">
        <v>18</v>
      </c>
      <c r="E29" s="57">
        <f>'Persediaan &amp; HPP DH PP YPT '!J73</f>
        <v>6139.508451</v>
      </c>
      <c r="F29" s="23">
        <f t="shared" si="1"/>
        <v>7999.508451</v>
      </c>
      <c r="G29" s="15"/>
      <c r="H29" s="89"/>
      <c r="I29" s="9">
        <v>9.0</v>
      </c>
      <c r="J29" s="54" t="str">
        <f>J26</f>
        <v>Deiho</v>
      </c>
      <c r="K29" s="55" t="s">
        <v>15</v>
      </c>
      <c r="L29" s="56" t="s">
        <v>18</v>
      </c>
      <c r="M29" s="58">
        <f>M22</f>
        <v>8909.27525</v>
      </c>
      <c r="N29" s="26">
        <f t="shared" si="2"/>
        <v>10771.27525</v>
      </c>
      <c r="O29" s="104">
        <f>M29+2000</f>
        <v>10909.27525</v>
      </c>
      <c r="P29" s="89"/>
      <c r="Q29" s="89"/>
      <c r="R29" s="89"/>
      <c r="S29" s="89"/>
      <c r="T29" s="89"/>
      <c r="U29" s="89"/>
    </row>
    <row r="30">
      <c r="A30" s="80"/>
      <c r="B30" s="81"/>
      <c r="D30" s="59" t="s">
        <v>19</v>
      </c>
      <c r="E30" s="60">
        <f>E29</f>
        <v>6139.508451</v>
      </c>
      <c r="F30" s="23">
        <f t="shared" si="1"/>
        <v>7999.508451</v>
      </c>
      <c r="G30" s="24"/>
      <c r="H30" s="89"/>
      <c r="I30" s="80"/>
      <c r="J30" s="81"/>
      <c r="L30" s="59" t="s">
        <v>19</v>
      </c>
      <c r="M30" s="61">
        <f t="shared" ref="M30:M31" si="13">M29</f>
        <v>8909.27525</v>
      </c>
      <c r="N30" s="26">
        <f t="shared" si="2"/>
        <v>10771.27525</v>
      </c>
      <c r="O30" s="27">
        <f>M30+2500</f>
        <v>11409.27525</v>
      </c>
      <c r="P30" s="89"/>
      <c r="Q30" s="89"/>
      <c r="R30" s="89"/>
      <c r="S30" s="89"/>
      <c r="T30" s="89"/>
      <c r="U30" s="89"/>
    </row>
    <row r="31">
      <c r="A31" s="94"/>
      <c r="B31" s="95"/>
      <c r="C31" s="96"/>
      <c r="D31" s="65" t="s">
        <v>13</v>
      </c>
      <c r="E31" s="66">
        <f>E29</f>
        <v>6139.508451</v>
      </c>
      <c r="F31" s="23">
        <f t="shared" si="1"/>
        <v>7999.508451</v>
      </c>
      <c r="G31" s="67"/>
      <c r="H31" s="89"/>
      <c r="I31" s="94"/>
      <c r="J31" s="95"/>
      <c r="K31" s="96"/>
      <c r="L31" s="65" t="s">
        <v>13</v>
      </c>
      <c r="M31" s="68">
        <f t="shared" si="13"/>
        <v>8909.27525</v>
      </c>
      <c r="N31" s="105">
        <f t="shared" si="2"/>
        <v>10771.27525</v>
      </c>
      <c r="O31" s="67" t="str">
        <f>M313000</f>
        <v/>
      </c>
      <c r="P31" s="89"/>
      <c r="Q31" s="89"/>
      <c r="R31" s="89"/>
      <c r="S31" s="89"/>
      <c r="T31" s="89"/>
      <c r="U31" s="89"/>
    </row>
    <row r="32">
      <c r="A32" s="106">
        <v>10.0</v>
      </c>
      <c r="B32" s="107" t="s">
        <v>20</v>
      </c>
      <c r="C32" s="108" t="s">
        <v>20</v>
      </c>
      <c r="D32" s="109"/>
      <c r="E32" s="110">
        <f>'Persediaan &amp; HPP Ca RC YPT '!J53</f>
        <v>5781.277597</v>
      </c>
      <c r="F32" s="111">
        <f t="shared" si="1"/>
        <v>7641.277597</v>
      </c>
      <c r="G32" s="112"/>
    </row>
    <row r="33">
      <c r="A33" s="1"/>
      <c r="B33" s="2"/>
      <c r="C33" s="3"/>
      <c r="D33" s="3"/>
    </row>
    <row r="34">
      <c r="A34" s="1"/>
      <c r="B34" s="2"/>
      <c r="C34" s="3"/>
      <c r="D34" s="3"/>
    </row>
    <row r="35">
      <c r="A35" s="1"/>
      <c r="B35" s="2"/>
      <c r="C35" s="3"/>
      <c r="D35" s="3"/>
    </row>
    <row r="36">
      <c r="A36" s="1"/>
      <c r="B36" s="2"/>
      <c r="C36" s="3"/>
      <c r="D36" s="3"/>
    </row>
    <row r="37">
      <c r="A37" s="1"/>
      <c r="B37" s="2"/>
      <c r="C37" s="3"/>
      <c r="D37" s="3"/>
    </row>
    <row r="38">
      <c r="A38" s="1"/>
      <c r="B38" s="2"/>
      <c r="C38" s="3"/>
      <c r="D38" s="3"/>
    </row>
    <row r="39">
      <c r="A39" s="1"/>
      <c r="B39" s="2"/>
      <c r="C39" s="3"/>
      <c r="D39" s="3"/>
    </row>
    <row r="40">
      <c r="A40" s="1"/>
      <c r="B40" s="2"/>
      <c r="C40" s="3"/>
      <c r="D40" s="3"/>
    </row>
    <row r="41">
      <c r="A41" s="1"/>
      <c r="B41" s="2"/>
      <c r="C41" s="3"/>
      <c r="D41" s="3"/>
    </row>
    <row r="42">
      <c r="A42" s="1"/>
      <c r="B42" s="2"/>
      <c r="C42" s="3"/>
      <c r="D42" s="3"/>
    </row>
    <row r="43">
      <c r="A43" s="1"/>
      <c r="B43" s="2"/>
      <c r="C43" s="3"/>
      <c r="D43" s="3"/>
    </row>
    <row r="44">
      <c r="A44" s="1"/>
      <c r="B44" s="2"/>
      <c r="C44" s="3"/>
      <c r="D44" s="3"/>
    </row>
    <row r="45">
      <c r="A45" s="1"/>
      <c r="B45" s="2"/>
      <c r="C45" s="3"/>
      <c r="D45" s="3"/>
    </row>
    <row r="46">
      <c r="A46" s="1"/>
      <c r="B46" s="2"/>
      <c r="C46" s="3"/>
      <c r="D46" s="3"/>
    </row>
    <row r="47">
      <c r="A47" s="1"/>
      <c r="B47" s="2"/>
      <c r="C47" s="3"/>
      <c r="D47" s="3"/>
    </row>
    <row r="48">
      <c r="A48" s="1"/>
      <c r="B48" s="2"/>
      <c r="C48" s="3"/>
      <c r="D48" s="3"/>
    </row>
    <row r="49">
      <c r="A49" s="1"/>
      <c r="B49" s="2"/>
      <c r="C49" s="3"/>
      <c r="D49" s="3"/>
    </row>
    <row r="50">
      <c r="A50" s="1"/>
      <c r="B50" s="2"/>
      <c r="C50" s="3"/>
      <c r="D50" s="3"/>
    </row>
    <row r="51">
      <c r="A51" s="1"/>
      <c r="B51" s="2"/>
      <c r="C51" s="3"/>
      <c r="D51" s="3"/>
    </row>
    <row r="52">
      <c r="A52" s="1"/>
      <c r="B52" s="2"/>
      <c r="C52" s="3"/>
      <c r="D52" s="3"/>
    </row>
    <row r="53">
      <c r="A53" s="1"/>
      <c r="B53" s="2"/>
      <c r="C53" s="3"/>
      <c r="D53" s="3"/>
    </row>
    <row r="54">
      <c r="A54" s="1"/>
      <c r="B54" s="2"/>
      <c r="C54" s="3"/>
      <c r="D54" s="3"/>
    </row>
    <row r="55">
      <c r="A55" s="1"/>
      <c r="B55" s="2"/>
      <c r="C55" s="3"/>
      <c r="D55" s="3"/>
    </row>
    <row r="56">
      <c r="A56" s="1"/>
      <c r="B56" s="2"/>
      <c r="C56" s="3"/>
      <c r="D56" s="3"/>
    </row>
    <row r="57">
      <c r="A57" s="1"/>
      <c r="B57" s="2"/>
      <c r="C57" s="3"/>
      <c r="D57" s="3"/>
    </row>
    <row r="58">
      <c r="A58" s="1"/>
      <c r="B58" s="2"/>
      <c r="C58" s="3"/>
      <c r="D58" s="3"/>
    </row>
    <row r="59">
      <c r="A59" s="1"/>
      <c r="B59" s="2"/>
      <c r="C59" s="3"/>
      <c r="D59" s="3"/>
    </row>
    <row r="60">
      <c r="A60" s="1"/>
      <c r="B60" s="2"/>
      <c r="C60" s="3"/>
      <c r="D60" s="3"/>
    </row>
    <row r="61">
      <c r="A61" s="1"/>
      <c r="B61" s="2"/>
      <c r="C61" s="3"/>
      <c r="D61" s="3"/>
    </row>
    <row r="62">
      <c r="A62" s="1"/>
      <c r="B62" s="2"/>
      <c r="C62" s="3"/>
      <c r="D62" s="3"/>
    </row>
    <row r="63">
      <c r="A63" s="1"/>
      <c r="B63" s="2"/>
      <c r="C63" s="3"/>
      <c r="D63" s="3"/>
    </row>
    <row r="64">
      <c r="A64" s="1"/>
      <c r="B64" s="2"/>
      <c r="C64" s="3"/>
      <c r="D64" s="3"/>
    </row>
    <row r="65">
      <c r="A65" s="1"/>
      <c r="B65" s="2"/>
      <c r="C65" s="3"/>
      <c r="D65" s="3"/>
    </row>
    <row r="66">
      <c r="A66" s="1"/>
      <c r="B66" s="2"/>
      <c r="C66" s="3"/>
      <c r="D66" s="3"/>
    </row>
    <row r="67">
      <c r="A67" s="1"/>
      <c r="B67" s="2"/>
      <c r="C67" s="3"/>
      <c r="D67" s="3"/>
    </row>
    <row r="68">
      <c r="A68" s="1"/>
      <c r="B68" s="2"/>
      <c r="C68" s="3"/>
      <c r="D68" s="3"/>
    </row>
    <row r="69">
      <c r="A69" s="1"/>
      <c r="B69" s="2"/>
      <c r="C69" s="3"/>
      <c r="D69" s="3"/>
    </row>
    <row r="70">
      <c r="A70" s="1"/>
      <c r="B70" s="2"/>
      <c r="C70" s="3"/>
      <c r="D70" s="3"/>
    </row>
    <row r="71">
      <c r="A71" s="1"/>
      <c r="B71" s="2"/>
      <c r="C71" s="3"/>
      <c r="D71" s="3"/>
    </row>
    <row r="72">
      <c r="A72" s="1"/>
      <c r="B72" s="2"/>
      <c r="C72" s="3"/>
      <c r="D72" s="3"/>
    </row>
    <row r="73">
      <c r="A73" s="1"/>
      <c r="B73" s="2"/>
      <c r="C73" s="3"/>
      <c r="D73" s="3"/>
    </row>
    <row r="74">
      <c r="A74" s="1"/>
      <c r="B74" s="2"/>
      <c r="C74" s="3"/>
      <c r="D74" s="3"/>
    </row>
    <row r="75">
      <c r="A75" s="1"/>
      <c r="B75" s="2"/>
      <c r="C75" s="3"/>
      <c r="D75" s="3"/>
    </row>
    <row r="76">
      <c r="A76" s="1"/>
      <c r="B76" s="2"/>
      <c r="C76" s="3"/>
      <c r="D76" s="3"/>
    </row>
    <row r="77">
      <c r="A77" s="1"/>
      <c r="B77" s="2"/>
      <c r="C77" s="3"/>
      <c r="D77" s="3"/>
    </row>
    <row r="78">
      <c r="A78" s="1"/>
      <c r="B78" s="2"/>
      <c r="C78" s="3"/>
      <c r="D78" s="3"/>
    </row>
    <row r="79">
      <c r="A79" s="1"/>
      <c r="B79" s="2"/>
      <c r="C79" s="3"/>
      <c r="D79" s="3"/>
    </row>
    <row r="80">
      <c r="A80" s="1"/>
      <c r="B80" s="2"/>
      <c r="C80" s="3"/>
      <c r="D80" s="3"/>
    </row>
    <row r="81">
      <c r="A81" s="1"/>
      <c r="B81" s="2"/>
      <c r="C81" s="3"/>
      <c r="D81" s="3"/>
    </row>
    <row r="82">
      <c r="A82" s="1"/>
      <c r="B82" s="2"/>
      <c r="C82" s="3"/>
      <c r="D82" s="3"/>
    </row>
    <row r="83">
      <c r="A83" s="1"/>
      <c r="B83" s="2"/>
      <c r="C83" s="3"/>
      <c r="D83" s="3"/>
    </row>
    <row r="84">
      <c r="A84" s="1"/>
      <c r="B84" s="2"/>
      <c r="C84" s="3"/>
      <c r="D84" s="3"/>
    </row>
    <row r="85">
      <c r="A85" s="1"/>
      <c r="B85" s="2"/>
      <c r="C85" s="3"/>
      <c r="D85" s="3"/>
    </row>
    <row r="86">
      <c r="A86" s="1"/>
      <c r="B86" s="2"/>
      <c r="C86" s="3"/>
      <c r="D86" s="3"/>
    </row>
    <row r="87">
      <c r="A87" s="1"/>
      <c r="B87" s="2"/>
      <c r="C87" s="3"/>
      <c r="D87" s="3"/>
    </row>
    <row r="88">
      <c r="A88" s="1"/>
      <c r="B88" s="2"/>
      <c r="C88" s="3"/>
      <c r="D88" s="3"/>
    </row>
    <row r="89">
      <c r="A89" s="1"/>
      <c r="B89" s="2"/>
      <c r="C89" s="3"/>
      <c r="D89" s="3"/>
    </row>
    <row r="90">
      <c r="A90" s="1"/>
      <c r="B90" s="2"/>
      <c r="C90" s="3"/>
      <c r="D90" s="3"/>
    </row>
    <row r="91">
      <c r="A91" s="1"/>
      <c r="B91" s="2"/>
      <c r="C91" s="3"/>
      <c r="D91" s="3"/>
    </row>
    <row r="92">
      <c r="A92" s="1"/>
      <c r="B92" s="2"/>
      <c r="C92" s="3"/>
      <c r="D92" s="3"/>
    </row>
    <row r="93">
      <c r="A93" s="1"/>
      <c r="B93" s="2"/>
      <c r="C93" s="3"/>
      <c r="D93" s="3"/>
    </row>
    <row r="94">
      <c r="A94" s="1"/>
      <c r="B94" s="2"/>
      <c r="C94" s="3"/>
      <c r="D94" s="3"/>
    </row>
    <row r="95">
      <c r="A95" s="1"/>
      <c r="B95" s="2"/>
      <c r="C95" s="3"/>
      <c r="D95" s="3"/>
    </row>
    <row r="96">
      <c r="A96" s="1"/>
      <c r="B96" s="2"/>
      <c r="C96" s="3"/>
      <c r="D96" s="3"/>
    </row>
    <row r="97">
      <c r="A97" s="1"/>
      <c r="B97" s="2"/>
      <c r="C97" s="3"/>
      <c r="D97" s="3"/>
    </row>
    <row r="98">
      <c r="A98" s="1"/>
      <c r="B98" s="2"/>
      <c r="C98" s="3"/>
      <c r="D98" s="3"/>
    </row>
    <row r="99">
      <c r="A99" s="1"/>
      <c r="B99" s="2"/>
      <c r="C99" s="3"/>
      <c r="D99" s="3"/>
    </row>
    <row r="100">
      <c r="A100" s="1"/>
      <c r="B100" s="2"/>
      <c r="C100" s="3"/>
      <c r="D100" s="3"/>
    </row>
    <row r="101">
      <c r="A101" s="1"/>
      <c r="B101" s="2"/>
      <c r="C101" s="3"/>
      <c r="D101" s="3"/>
    </row>
    <row r="102">
      <c r="A102" s="1"/>
      <c r="B102" s="2"/>
      <c r="C102" s="3"/>
      <c r="D102" s="3"/>
    </row>
    <row r="103">
      <c r="A103" s="1"/>
      <c r="B103" s="2"/>
      <c r="C103" s="3"/>
      <c r="D103" s="3"/>
    </row>
    <row r="104">
      <c r="A104" s="1"/>
      <c r="B104" s="2"/>
      <c r="C104" s="3"/>
      <c r="D104" s="3"/>
    </row>
    <row r="105">
      <c r="A105" s="1"/>
      <c r="B105" s="2"/>
      <c r="C105" s="3"/>
      <c r="D105" s="3"/>
    </row>
    <row r="106">
      <c r="A106" s="1"/>
      <c r="B106" s="2"/>
      <c r="C106" s="3"/>
      <c r="D106" s="3"/>
    </row>
    <row r="107">
      <c r="A107" s="1"/>
      <c r="B107" s="2"/>
      <c r="C107" s="3"/>
      <c r="D107" s="3"/>
    </row>
    <row r="108">
      <c r="A108" s="1"/>
      <c r="B108" s="2"/>
      <c r="C108" s="3"/>
      <c r="D108" s="3"/>
    </row>
    <row r="109">
      <c r="A109" s="1"/>
      <c r="B109" s="2"/>
      <c r="C109" s="3"/>
      <c r="D109" s="3"/>
    </row>
    <row r="110">
      <c r="A110" s="1"/>
      <c r="B110" s="2"/>
      <c r="C110" s="3"/>
      <c r="D110" s="3"/>
    </row>
    <row r="111">
      <c r="A111" s="1"/>
      <c r="B111" s="2"/>
      <c r="C111" s="3"/>
      <c r="D111" s="3"/>
    </row>
    <row r="112">
      <c r="A112" s="1"/>
      <c r="B112" s="2"/>
      <c r="C112" s="3"/>
      <c r="D112" s="3"/>
    </row>
    <row r="113">
      <c r="A113" s="1"/>
      <c r="B113" s="2"/>
      <c r="C113" s="3"/>
      <c r="D113" s="3"/>
    </row>
    <row r="114">
      <c r="A114" s="1"/>
      <c r="B114" s="2"/>
      <c r="C114" s="3"/>
      <c r="D114" s="3"/>
    </row>
    <row r="115">
      <c r="A115" s="1"/>
      <c r="B115" s="2"/>
      <c r="C115" s="3"/>
      <c r="D115" s="3"/>
    </row>
    <row r="116">
      <c r="A116" s="1"/>
      <c r="B116" s="2"/>
      <c r="C116" s="3"/>
      <c r="D116" s="3"/>
    </row>
    <row r="117">
      <c r="A117" s="1"/>
      <c r="B117" s="2"/>
      <c r="C117" s="3"/>
      <c r="D117" s="3"/>
    </row>
    <row r="118">
      <c r="A118" s="1"/>
      <c r="B118" s="2"/>
      <c r="C118" s="3"/>
      <c r="D118" s="3"/>
    </row>
    <row r="119">
      <c r="A119" s="1"/>
      <c r="B119" s="2"/>
      <c r="C119" s="3"/>
      <c r="D119" s="3"/>
    </row>
    <row r="120">
      <c r="A120" s="1"/>
      <c r="B120" s="2"/>
      <c r="C120" s="3"/>
      <c r="D120" s="3"/>
    </row>
    <row r="121">
      <c r="A121" s="1"/>
      <c r="B121" s="2"/>
      <c r="C121" s="3"/>
      <c r="D121" s="3"/>
    </row>
    <row r="122">
      <c r="A122" s="1"/>
      <c r="B122" s="2"/>
      <c r="C122" s="3"/>
      <c r="D122" s="3"/>
    </row>
    <row r="123">
      <c r="A123" s="1"/>
      <c r="B123" s="2"/>
      <c r="C123" s="3"/>
      <c r="D123" s="3"/>
    </row>
    <row r="124">
      <c r="A124" s="1"/>
      <c r="B124" s="2"/>
      <c r="C124" s="3"/>
      <c r="D124" s="3"/>
    </row>
    <row r="125">
      <c r="A125" s="1"/>
      <c r="B125" s="2"/>
      <c r="C125" s="3"/>
      <c r="D125" s="3"/>
    </row>
    <row r="126">
      <c r="A126" s="1"/>
      <c r="B126" s="2"/>
      <c r="C126" s="3"/>
      <c r="D126" s="3"/>
    </row>
    <row r="127">
      <c r="A127" s="1"/>
      <c r="B127" s="2"/>
      <c r="C127" s="3"/>
      <c r="D127" s="3"/>
    </row>
    <row r="128">
      <c r="A128" s="1"/>
      <c r="B128" s="2"/>
      <c r="C128" s="3"/>
      <c r="D128" s="3"/>
    </row>
    <row r="129">
      <c r="A129" s="1"/>
      <c r="B129" s="2"/>
      <c r="C129" s="3"/>
      <c r="D129" s="3"/>
    </row>
    <row r="130">
      <c r="A130" s="1"/>
      <c r="B130" s="2"/>
      <c r="C130" s="3"/>
      <c r="D130" s="3"/>
    </row>
    <row r="131">
      <c r="A131" s="1"/>
      <c r="B131" s="2"/>
      <c r="C131" s="3"/>
      <c r="D131" s="3"/>
    </row>
    <row r="132">
      <c r="A132" s="1"/>
      <c r="B132" s="2"/>
      <c r="C132" s="3"/>
      <c r="D132" s="3"/>
    </row>
    <row r="133">
      <c r="A133" s="1"/>
      <c r="B133" s="2"/>
      <c r="C133" s="3"/>
      <c r="D133" s="3"/>
    </row>
    <row r="134">
      <c r="A134" s="1"/>
      <c r="B134" s="2"/>
      <c r="C134" s="3"/>
      <c r="D134" s="3"/>
    </row>
    <row r="135">
      <c r="A135" s="1"/>
      <c r="B135" s="2"/>
      <c r="C135" s="3"/>
      <c r="D135" s="3"/>
    </row>
    <row r="136">
      <c r="A136" s="1"/>
      <c r="B136" s="2"/>
      <c r="C136" s="3"/>
      <c r="D136" s="3"/>
    </row>
    <row r="137">
      <c r="A137" s="1"/>
      <c r="B137" s="2"/>
      <c r="C137" s="3"/>
      <c r="D137" s="3"/>
    </row>
    <row r="138">
      <c r="A138" s="1"/>
      <c r="B138" s="2"/>
      <c r="C138" s="3"/>
      <c r="D138" s="3"/>
    </row>
    <row r="139">
      <c r="A139" s="1"/>
      <c r="B139" s="2"/>
      <c r="C139" s="3"/>
      <c r="D139" s="3"/>
    </row>
    <row r="140">
      <c r="A140" s="1"/>
      <c r="B140" s="2"/>
      <c r="C140" s="3"/>
      <c r="D140" s="3"/>
    </row>
    <row r="141">
      <c r="A141" s="1"/>
      <c r="B141" s="2"/>
      <c r="C141" s="3"/>
      <c r="D141" s="3"/>
    </row>
    <row r="142">
      <c r="A142" s="1"/>
      <c r="B142" s="2"/>
      <c r="C142" s="3"/>
      <c r="D142" s="3"/>
    </row>
    <row r="143">
      <c r="A143" s="1"/>
      <c r="B143" s="2"/>
      <c r="C143" s="3"/>
      <c r="D143" s="3"/>
    </row>
    <row r="144">
      <c r="A144" s="1"/>
      <c r="B144" s="2"/>
      <c r="C144" s="3"/>
      <c r="D144" s="3"/>
    </row>
    <row r="145">
      <c r="A145" s="1"/>
      <c r="B145" s="2"/>
      <c r="C145" s="3"/>
      <c r="D145" s="3"/>
    </row>
    <row r="146">
      <c r="A146" s="1"/>
      <c r="B146" s="2"/>
      <c r="C146" s="3"/>
      <c r="D146" s="3"/>
    </row>
    <row r="147">
      <c r="A147" s="1"/>
      <c r="B147" s="2"/>
      <c r="C147" s="3"/>
      <c r="D147" s="3"/>
    </row>
    <row r="148">
      <c r="A148" s="1"/>
      <c r="B148" s="2"/>
      <c r="C148" s="3"/>
      <c r="D148" s="3"/>
    </row>
    <row r="149">
      <c r="A149" s="1"/>
      <c r="B149" s="2"/>
      <c r="C149" s="3"/>
      <c r="D149" s="3"/>
    </row>
    <row r="150">
      <c r="A150" s="1"/>
      <c r="B150" s="2"/>
      <c r="C150" s="3"/>
      <c r="D150" s="3"/>
    </row>
    <row r="151">
      <c r="A151" s="1"/>
      <c r="B151" s="2"/>
      <c r="C151" s="3"/>
      <c r="D151" s="3"/>
    </row>
    <row r="152">
      <c r="A152" s="1"/>
      <c r="B152" s="2"/>
      <c r="C152" s="3"/>
      <c r="D152" s="3"/>
    </row>
    <row r="153">
      <c r="A153" s="1"/>
      <c r="B153" s="2"/>
      <c r="C153" s="3"/>
      <c r="D153" s="3"/>
    </row>
    <row r="154">
      <c r="A154" s="1"/>
      <c r="B154" s="2"/>
      <c r="C154" s="3"/>
      <c r="D154" s="3"/>
    </row>
    <row r="155">
      <c r="A155" s="1"/>
      <c r="B155" s="2"/>
      <c r="C155" s="3"/>
      <c r="D155" s="3"/>
    </row>
    <row r="156">
      <c r="A156" s="1"/>
      <c r="B156" s="2"/>
      <c r="C156" s="3"/>
      <c r="D156" s="3"/>
    </row>
    <row r="157">
      <c r="A157" s="1"/>
      <c r="B157" s="2"/>
      <c r="C157" s="3"/>
      <c r="D157" s="3"/>
    </row>
    <row r="158">
      <c r="A158" s="1"/>
      <c r="B158" s="2"/>
      <c r="C158" s="3"/>
      <c r="D158" s="3"/>
    </row>
    <row r="159">
      <c r="A159" s="1"/>
      <c r="B159" s="2"/>
      <c r="C159" s="3"/>
      <c r="D159" s="3"/>
    </row>
    <row r="160">
      <c r="A160" s="1"/>
      <c r="B160" s="2"/>
      <c r="C160" s="3"/>
      <c r="D160" s="3"/>
    </row>
    <row r="161">
      <c r="A161" s="1"/>
      <c r="B161" s="2"/>
      <c r="C161" s="3"/>
      <c r="D161" s="3"/>
    </row>
    <row r="162">
      <c r="A162" s="1"/>
      <c r="B162" s="2"/>
      <c r="C162" s="3"/>
      <c r="D162" s="3"/>
    </row>
    <row r="163">
      <c r="A163" s="1"/>
      <c r="B163" s="2"/>
      <c r="C163" s="3"/>
      <c r="D163" s="3"/>
    </row>
    <row r="164">
      <c r="A164" s="1"/>
      <c r="B164" s="2"/>
      <c r="C164" s="3"/>
      <c r="D164" s="3"/>
    </row>
    <row r="165">
      <c r="A165" s="1"/>
      <c r="B165" s="2"/>
      <c r="C165" s="3"/>
      <c r="D165" s="3"/>
    </row>
    <row r="166">
      <c r="A166" s="1"/>
      <c r="B166" s="2"/>
      <c r="C166" s="3"/>
      <c r="D166" s="3"/>
    </row>
    <row r="167">
      <c r="A167" s="1"/>
      <c r="B167" s="2"/>
      <c r="C167" s="3"/>
      <c r="D167" s="3"/>
    </row>
    <row r="168">
      <c r="A168" s="1"/>
      <c r="B168" s="2"/>
      <c r="C168" s="3"/>
      <c r="D168" s="3"/>
    </row>
    <row r="169">
      <c r="A169" s="1"/>
      <c r="B169" s="2"/>
      <c r="C169" s="3"/>
      <c r="D169" s="3"/>
    </row>
    <row r="170">
      <c r="A170" s="1"/>
      <c r="B170" s="2"/>
      <c r="C170" s="3"/>
      <c r="D170" s="3"/>
    </row>
    <row r="171">
      <c r="A171" s="1"/>
      <c r="B171" s="2"/>
      <c r="C171" s="3"/>
      <c r="D171" s="3"/>
    </row>
    <row r="172">
      <c r="A172" s="1"/>
      <c r="B172" s="2"/>
      <c r="C172" s="3"/>
      <c r="D172" s="3"/>
    </row>
    <row r="173">
      <c r="A173" s="1"/>
      <c r="B173" s="2"/>
      <c r="C173" s="3"/>
      <c r="D173" s="3"/>
    </row>
    <row r="174">
      <c r="A174" s="1"/>
      <c r="B174" s="2"/>
      <c r="C174" s="3"/>
      <c r="D174" s="3"/>
    </row>
    <row r="175">
      <c r="A175" s="1"/>
      <c r="B175" s="2"/>
      <c r="C175" s="3"/>
      <c r="D175" s="3"/>
    </row>
    <row r="176">
      <c r="A176" s="1"/>
      <c r="B176" s="2"/>
      <c r="C176" s="3"/>
      <c r="D176" s="3"/>
    </row>
    <row r="177">
      <c r="A177" s="1"/>
      <c r="B177" s="2"/>
      <c r="C177" s="3"/>
      <c r="D177" s="3"/>
    </row>
    <row r="178">
      <c r="A178" s="1"/>
      <c r="B178" s="2"/>
      <c r="C178" s="3"/>
      <c r="D178" s="3"/>
    </row>
    <row r="179">
      <c r="A179" s="1"/>
      <c r="B179" s="2"/>
      <c r="C179" s="3"/>
      <c r="D179" s="3"/>
    </row>
    <row r="180">
      <c r="A180" s="1"/>
      <c r="B180" s="2"/>
      <c r="C180" s="3"/>
      <c r="D180" s="3"/>
    </row>
    <row r="181">
      <c r="A181" s="1"/>
      <c r="B181" s="2"/>
      <c r="C181" s="3"/>
      <c r="D181" s="3"/>
    </row>
    <row r="182">
      <c r="A182" s="1"/>
      <c r="B182" s="2"/>
      <c r="C182" s="3"/>
      <c r="D182" s="3"/>
    </row>
    <row r="183">
      <c r="A183" s="1"/>
      <c r="B183" s="2"/>
      <c r="C183" s="3"/>
      <c r="D183" s="3"/>
    </row>
    <row r="184">
      <c r="A184" s="1"/>
      <c r="B184" s="2"/>
      <c r="C184" s="3"/>
      <c r="D184" s="3"/>
    </row>
    <row r="185">
      <c r="A185" s="1"/>
      <c r="B185" s="2"/>
      <c r="C185" s="3"/>
      <c r="D185" s="3"/>
    </row>
    <row r="186">
      <c r="A186" s="1"/>
      <c r="B186" s="2"/>
      <c r="C186" s="3"/>
      <c r="D186" s="3"/>
    </row>
    <row r="187">
      <c r="A187" s="1"/>
      <c r="B187" s="2"/>
      <c r="C187" s="3"/>
      <c r="D187" s="3"/>
    </row>
    <row r="188">
      <c r="A188" s="1"/>
      <c r="B188" s="2"/>
      <c r="C188" s="3"/>
      <c r="D188" s="3"/>
    </row>
    <row r="189">
      <c r="A189" s="1"/>
      <c r="B189" s="2"/>
      <c r="C189" s="3"/>
      <c r="D189" s="3"/>
    </row>
    <row r="190">
      <c r="A190" s="1"/>
      <c r="B190" s="2"/>
      <c r="C190" s="3"/>
      <c r="D190" s="3"/>
    </row>
    <row r="191">
      <c r="A191" s="1"/>
      <c r="B191" s="2"/>
      <c r="C191" s="3"/>
      <c r="D191" s="3"/>
    </row>
    <row r="192">
      <c r="A192" s="1"/>
      <c r="B192" s="2"/>
      <c r="C192" s="3"/>
      <c r="D192" s="3"/>
    </row>
    <row r="193">
      <c r="A193" s="1"/>
      <c r="B193" s="2"/>
      <c r="C193" s="3"/>
      <c r="D193" s="3"/>
    </row>
    <row r="194">
      <c r="A194" s="1"/>
      <c r="B194" s="2"/>
      <c r="C194" s="3"/>
      <c r="D194" s="3"/>
    </row>
    <row r="195">
      <c r="A195" s="1"/>
      <c r="B195" s="2"/>
      <c r="C195" s="3"/>
      <c r="D195" s="3"/>
    </row>
    <row r="196">
      <c r="A196" s="1"/>
      <c r="B196" s="2"/>
      <c r="C196" s="3"/>
      <c r="D196" s="3"/>
    </row>
    <row r="197">
      <c r="A197" s="1"/>
      <c r="B197" s="2"/>
      <c r="C197" s="3"/>
      <c r="D197" s="3"/>
    </row>
    <row r="198">
      <c r="A198" s="1"/>
      <c r="B198" s="2"/>
      <c r="C198" s="3"/>
      <c r="D198" s="3"/>
    </row>
    <row r="199">
      <c r="A199" s="1"/>
      <c r="B199" s="2"/>
      <c r="C199" s="3"/>
      <c r="D199" s="3"/>
    </row>
    <row r="200">
      <c r="A200" s="1"/>
      <c r="B200" s="2"/>
      <c r="C200" s="3"/>
      <c r="D200" s="3"/>
    </row>
    <row r="201">
      <c r="A201" s="1"/>
      <c r="B201" s="2"/>
      <c r="C201" s="3"/>
      <c r="D201" s="3"/>
    </row>
    <row r="202">
      <c r="A202" s="1"/>
      <c r="B202" s="2"/>
      <c r="C202" s="3"/>
      <c r="D202" s="3"/>
    </row>
    <row r="203">
      <c r="A203" s="1"/>
      <c r="B203" s="2"/>
      <c r="C203" s="3"/>
      <c r="D203" s="3"/>
    </row>
    <row r="204">
      <c r="A204" s="1"/>
      <c r="B204" s="2"/>
      <c r="C204" s="3"/>
      <c r="D204" s="3"/>
    </row>
    <row r="205">
      <c r="A205" s="1"/>
      <c r="B205" s="2"/>
      <c r="C205" s="3"/>
      <c r="D205" s="3"/>
    </row>
    <row r="206">
      <c r="A206" s="1"/>
      <c r="B206" s="2"/>
      <c r="C206" s="3"/>
      <c r="D206" s="3"/>
    </row>
    <row r="207">
      <c r="A207" s="1"/>
      <c r="B207" s="2"/>
      <c r="C207" s="3"/>
      <c r="D207" s="3"/>
    </row>
    <row r="208">
      <c r="A208" s="1"/>
      <c r="B208" s="2"/>
      <c r="C208" s="3"/>
      <c r="D208" s="3"/>
    </row>
    <row r="209">
      <c r="A209" s="1"/>
      <c r="B209" s="2"/>
      <c r="C209" s="3"/>
      <c r="D209" s="3"/>
    </row>
    <row r="210">
      <c r="A210" s="1"/>
      <c r="B210" s="2"/>
      <c r="C210" s="3"/>
      <c r="D210" s="3"/>
    </row>
    <row r="211">
      <c r="A211" s="1"/>
      <c r="B211" s="2"/>
      <c r="C211" s="3"/>
      <c r="D211" s="3"/>
    </row>
    <row r="212">
      <c r="A212" s="1"/>
      <c r="B212" s="2"/>
      <c r="C212" s="3"/>
      <c r="D212" s="3"/>
    </row>
    <row r="213">
      <c r="A213" s="1"/>
      <c r="B213" s="2"/>
      <c r="C213" s="3"/>
      <c r="D213" s="3"/>
    </row>
    <row r="214">
      <c r="A214" s="1"/>
      <c r="B214" s="2"/>
      <c r="C214" s="3"/>
      <c r="D214" s="3"/>
    </row>
    <row r="215">
      <c r="A215" s="1"/>
      <c r="B215" s="2"/>
      <c r="C215" s="3"/>
      <c r="D215" s="3"/>
    </row>
    <row r="216">
      <c r="A216" s="1"/>
      <c r="B216" s="2"/>
      <c r="C216" s="3"/>
      <c r="D216" s="3"/>
    </row>
    <row r="217">
      <c r="A217" s="1"/>
      <c r="B217" s="2"/>
      <c r="C217" s="3"/>
      <c r="D217" s="3"/>
    </row>
    <row r="218">
      <c r="A218" s="1"/>
      <c r="B218" s="2"/>
      <c r="C218" s="3"/>
      <c r="D218" s="3"/>
    </row>
    <row r="219">
      <c r="A219" s="1"/>
      <c r="B219" s="2"/>
      <c r="C219" s="3"/>
      <c r="D219" s="3"/>
    </row>
    <row r="220">
      <c r="A220" s="1"/>
      <c r="B220" s="2"/>
      <c r="C220" s="3"/>
      <c r="D220" s="3"/>
    </row>
    <row r="221">
      <c r="A221" s="1"/>
      <c r="B221" s="2"/>
      <c r="C221" s="3"/>
      <c r="D221" s="3"/>
    </row>
    <row r="222">
      <c r="A222" s="1"/>
      <c r="B222" s="2"/>
      <c r="C222" s="3"/>
      <c r="D222" s="3"/>
    </row>
    <row r="223">
      <c r="A223" s="1"/>
      <c r="B223" s="2"/>
      <c r="C223" s="3"/>
      <c r="D223" s="3"/>
    </row>
    <row r="224">
      <c r="A224" s="1"/>
      <c r="B224" s="2"/>
      <c r="C224" s="3"/>
      <c r="D224" s="3"/>
    </row>
    <row r="225">
      <c r="A225" s="1"/>
      <c r="B225" s="2"/>
      <c r="C225" s="3"/>
      <c r="D225" s="3"/>
    </row>
    <row r="226">
      <c r="A226" s="1"/>
      <c r="B226" s="2"/>
      <c r="C226" s="3"/>
      <c r="D226" s="3"/>
    </row>
    <row r="227">
      <c r="A227" s="1"/>
      <c r="B227" s="2"/>
      <c r="C227" s="3"/>
      <c r="D227" s="3"/>
    </row>
    <row r="228">
      <c r="A228" s="1"/>
      <c r="B228" s="2"/>
      <c r="C228" s="3"/>
      <c r="D228" s="3"/>
    </row>
    <row r="229">
      <c r="A229" s="1"/>
      <c r="B229" s="2"/>
      <c r="C229" s="3"/>
      <c r="D229" s="3"/>
    </row>
    <row r="230">
      <c r="A230" s="1"/>
      <c r="B230" s="2"/>
      <c r="C230" s="3"/>
      <c r="D230" s="3"/>
    </row>
    <row r="231">
      <c r="A231" s="1"/>
      <c r="B231" s="2"/>
      <c r="C231" s="3"/>
      <c r="D231" s="3"/>
    </row>
    <row r="232">
      <c r="A232" s="1"/>
      <c r="B232" s="2"/>
      <c r="C232" s="3"/>
      <c r="D232" s="3"/>
    </row>
    <row r="233">
      <c r="A233" s="1"/>
      <c r="B233" s="2"/>
      <c r="C233" s="3"/>
      <c r="D233" s="3"/>
    </row>
    <row r="234">
      <c r="A234" s="1"/>
      <c r="B234" s="2"/>
      <c r="C234" s="3"/>
      <c r="D234" s="3"/>
    </row>
    <row r="235">
      <c r="A235" s="1"/>
      <c r="B235" s="2"/>
      <c r="C235" s="3"/>
      <c r="D235" s="3"/>
    </row>
    <row r="236">
      <c r="A236" s="1"/>
      <c r="B236" s="2"/>
      <c r="C236" s="3"/>
      <c r="D236" s="3"/>
    </row>
    <row r="237">
      <c r="A237" s="1"/>
      <c r="B237" s="2"/>
      <c r="C237" s="3"/>
      <c r="D237" s="3"/>
    </row>
    <row r="238">
      <c r="A238" s="1"/>
      <c r="B238" s="2"/>
      <c r="C238" s="3"/>
      <c r="D238" s="3"/>
    </row>
    <row r="239">
      <c r="A239" s="1"/>
      <c r="B239" s="2"/>
      <c r="C239" s="3"/>
      <c r="D239" s="3"/>
    </row>
    <row r="240">
      <c r="A240" s="1"/>
      <c r="B240" s="2"/>
      <c r="C240" s="3"/>
      <c r="D240" s="3"/>
    </row>
    <row r="241">
      <c r="A241" s="1"/>
      <c r="B241" s="2"/>
      <c r="C241" s="3"/>
      <c r="D241" s="3"/>
    </row>
    <row r="242">
      <c r="A242" s="1"/>
      <c r="B242" s="2"/>
      <c r="C242" s="3"/>
      <c r="D242" s="3"/>
    </row>
    <row r="243">
      <c r="A243" s="1"/>
      <c r="B243" s="2"/>
      <c r="C243" s="3"/>
      <c r="D243" s="3"/>
    </row>
    <row r="244">
      <c r="A244" s="1"/>
      <c r="B244" s="2"/>
      <c r="C244" s="3"/>
      <c r="D244" s="3"/>
    </row>
    <row r="245">
      <c r="A245" s="1"/>
      <c r="B245" s="2"/>
      <c r="C245" s="3"/>
      <c r="D245" s="3"/>
    </row>
    <row r="246">
      <c r="A246" s="1"/>
      <c r="B246" s="2"/>
      <c r="C246" s="3"/>
      <c r="D246" s="3"/>
    </row>
    <row r="247">
      <c r="A247" s="1"/>
      <c r="B247" s="2"/>
      <c r="C247" s="3"/>
      <c r="D247" s="3"/>
    </row>
    <row r="248">
      <c r="A248" s="1"/>
      <c r="B248" s="2"/>
      <c r="C248" s="3"/>
      <c r="D248" s="3"/>
    </row>
    <row r="249">
      <c r="A249" s="1"/>
      <c r="B249" s="2"/>
      <c r="C249" s="3"/>
      <c r="D249" s="3"/>
    </row>
    <row r="250">
      <c r="A250" s="1"/>
      <c r="B250" s="2"/>
      <c r="C250" s="3"/>
      <c r="D250" s="3"/>
    </row>
    <row r="251">
      <c r="A251" s="1"/>
      <c r="B251" s="2"/>
      <c r="C251" s="3"/>
      <c r="D251" s="3"/>
    </row>
    <row r="252">
      <c r="A252" s="1"/>
      <c r="B252" s="2"/>
      <c r="C252" s="3"/>
      <c r="D252" s="3"/>
    </row>
    <row r="253">
      <c r="A253" s="1"/>
      <c r="B253" s="2"/>
      <c r="C253" s="3"/>
      <c r="D253" s="3"/>
    </row>
    <row r="254">
      <c r="A254" s="1"/>
      <c r="B254" s="2"/>
      <c r="C254" s="3"/>
      <c r="D254" s="3"/>
    </row>
    <row r="255">
      <c r="A255" s="1"/>
      <c r="B255" s="2"/>
      <c r="C255" s="3"/>
      <c r="D255" s="3"/>
    </row>
    <row r="256">
      <c r="A256" s="1"/>
      <c r="B256" s="2"/>
      <c r="C256" s="3"/>
      <c r="D256" s="3"/>
    </row>
    <row r="257">
      <c r="A257" s="1"/>
      <c r="B257" s="2"/>
      <c r="C257" s="3"/>
      <c r="D257" s="3"/>
    </row>
    <row r="258">
      <c r="A258" s="1"/>
      <c r="B258" s="2"/>
      <c r="C258" s="3"/>
      <c r="D258" s="3"/>
    </row>
    <row r="259">
      <c r="A259" s="1"/>
      <c r="B259" s="2"/>
      <c r="C259" s="3"/>
      <c r="D259" s="3"/>
    </row>
    <row r="260">
      <c r="A260" s="1"/>
      <c r="B260" s="2"/>
      <c r="C260" s="3"/>
      <c r="D260" s="3"/>
    </row>
    <row r="261">
      <c r="A261" s="1"/>
      <c r="B261" s="2"/>
      <c r="C261" s="3"/>
      <c r="D261" s="3"/>
    </row>
    <row r="262">
      <c r="A262" s="1"/>
      <c r="B262" s="2"/>
      <c r="C262" s="3"/>
      <c r="D262" s="3"/>
    </row>
    <row r="263">
      <c r="A263" s="1"/>
      <c r="B263" s="2"/>
      <c r="C263" s="3"/>
      <c r="D263" s="3"/>
    </row>
    <row r="264">
      <c r="A264" s="1"/>
      <c r="B264" s="2"/>
      <c r="C264" s="3"/>
      <c r="D264" s="3"/>
    </row>
    <row r="265">
      <c r="A265" s="1"/>
      <c r="B265" s="2"/>
      <c r="C265" s="3"/>
      <c r="D265" s="3"/>
    </row>
    <row r="266">
      <c r="A266" s="1"/>
      <c r="B266" s="2"/>
      <c r="C266" s="3"/>
      <c r="D266" s="3"/>
    </row>
    <row r="267">
      <c r="A267" s="1"/>
      <c r="B267" s="2"/>
      <c r="C267" s="3"/>
      <c r="D267" s="3"/>
    </row>
    <row r="268">
      <c r="A268" s="1"/>
      <c r="B268" s="2"/>
      <c r="C268" s="3"/>
      <c r="D268" s="3"/>
    </row>
    <row r="269">
      <c r="A269" s="1"/>
      <c r="B269" s="2"/>
      <c r="C269" s="3"/>
      <c r="D269" s="3"/>
    </row>
    <row r="270">
      <c r="A270" s="1"/>
      <c r="B270" s="2"/>
      <c r="C270" s="3"/>
      <c r="D270" s="3"/>
    </row>
    <row r="271">
      <c r="A271" s="1"/>
      <c r="B271" s="2"/>
      <c r="C271" s="3"/>
      <c r="D271" s="3"/>
    </row>
    <row r="272">
      <c r="A272" s="1"/>
      <c r="B272" s="2"/>
      <c r="C272" s="3"/>
      <c r="D272" s="3"/>
    </row>
    <row r="273">
      <c r="A273" s="1"/>
      <c r="B273" s="2"/>
      <c r="C273" s="3"/>
      <c r="D273" s="3"/>
    </row>
    <row r="274">
      <c r="A274" s="1"/>
      <c r="B274" s="2"/>
      <c r="C274" s="3"/>
      <c r="D274" s="3"/>
    </row>
    <row r="275">
      <c r="A275" s="1"/>
      <c r="B275" s="2"/>
      <c r="C275" s="3"/>
      <c r="D275" s="3"/>
    </row>
    <row r="276">
      <c r="A276" s="1"/>
      <c r="B276" s="2"/>
      <c r="C276" s="3"/>
      <c r="D276" s="3"/>
    </row>
    <row r="277">
      <c r="A277" s="1"/>
      <c r="B277" s="2"/>
      <c r="C277" s="3"/>
      <c r="D277" s="3"/>
    </row>
    <row r="278">
      <c r="A278" s="1"/>
      <c r="B278" s="2"/>
      <c r="C278" s="3"/>
      <c r="D278" s="3"/>
    </row>
    <row r="279">
      <c r="A279" s="1"/>
      <c r="B279" s="2"/>
      <c r="C279" s="3"/>
      <c r="D279" s="3"/>
    </row>
    <row r="280">
      <c r="A280" s="1"/>
      <c r="B280" s="2"/>
      <c r="C280" s="3"/>
      <c r="D280" s="3"/>
    </row>
    <row r="281">
      <c r="A281" s="1"/>
      <c r="B281" s="2"/>
      <c r="C281" s="3"/>
      <c r="D281" s="3"/>
    </row>
    <row r="282">
      <c r="A282" s="1"/>
      <c r="B282" s="2"/>
      <c r="C282" s="3"/>
      <c r="D282" s="3"/>
    </row>
    <row r="283">
      <c r="A283" s="1"/>
      <c r="B283" s="2"/>
      <c r="C283" s="3"/>
      <c r="D283" s="3"/>
    </row>
    <row r="284">
      <c r="A284" s="1"/>
      <c r="B284" s="2"/>
      <c r="C284" s="3"/>
      <c r="D284" s="3"/>
    </row>
    <row r="285">
      <c r="A285" s="1"/>
      <c r="B285" s="2"/>
      <c r="C285" s="3"/>
      <c r="D285" s="3"/>
    </row>
    <row r="286">
      <c r="A286" s="1"/>
      <c r="B286" s="2"/>
      <c r="C286" s="3"/>
      <c r="D286" s="3"/>
    </row>
    <row r="287">
      <c r="A287" s="1"/>
      <c r="B287" s="2"/>
      <c r="C287" s="3"/>
      <c r="D287" s="3"/>
    </row>
    <row r="288">
      <c r="A288" s="1"/>
      <c r="B288" s="2"/>
      <c r="C288" s="3"/>
      <c r="D288" s="3"/>
    </row>
    <row r="289">
      <c r="A289" s="1"/>
      <c r="B289" s="2"/>
      <c r="C289" s="3"/>
      <c r="D289" s="3"/>
    </row>
    <row r="290">
      <c r="A290" s="1"/>
      <c r="B290" s="2"/>
      <c r="C290" s="3"/>
      <c r="D290" s="3"/>
    </row>
    <row r="291">
      <c r="A291" s="1"/>
      <c r="B291" s="2"/>
      <c r="C291" s="3"/>
      <c r="D291" s="3"/>
    </row>
    <row r="292">
      <c r="A292" s="1"/>
      <c r="B292" s="2"/>
      <c r="C292" s="3"/>
      <c r="D292" s="3"/>
    </row>
    <row r="293">
      <c r="A293" s="1"/>
      <c r="B293" s="2"/>
      <c r="C293" s="3"/>
      <c r="D293" s="3"/>
    </row>
    <row r="294">
      <c r="A294" s="1"/>
      <c r="B294" s="2"/>
      <c r="C294" s="3"/>
      <c r="D294" s="3"/>
    </row>
    <row r="295">
      <c r="A295" s="1"/>
      <c r="B295" s="2"/>
      <c r="C295" s="3"/>
      <c r="D295" s="3"/>
    </row>
    <row r="296">
      <c r="A296" s="1"/>
      <c r="B296" s="2"/>
      <c r="C296" s="3"/>
      <c r="D296" s="3"/>
    </row>
    <row r="297">
      <c r="A297" s="1"/>
      <c r="B297" s="2"/>
      <c r="C297" s="3"/>
      <c r="D297" s="3"/>
    </row>
    <row r="298">
      <c r="A298" s="1"/>
      <c r="B298" s="2"/>
      <c r="C298" s="3"/>
      <c r="D298" s="3"/>
    </row>
    <row r="299">
      <c r="A299" s="1"/>
      <c r="B299" s="2"/>
      <c r="C299" s="3"/>
      <c r="D299" s="3"/>
    </row>
    <row r="300">
      <c r="A300" s="1"/>
      <c r="B300" s="2"/>
      <c r="C300" s="3"/>
      <c r="D300" s="3"/>
    </row>
    <row r="301">
      <c r="A301" s="1"/>
      <c r="B301" s="2"/>
      <c r="C301" s="3"/>
      <c r="D301" s="3"/>
    </row>
    <row r="302">
      <c r="A302" s="1"/>
      <c r="B302" s="2"/>
      <c r="C302" s="3"/>
      <c r="D302" s="3"/>
    </row>
    <row r="303">
      <c r="A303" s="1"/>
      <c r="B303" s="2"/>
      <c r="C303" s="3"/>
      <c r="D303" s="3"/>
    </row>
    <row r="304">
      <c r="A304" s="1"/>
      <c r="B304" s="2"/>
      <c r="C304" s="3"/>
      <c r="D304" s="3"/>
    </row>
    <row r="305">
      <c r="A305" s="1"/>
      <c r="B305" s="2"/>
      <c r="C305" s="3"/>
      <c r="D305" s="3"/>
    </row>
    <row r="306">
      <c r="A306" s="1"/>
      <c r="B306" s="2"/>
      <c r="C306" s="3"/>
      <c r="D306" s="3"/>
    </row>
    <row r="307">
      <c r="A307" s="1"/>
      <c r="B307" s="2"/>
      <c r="C307" s="3"/>
      <c r="D307" s="3"/>
    </row>
    <row r="308">
      <c r="A308" s="1"/>
      <c r="B308" s="2"/>
      <c r="C308" s="3"/>
      <c r="D308" s="3"/>
    </row>
    <row r="309">
      <c r="A309" s="1"/>
      <c r="B309" s="2"/>
      <c r="C309" s="3"/>
      <c r="D309" s="3"/>
    </row>
    <row r="310">
      <c r="A310" s="1"/>
      <c r="B310" s="2"/>
      <c r="C310" s="3"/>
      <c r="D310" s="3"/>
    </row>
    <row r="311">
      <c r="A311" s="1"/>
      <c r="B311" s="2"/>
      <c r="C311" s="3"/>
      <c r="D311" s="3"/>
    </row>
    <row r="312">
      <c r="A312" s="1"/>
      <c r="B312" s="2"/>
      <c r="C312" s="3"/>
      <c r="D312" s="3"/>
    </row>
    <row r="313">
      <c r="A313" s="1"/>
      <c r="B313" s="2"/>
      <c r="C313" s="3"/>
      <c r="D313" s="3"/>
    </row>
    <row r="314">
      <c r="A314" s="1"/>
      <c r="B314" s="2"/>
      <c r="C314" s="3"/>
      <c r="D314" s="3"/>
    </row>
    <row r="315">
      <c r="A315" s="1"/>
      <c r="B315" s="2"/>
      <c r="C315" s="3"/>
      <c r="D315" s="3"/>
    </row>
    <row r="316">
      <c r="A316" s="1"/>
      <c r="B316" s="2"/>
      <c r="C316" s="3"/>
      <c r="D316" s="3"/>
    </row>
    <row r="317">
      <c r="A317" s="1"/>
      <c r="B317" s="2"/>
      <c r="C317" s="3"/>
      <c r="D317" s="3"/>
    </row>
    <row r="318">
      <c r="A318" s="1"/>
      <c r="B318" s="2"/>
      <c r="C318" s="3"/>
      <c r="D318" s="3"/>
    </row>
    <row r="319">
      <c r="A319" s="1"/>
      <c r="B319" s="2"/>
      <c r="C319" s="3"/>
      <c r="D319" s="3"/>
    </row>
    <row r="320">
      <c r="A320" s="1"/>
      <c r="B320" s="2"/>
      <c r="C320" s="3"/>
      <c r="D320" s="3"/>
    </row>
    <row r="321">
      <c r="A321" s="1"/>
      <c r="B321" s="2"/>
      <c r="C321" s="3"/>
      <c r="D321" s="3"/>
    </row>
    <row r="322">
      <c r="A322" s="1"/>
      <c r="B322" s="2"/>
      <c r="C322" s="3"/>
      <c r="D322" s="3"/>
    </row>
    <row r="323">
      <c r="A323" s="1"/>
      <c r="B323" s="2"/>
      <c r="C323" s="3"/>
      <c r="D323" s="3"/>
    </row>
    <row r="324">
      <c r="A324" s="1"/>
      <c r="B324" s="2"/>
      <c r="C324" s="3"/>
      <c r="D324" s="3"/>
    </row>
    <row r="325">
      <c r="A325" s="1"/>
      <c r="B325" s="2"/>
      <c r="C325" s="3"/>
      <c r="D325" s="3"/>
    </row>
    <row r="326">
      <c r="A326" s="1"/>
      <c r="B326" s="2"/>
      <c r="C326" s="3"/>
      <c r="D326" s="3"/>
    </row>
    <row r="327">
      <c r="A327" s="1"/>
      <c r="B327" s="2"/>
      <c r="C327" s="3"/>
      <c r="D327" s="3"/>
    </row>
    <row r="328">
      <c r="A328" s="1"/>
      <c r="B328" s="2"/>
      <c r="C328" s="3"/>
      <c r="D328" s="3"/>
    </row>
    <row r="329">
      <c r="A329" s="1"/>
      <c r="B329" s="2"/>
      <c r="C329" s="3"/>
      <c r="D329" s="3"/>
    </row>
    <row r="330">
      <c r="A330" s="1"/>
      <c r="B330" s="2"/>
      <c r="C330" s="3"/>
      <c r="D330" s="3"/>
    </row>
    <row r="331">
      <c r="A331" s="1"/>
      <c r="B331" s="2"/>
      <c r="C331" s="3"/>
      <c r="D331" s="3"/>
    </row>
    <row r="332">
      <c r="A332" s="1"/>
      <c r="B332" s="2"/>
      <c r="C332" s="3"/>
      <c r="D332" s="3"/>
    </row>
    <row r="333">
      <c r="A333" s="1"/>
      <c r="B333" s="2"/>
      <c r="C333" s="3"/>
      <c r="D333" s="3"/>
    </row>
    <row r="334">
      <c r="A334" s="1"/>
      <c r="B334" s="2"/>
      <c r="C334" s="3"/>
      <c r="D334" s="3"/>
    </row>
    <row r="335">
      <c r="A335" s="1"/>
      <c r="B335" s="2"/>
      <c r="C335" s="3"/>
      <c r="D335" s="3"/>
    </row>
    <row r="336">
      <c r="A336" s="1"/>
      <c r="B336" s="2"/>
      <c r="C336" s="3"/>
      <c r="D336" s="3"/>
    </row>
    <row r="337">
      <c r="A337" s="1"/>
      <c r="B337" s="2"/>
      <c r="C337" s="3"/>
      <c r="D337" s="3"/>
    </row>
    <row r="338">
      <c r="A338" s="1"/>
      <c r="B338" s="2"/>
      <c r="C338" s="3"/>
      <c r="D338" s="3"/>
    </row>
    <row r="339">
      <c r="A339" s="1"/>
      <c r="B339" s="2"/>
      <c r="C339" s="3"/>
      <c r="D339" s="3"/>
    </row>
    <row r="340">
      <c r="A340" s="1"/>
      <c r="B340" s="2"/>
      <c r="C340" s="3"/>
      <c r="D340" s="3"/>
    </row>
    <row r="341">
      <c r="A341" s="1"/>
      <c r="B341" s="2"/>
      <c r="C341" s="3"/>
      <c r="D341" s="3"/>
    </row>
    <row r="342">
      <c r="A342" s="1"/>
      <c r="B342" s="2"/>
      <c r="C342" s="3"/>
      <c r="D342" s="3"/>
    </row>
    <row r="343">
      <c r="A343" s="1"/>
      <c r="B343" s="2"/>
      <c r="C343" s="3"/>
      <c r="D343" s="3"/>
    </row>
    <row r="344">
      <c r="A344" s="1"/>
      <c r="B344" s="2"/>
      <c r="C344" s="3"/>
      <c r="D344" s="3"/>
    </row>
    <row r="345">
      <c r="A345" s="1"/>
      <c r="B345" s="2"/>
      <c r="C345" s="3"/>
      <c r="D345" s="3"/>
    </row>
    <row r="346">
      <c r="A346" s="1"/>
      <c r="B346" s="2"/>
      <c r="C346" s="3"/>
      <c r="D346" s="3"/>
    </row>
    <row r="347">
      <c r="A347" s="1"/>
      <c r="B347" s="2"/>
      <c r="C347" s="3"/>
      <c r="D347" s="3"/>
    </row>
    <row r="348">
      <c r="A348" s="1"/>
      <c r="B348" s="2"/>
      <c r="C348" s="3"/>
      <c r="D348" s="3"/>
    </row>
    <row r="349">
      <c r="A349" s="1"/>
      <c r="B349" s="2"/>
      <c r="C349" s="3"/>
      <c r="D349" s="3"/>
    </row>
    <row r="350">
      <c r="A350" s="1"/>
      <c r="B350" s="2"/>
      <c r="C350" s="3"/>
      <c r="D350" s="3"/>
    </row>
    <row r="351">
      <c r="A351" s="1"/>
      <c r="B351" s="2"/>
      <c r="C351" s="3"/>
      <c r="D351" s="3"/>
    </row>
    <row r="352">
      <c r="A352" s="1"/>
      <c r="B352" s="2"/>
      <c r="C352" s="3"/>
      <c r="D352" s="3"/>
    </row>
    <row r="353">
      <c r="A353" s="1"/>
      <c r="B353" s="2"/>
      <c r="C353" s="3"/>
      <c r="D353" s="3"/>
    </row>
    <row r="354">
      <c r="A354" s="1"/>
      <c r="B354" s="2"/>
      <c r="C354" s="3"/>
      <c r="D354" s="3"/>
    </row>
    <row r="355">
      <c r="A355" s="1"/>
      <c r="B355" s="2"/>
      <c r="C355" s="3"/>
      <c r="D355" s="3"/>
    </row>
    <row r="356">
      <c r="A356" s="1"/>
      <c r="B356" s="2"/>
      <c r="C356" s="3"/>
      <c r="D356" s="3"/>
    </row>
    <row r="357">
      <c r="A357" s="1"/>
      <c r="B357" s="2"/>
      <c r="C357" s="3"/>
      <c r="D357" s="3"/>
    </row>
    <row r="358">
      <c r="A358" s="1"/>
      <c r="B358" s="2"/>
      <c r="C358" s="3"/>
      <c r="D358" s="3"/>
    </row>
    <row r="359">
      <c r="A359" s="1"/>
      <c r="B359" s="2"/>
      <c r="C359" s="3"/>
      <c r="D359" s="3"/>
    </row>
    <row r="360">
      <c r="A360" s="1"/>
      <c r="B360" s="2"/>
      <c r="C360" s="3"/>
      <c r="D360" s="3"/>
    </row>
    <row r="361">
      <c r="A361" s="1"/>
      <c r="B361" s="2"/>
      <c r="C361" s="3"/>
      <c r="D361" s="3"/>
    </row>
    <row r="362">
      <c r="A362" s="1"/>
      <c r="B362" s="2"/>
      <c r="C362" s="3"/>
      <c r="D362" s="3"/>
    </row>
    <row r="363">
      <c r="A363" s="1"/>
      <c r="B363" s="2"/>
      <c r="C363" s="3"/>
      <c r="D363" s="3"/>
    </row>
    <row r="364">
      <c r="A364" s="1"/>
      <c r="B364" s="2"/>
      <c r="C364" s="3"/>
      <c r="D364" s="3"/>
    </row>
    <row r="365">
      <c r="A365" s="1"/>
      <c r="B365" s="2"/>
      <c r="C365" s="3"/>
      <c r="D365" s="3"/>
    </row>
    <row r="366">
      <c r="A366" s="1"/>
      <c r="B366" s="2"/>
      <c r="C366" s="3"/>
      <c r="D366" s="3"/>
    </row>
    <row r="367">
      <c r="A367" s="1"/>
      <c r="B367" s="2"/>
      <c r="C367" s="3"/>
      <c r="D367" s="3"/>
    </row>
    <row r="368">
      <c r="A368" s="1"/>
      <c r="B368" s="2"/>
      <c r="C368" s="3"/>
      <c r="D368" s="3"/>
    </row>
    <row r="369">
      <c r="A369" s="1"/>
      <c r="B369" s="2"/>
      <c r="C369" s="3"/>
      <c r="D369" s="3"/>
    </row>
    <row r="370">
      <c r="A370" s="1"/>
      <c r="B370" s="2"/>
      <c r="C370" s="3"/>
      <c r="D370" s="3"/>
    </row>
    <row r="371">
      <c r="A371" s="1"/>
      <c r="B371" s="2"/>
      <c r="C371" s="3"/>
      <c r="D371" s="3"/>
    </row>
    <row r="372">
      <c r="A372" s="1"/>
      <c r="B372" s="2"/>
      <c r="C372" s="3"/>
      <c r="D372" s="3"/>
    </row>
    <row r="373">
      <c r="A373" s="1"/>
      <c r="B373" s="2"/>
      <c r="C373" s="3"/>
      <c r="D373" s="3"/>
    </row>
    <row r="374">
      <c r="A374" s="1"/>
      <c r="B374" s="2"/>
      <c r="C374" s="3"/>
      <c r="D374" s="3"/>
    </row>
    <row r="375">
      <c r="A375" s="1"/>
      <c r="B375" s="2"/>
      <c r="C375" s="3"/>
      <c r="D375" s="3"/>
    </row>
    <row r="376">
      <c r="A376" s="1"/>
      <c r="B376" s="2"/>
      <c r="C376" s="3"/>
      <c r="D376" s="3"/>
    </row>
    <row r="377">
      <c r="A377" s="1"/>
      <c r="B377" s="2"/>
      <c r="C377" s="3"/>
      <c r="D377" s="3"/>
    </row>
    <row r="378">
      <c r="A378" s="1"/>
      <c r="B378" s="2"/>
      <c r="C378" s="3"/>
      <c r="D378" s="3"/>
    </row>
    <row r="379">
      <c r="A379" s="1"/>
      <c r="B379" s="2"/>
      <c r="C379" s="3"/>
      <c r="D379" s="3"/>
    </row>
    <row r="380">
      <c r="A380" s="1"/>
      <c r="B380" s="2"/>
      <c r="C380" s="3"/>
      <c r="D380" s="3"/>
    </row>
    <row r="381">
      <c r="A381" s="1"/>
      <c r="B381" s="2"/>
      <c r="C381" s="3"/>
      <c r="D381" s="3"/>
    </row>
    <row r="382">
      <c r="A382" s="1"/>
      <c r="B382" s="2"/>
      <c r="C382" s="3"/>
      <c r="D382" s="3"/>
    </row>
    <row r="383">
      <c r="A383" s="1"/>
      <c r="B383" s="2"/>
      <c r="C383" s="3"/>
      <c r="D383" s="3"/>
    </row>
    <row r="384">
      <c r="A384" s="1"/>
      <c r="B384" s="2"/>
      <c r="C384" s="3"/>
      <c r="D384" s="3"/>
    </row>
    <row r="385">
      <c r="A385" s="1"/>
      <c r="B385" s="2"/>
      <c r="C385" s="3"/>
      <c r="D385" s="3"/>
    </row>
    <row r="386">
      <c r="A386" s="1"/>
      <c r="B386" s="2"/>
      <c r="C386" s="3"/>
      <c r="D386" s="3"/>
    </row>
    <row r="387">
      <c r="A387" s="1"/>
      <c r="B387" s="2"/>
      <c r="C387" s="3"/>
      <c r="D387" s="3"/>
    </row>
    <row r="388">
      <c r="A388" s="1"/>
      <c r="B388" s="2"/>
      <c r="C388" s="3"/>
      <c r="D388" s="3"/>
    </row>
    <row r="389">
      <c r="A389" s="1"/>
      <c r="B389" s="2"/>
      <c r="C389" s="3"/>
      <c r="D389" s="3"/>
    </row>
    <row r="390">
      <c r="A390" s="1"/>
      <c r="B390" s="2"/>
      <c r="C390" s="3"/>
      <c r="D390" s="3"/>
    </row>
    <row r="391">
      <c r="A391" s="1"/>
      <c r="B391" s="2"/>
      <c r="C391" s="3"/>
      <c r="D391" s="3"/>
    </row>
    <row r="392">
      <c r="A392" s="1"/>
      <c r="B392" s="2"/>
      <c r="C392" s="3"/>
      <c r="D392" s="3"/>
    </row>
    <row r="393">
      <c r="A393" s="1"/>
      <c r="B393" s="2"/>
      <c r="C393" s="3"/>
      <c r="D393" s="3"/>
    </row>
    <row r="394">
      <c r="A394" s="1"/>
      <c r="B394" s="2"/>
      <c r="C394" s="3"/>
      <c r="D394" s="3"/>
    </row>
    <row r="395">
      <c r="A395" s="1"/>
      <c r="B395" s="2"/>
      <c r="C395" s="3"/>
      <c r="D395" s="3"/>
    </row>
    <row r="396">
      <c r="A396" s="1"/>
      <c r="B396" s="2"/>
      <c r="C396" s="3"/>
      <c r="D396" s="3"/>
    </row>
    <row r="397">
      <c r="A397" s="1"/>
      <c r="B397" s="2"/>
      <c r="C397" s="3"/>
      <c r="D397" s="3"/>
    </row>
    <row r="398">
      <c r="A398" s="1"/>
      <c r="B398" s="2"/>
      <c r="C398" s="3"/>
      <c r="D398" s="3"/>
    </row>
    <row r="399">
      <c r="A399" s="1"/>
      <c r="B399" s="2"/>
      <c r="C399" s="3"/>
      <c r="D399" s="3"/>
    </row>
    <row r="400">
      <c r="A400" s="1"/>
      <c r="B400" s="2"/>
      <c r="C400" s="3"/>
      <c r="D400" s="3"/>
    </row>
    <row r="401">
      <c r="A401" s="1"/>
      <c r="B401" s="2"/>
      <c r="C401" s="3"/>
      <c r="D401" s="3"/>
    </row>
    <row r="402">
      <c r="A402" s="1"/>
      <c r="B402" s="2"/>
      <c r="C402" s="3"/>
      <c r="D402" s="3"/>
    </row>
    <row r="403">
      <c r="A403" s="1"/>
      <c r="B403" s="2"/>
      <c r="C403" s="3"/>
      <c r="D403" s="3"/>
    </row>
    <row r="404">
      <c r="A404" s="1"/>
      <c r="B404" s="2"/>
      <c r="C404" s="3"/>
      <c r="D404" s="3"/>
    </row>
    <row r="405">
      <c r="A405" s="1"/>
      <c r="B405" s="2"/>
      <c r="C405" s="3"/>
      <c r="D405" s="3"/>
    </row>
    <row r="406">
      <c r="A406" s="1"/>
      <c r="B406" s="2"/>
      <c r="C406" s="3"/>
      <c r="D406" s="3"/>
    </row>
    <row r="407">
      <c r="A407" s="1"/>
      <c r="B407" s="2"/>
      <c r="C407" s="3"/>
      <c r="D407" s="3"/>
    </row>
    <row r="408">
      <c r="A408" s="1"/>
      <c r="B408" s="2"/>
      <c r="C408" s="3"/>
      <c r="D408" s="3"/>
    </row>
    <row r="409">
      <c r="A409" s="1"/>
      <c r="B409" s="2"/>
      <c r="C409" s="3"/>
      <c r="D409" s="3"/>
    </row>
    <row r="410">
      <c r="A410" s="1"/>
      <c r="B410" s="2"/>
      <c r="C410" s="3"/>
      <c r="D410" s="3"/>
    </row>
    <row r="411">
      <c r="A411" s="1"/>
      <c r="B411" s="2"/>
      <c r="C411" s="3"/>
      <c r="D411" s="3"/>
    </row>
    <row r="412">
      <c r="A412" s="1"/>
      <c r="B412" s="2"/>
      <c r="C412" s="3"/>
      <c r="D412" s="3"/>
    </row>
    <row r="413">
      <c r="A413" s="1"/>
      <c r="B413" s="2"/>
      <c r="C413" s="3"/>
      <c r="D413" s="3"/>
    </row>
    <row r="414">
      <c r="A414" s="1"/>
      <c r="B414" s="2"/>
      <c r="C414" s="3"/>
      <c r="D414" s="3"/>
    </row>
    <row r="415">
      <c r="A415" s="1"/>
      <c r="B415" s="2"/>
      <c r="C415" s="3"/>
      <c r="D415" s="3"/>
    </row>
    <row r="416">
      <c r="A416" s="1"/>
      <c r="B416" s="2"/>
      <c r="C416" s="3"/>
      <c r="D416" s="3"/>
    </row>
    <row r="417">
      <c r="A417" s="1"/>
      <c r="B417" s="2"/>
      <c r="C417" s="3"/>
      <c r="D417" s="3"/>
    </row>
    <row r="418">
      <c r="A418" s="1"/>
      <c r="B418" s="2"/>
      <c r="C418" s="3"/>
      <c r="D418" s="3"/>
    </row>
    <row r="419">
      <c r="A419" s="1"/>
      <c r="B419" s="2"/>
      <c r="C419" s="3"/>
      <c r="D419" s="3"/>
    </row>
    <row r="420">
      <c r="A420" s="1"/>
      <c r="B420" s="2"/>
      <c r="C420" s="3"/>
      <c r="D420" s="3"/>
    </row>
    <row r="421">
      <c r="A421" s="1"/>
      <c r="B421" s="2"/>
      <c r="C421" s="3"/>
      <c r="D421" s="3"/>
    </row>
    <row r="422">
      <c r="A422" s="1"/>
      <c r="B422" s="2"/>
      <c r="C422" s="3"/>
      <c r="D422" s="3"/>
    </row>
    <row r="423">
      <c r="A423" s="1"/>
      <c r="B423" s="2"/>
      <c r="C423" s="3"/>
      <c r="D423" s="3"/>
    </row>
    <row r="424">
      <c r="A424" s="1"/>
      <c r="B424" s="2"/>
      <c r="C424" s="3"/>
      <c r="D424" s="3"/>
    </row>
    <row r="425">
      <c r="A425" s="1"/>
      <c r="B425" s="2"/>
      <c r="C425" s="3"/>
      <c r="D425" s="3"/>
    </row>
    <row r="426">
      <c r="A426" s="1"/>
      <c r="B426" s="2"/>
      <c r="C426" s="3"/>
      <c r="D426" s="3"/>
    </row>
    <row r="427">
      <c r="A427" s="1"/>
      <c r="B427" s="2"/>
      <c r="C427" s="3"/>
      <c r="D427" s="3"/>
    </row>
    <row r="428">
      <c r="A428" s="1"/>
      <c r="B428" s="2"/>
      <c r="C428" s="3"/>
      <c r="D428" s="3"/>
    </row>
    <row r="429">
      <c r="A429" s="1"/>
      <c r="B429" s="2"/>
      <c r="C429" s="3"/>
      <c r="D429" s="3"/>
    </row>
    <row r="430">
      <c r="A430" s="1"/>
      <c r="B430" s="2"/>
      <c r="C430" s="3"/>
      <c r="D430" s="3"/>
    </row>
    <row r="431">
      <c r="A431" s="1"/>
      <c r="B431" s="2"/>
      <c r="C431" s="3"/>
      <c r="D431" s="3"/>
    </row>
    <row r="432">
      <c r="A432" s="1"/>
      <c r="B432" s="2"/>
      <c r="C432" s="3"/>
      <c r="D432" s="3"/>
    </row>
    <row r="433">
      <c r="A433" s="1"/>
      <c r="B433" s="2"/>
      <c r="C433" s="3"/>
      <c r="D433" s="3"/>
    </row>
    <row r="434">
      <c r="A434" s="1"/>
      <c r="B434" s="2"/>
      <c r="C434" s="3"/>
      <c r="D434" s="3"/>
    </row>
    <row r="435">
      <c r="A435" s="1"/>
      <c r="B435" s="2"/>
      <c r="C435" s="3"/>
      <c r="D435" s="3"/>
    </row>
    <row r="436">
      <c r="A436" s="1"/>
      <c r="B436" s="2"/>
      <c r="C436" s="3"/>
      <c r="D436" s="3"/>
    </row>
    <row r="437">
      <c r="A437" s="1"/>
      <c r="B437" s="2"/>
      <c r="C437" s="3"/>
      <c r="D437" s="3"/>
    </row>
    <row r="438">
      <c r="A438" s="1"/>
      <c r="B438" s="2"/>
      <c r="C438" s="3"/>
      <c r="D438" s="3"/>
    </row>
    <row r="439">
      <c r="A439" s="1"/>
      <c r="B439" s="2"/>
      <c r="C439" s="3"/>
      <c r="D439" s="3"/>
    </row>
    <row r="440">
      <c r="A440" s="1"/>
      <c r="B440" s="2"/>
      <c r="C440" s="3"/>
      <c r="D440" s="3"/>
    </row>
    <row r="441">
      <c r="A441" s="1"/>
      <c r="B441" s="2"/>
      <c r="C441" s="3"/>
      <c r="D441" s="3"/>
    </row>
    <row r="442">
      <c r="A442" s="1"/>
      <c r="B442" s="2"/>
      <c r="C442" s="3"/>
      <c r="D442" s="3"/>
    </row>
    <row r="443">
      <c r="A443" s="1"/>
      <c r="B443" s="2"/>
      <c r="C443" s="3"/>
      <c r="D443" s="3"/>
    </row>
    <row r="444">
      <c r="A444" s="1"/>
      <c r="B444" s="2"/>
      <c r="C444" s="3"/>
      <c r="D444" s="3"/>
    </row>
    <row r="445">
      <c r="A445" s="1"/>
      <c r="B445" s="2"/>
      <c r="C445" s="3"/>
      <c r="D445" s="3"/>
    </row>
    <row r="446">
      <c r="A446" s="1"/>
      <c r="B446" s="2"/>
      <c r="C446" s="3"/>
      <c r="D446" s="3"/>
    </row>
    <row r="447">
      <c r="A447" s="1"/>
      <c r="B447" s="2"/>
      <c r="C447" s="3"/>
      <c r="D447" s="3"/>
    </row>
    <row r="448">
      <c r="A448" s="1"/>
      <c r="B448" s="2"/>
      <c r="C448" s="3"/>
      <c r="D448" s="3"/>
    </row>
    <row r="449">
      <c r="A449" s="1"/>
      <c r="B449" s="2"/>
      <c r="C449" s="3"/>
      <c r="D449" s="3"/>
    </row>
    <row r="450">
      <c r="A450" s="1"/>
      <c r="B450" s="2"/>
      <c r="C450" s="3"/>
      <c r="D450" s="3"/>
    </row>
    <row r="451">
      <c r="A451" s="1"/>
      <c r="B451" s="2"/>
      <c r="C451" s="3"/>
      <c r="D451" s="3"/>
    </row>
    <row r="452">
      <c r="A452" s="1"/>
      <c r="B452" s="2"/>
      <c r="C452" s="3"/>
      <c r="D452" s="3"/>
    </row>
    <row r="453">
      <c r="A453" s="1"/>
      <c r="B453" s="2"/>
      <c r="C453" s="3"/>
      <c r="D453" s="3"/>
    </row>
    <row r="454">
      <c r="A454" s="1"/>
      <c r="B454" s="2"/>
      <c r="C454" s="3"/>
      <c r="D454" s="3"/>
    </row>
    <row r="455">
      <c r="A455" s="1"/>
      <c r="B455" s="2"/>
      <c r="C455" s="3"/>
      <c r="D455" s="3"/>
    </row>
    <row r="456">
      <c r="A456" s="1"/>
      <c r="B456" s="2"/>
      <c r="C456" s="3"/>
      <c r="D456" s="3"/>
    </row>
    <row r="457">
      <c r="A457" s="1"/>
      <c r="B457" s="2"/>
      <c r="C457" s="3"/>
      <c r="D457" s="3"/>
    </row>
    <row r="458">
      <c r="A458" s="1"/>
      <c r="B458" s="2"/>
      <c r="C458" s="3"/>
      <c r="D458" s="3"/>
    </row>
    <row r="459">
      <c r="A459" s="1"/>
      <c r="B459" s="2"/>
      <c r="C459" s="3"/>
      <c r="D459" s="3"/>
    </row>
    <row r="460">
      <c r="A460" s="1"/>
      <c r="B460" s="2"/>
      <c r="C460" s="3"/>
      <c r="D460" s="3"/>
    </row>
    <row r="461">
      <c r="A461" s="1"/>
      <c r="B461" s="2"/>
      <c r="C461" s="3"/>
      <c r="D461" s="3"/>
    </row>
    <row r="462">
      <c r="A462" s="1"/>
      <c r="B462" s="2"/>
      <c r="C462" s="3"/>
      <c r="D462" s="3"/>
    </row>
    <row r="463">
      <c r="A463" s="1"/>
      <c r="B463" s="2"/>
      <c r="C463" s="3"/>
      <c r="D463" s="3"/>
    </row>
    <row r="464">
      <c r="A464" s="1"/>
      <c r="B464" s="2"/>
      <c r="C464" s="3"/>
      <c r="D464" s="3"/>
    </row>
    <row r="465">
      <c r="A465" s="1"/>
      <c r="B465" s="2"/>
      <c r="C465" s="3"/>
      <c r="D465" s="3"/>
    </row>
    <row r="466">
      <c r="A466" s="1"/>
      <c r="B466" s="2"/>
      <c r="C466" s="3"/>
      <c r="D466" s="3"/>
    </row>
    <row r="467">
      <c r="A467" s="1"/>
      <c r="B467" s="2"/>
      <c r="C467" s="3"/>
      <c r="D467" s="3"/>
    </row>
    <row r="468">
      <c r="A468" s="1"/>
      <c r="B468" s="2"/>
      <c r="C468" s="3"/>
      <c r="D468" s="3"/>
    </row>
    <row r="469">
      <c r="A469" s="1"/>
      <c r="B469" s="2"/>
      <c r="C469" s="3"/>
      <c r="D469" s="3"/>
    </row>
    <row r="470">
      <c r="A470" s="1"/>
      <c r="B470" s="2"/>
      <c r="C470" s="3"/>
      <c r="D470" s="3"/>
    </row>
    <row r="471">
      <c r="A471" s="1"/>
      <c r="B471" s="2"/>
      <c r="C471" s="3"/>
      <c r="D471" s="3"/>
    </row>
    <row r="472">
      <c r="A472" s="1"/>
      <c r="B472" s="2"/>
      <c r="C472" s="3"/>
      <c r="D472" s="3"/>
    </row>
    <row r="473">
      <c r="A473" s="1"/>
      <c r="B473" s="2"/>
      <c r="C473" s="3"/>
      <c r="D473" s="3"/>
    </row>
    <row r="474">
      <c r="A474" s="1"/>
      <c r="B474" s="2"/>
      <c r="C474" s="3"/>
      <c r="D474" s="3"/>
    </row>
    <row r="475">
      <c r="A475" s="1"/>
      <c r="B475" s="2"/>
      <c r="C475" s="3"/>
      <c r="D475" s="3"/>
    </row>
    <row r="476">
      <c r="A476" s="1"/>
      <c r="B476" s="2"/>
      <c r="C476" s="3"/>
      <c r="D476" s="3"/>
    </row>
    <row r="477">
      <c r="A477" s="1"/>
      <c r="B477" s="2"/>
      <c r="C477" s="3"/>
      <c r="D477" s="3"/>
    </row>
    <row r="478">
      <c r="A478" s="1"/>
      <c r="B478" s="2"/>
      <c r="C478" s="3"/>
      <c r="D478" s="3"/>
    </row>
    <row r="479">
      <c r="A479" s="1"/>
      <c r="B479" s="2"/>
      <c r="C479" s="3"/>
      <c r="D479" s="3"/>
    </row>
    <row r="480">
      <c r="A480" s="1"/>
      <c r="B480" s="2"/>
      <c r="C480" s="3"/>
      <c r="D480" s="3"/>
    </row>
    <row r="481">
      <c r="A481" s="1"/>
      <c r="B481" s="2"/>
      <c r="C481" s="3"/>
      <c r="D481" s="3"/>
    </row>
    <row r="482">
      <c r="A482" s="1"/>
      <c r="B482" s="2"/>
      <c r="C482" s="3"/>
      <c r="D482" s="3"/>
    </row>
    <row r="483">
      <c r="A483" s="1"/>
      <c r="B483" s="2"/>
      <c r="C483" s="3"/>
      <c r="D483" s="3"/>
    </row>
    <row r="484">
      <c r="A484" s="1"/>
      <c r="B484" s="2"/>
      <c r="C484" s="3"/>
      <c r="D484" s="3"/>
    </row>
    <row r="485">
      <c r="A485" s="1"/>
      <c r="B485" s="2"/>
      <c r="C485" s="3"/>
      <c r="D485" s="3"/>
    </row>
    <row r="486">
      <c r="A486" s="1"/>
      <c r="B486" s="2"/>
      <c r="C486" s="3"/>
      <c r="D486" s="3"/>
    </row>
    <row r="487">
      <c r="A487" s="1"/>
      <c r="B487" s="2"/>
      <c r="C487" s="3"/>
      <c r="D487" s="3"/>
    </row>
    <row r="488">
      <c r="A488" s="1"/>
      <c r="B488" s="2"/>
      <c r="C488" s="3"/>
      <c r="D488" s="3"/>
    </row>
    <row r="489">
      <c r="A489" s="1"/>
      <c r="B489" s="2"/>
      <c r="C489" s="3"/>
      <c r="D489" s="3"/>
    </row>
    <row r="490">
      <c r="A490" s="1"/>
      <c r="B490" s="2"/>
      <c r="C490" s="3"/>
      <c r="D490" s="3"/>
    </row>
    <row r="491">
      <c r="A491" s="1"/>
      <c r="B491" s="2"/>
      <c r="C491" s="3"/>
      <c r="D491" s="3"/>
    </row>
    <row r="492">
      <c r="A492" s="1"/>
      <c r="B492" s="2"/>
      <c r="C492" s="3"/>
      <c r="D492" s="3"/>
    </row>
    <row r="493">
      <c r="A493" s="1"/>
      <c r="B493" s="2"/>
      <c r="C493" s="3"/>
      <c r="D493" s="3"/>
    </row>
    <row r="494">
      <c r="A494" s="1"/>
      <c r="B494" s="2"/>
      <c r="C494" s="3"/>
      <c r="D494" s="3"/>
    </row>
    <row r="495">
      <c r="A495" s="1"/>
      <c r="B495" s="2"/>
      <c r="C495" s="3"/>
      <c r="D495" s="3"/>
    </row>
    <row r="496">
      <c r="A496" s="1"/>
      <c r="B496" s="2"/>
      <c r="C496" s="3"/>
      <c r="D496" s="3"/>
    </row>
    <row r="497">
      <c r="A497" s="1"/>
      <c r="B497" s="2"/>
      <c r="C497" s="3"/>
      <c r="D497" s="3"/>
    </row>
    <row r="498">
      <c r="A498" s="1"/>
      <c r="B498" s="2"/>
      <c r="C498" s="3"/>
      <c r="D498" s="3"/>
    </row>
    <row r="499">
      <c r="A499" s="1"/>
      <c r="B499" s="2"/>
      <c r="C499" s="3"/>
      <c r="D499" s="3"/>
    </row>
    <row r="500">
      <c r="A500" s="1"/>
      <c r="B500" s="2"/>
      <c r="C500" s="3"/>
      <c r="D500" s="3"/>
    </row>
    <row r="501">
      <c r="A501" s="1"/>
      <c r="B501" s="2"/>
      <c r="C501" s="3"/>
      <c r="D501" s="3"/>
    </row>
    <row r="502">
      <c r="A502" s="1"/>
      <c r="B502" s="2"/>
      <c r="C502" s="3"/>
      <c r="D502" s="3"/>
    </row>
    <row r="503">
      <c r="A503" s="1"/>
      <c r="B503" s="2"/>
      <c r="C503" s="3"/>
      <c r="D503" s="3"/>
    </row>
    <row r="504">
      <c r="A504" s="1"/>
      <c r="B504" s="2"/>
      <c r="C504" s="3"/>
      <c r="D504" s="3"/>
    </row>
    <row r="505">
      <c r="A505" s="1"/>
      <c r="B505" s="2"/>
      <c r="C505" s="3"/>
      <c r="D505" s="3"/>
    </row>
    <row r="506">
      <c r="A506" s="1"/>
      <c r="B506" s="2"/>
      <c r="C506" s="3"/>
      <c r="D506" s="3"/>
    </row>
    <row r="507">
      <c r="A507" s="1"/>
      <c r="B507" s="2"/>
      <c r="C507" s="3"/>
      <c r="D507" s="3"/>
    </row>
    <row r="508">
      <c r="A508" s="1"/>
      <c r="B508" s="2"/>
      <c r="C508" s="3"/>
      <c r="D508" s="3"/>
    </row>
    <row r="509">
      <c r="A509" s="1"/>
      <c r="B509" s="2"/>
      <c r="C509" s="3"/>
      <c r="D509" s="3"/>
    </row>
    <row r="510">
      <c r="A510" s="1"/>
      <c r="B510" s="2"/>
      <c r="C510" s="3"/>
      <c r="D510" s="3"/>
    </row>
    <row r="511">
      <c r="A511" s="1"/>
      <c r="B511" s="2"/>
      <c r="C511" s="3"/>
      <c r="D511" s="3"/>
    </row>
    <row r="512">
      <c r="A512" s="1"/>
      <c r="B512" s="2"/>
      <c r="C512" s="3"/>
      <c r="D512" s="3"/>
    </row>
    <row r="513">
      <c r="A513" s="1"/>
      <c r="B513" s="2"/>
      <c r="C513" s="3"/>
      <c r="D513" s="3"/>
    </row>
    <row r="514">
      <c r="A514" s="1"/>
      <c r="B514" s="2"/>
      <c r="C514" s="3"/>
      <c r="D514" s="3"/>
    </row>
    <row r="515">
      <c r="A515" s="1"/>
      <c r="B515" s="2"/>
      <c r="C515" s="3"/>
      <c r="D515" s="3"/>
    </row>
    <row r="516">
      <c r="A516" s="1"/>
      <c r="B516" s="2"/>
      <c r="C516" s="3"/>
      <c r="D516" s="3"/>
    </row>
    <row r="517">
      <c r="A517" s="1"/>
      <c r="B517" s="2"/>
      <c r="C517" s="3"/>
      <c r="D517" s="3"/>
    </row>
    <row r="518">
      <c r="A518" s="1"/>
      <c r="B518" s="2"/>
      <c r="C518" s="3"/>
      <c r="D518" s="3"/>
    </row>
    <row r="519">
      <c r="A519" s="1"/>
      <c r="B519" s="2"/>
      <c r="C519" s="3"/>
      <c r="D519" s="3"/>
    </row>
    <row r="520">
      <c r="A520" s="1"/>
      <c r="B520" s="2"/>
      <c r="C520" s="3"/>
      <c r="D520" s="3"/>
    </row>
    <row r="521">
      <c r="A521" s="1"/>
      <c r="B521" s="2"/>
      <c r="C521" s="3"/>
      <c r="D521" s="3"/>
    </row>
    <row r="522">
      <c r="A522" s="1"/>
      <c r="B522" s="2"/>
      <c r="C522" s="3"/>
      <c r="D522" s="3"/>
    </row>
    <row r="523">
      <c r="A523" s="1"/>
      <c r="B523" s="2"/>
      <c r="C523" s="3"/>
      <c r="D523" s="3"/>
    </row>
    <row r="524">
      <c r="A524" s="1"/>
      <c r="B524" s="2"/>
      <c r="C524" s="3"/>
      <c r="D524" s="3"/>
    </row>
    <row r="525">
      <c r="A525" s="1"/>
      <c r="B525" s="2"/>
      <c r="C525" s="3"/>
      <c r="D525" s="3"/>
    </row>
    <row r="526">
      <c r="A526" s="1"/>
      <c r="B526" s="2"/>
      <c r="C526" s="3"/>
      <c r="D526" s="3"/>
    </row>
    <row r="527">
      <c r="A527" s="1"/>
      <c r="B527" s="2"/>
      <c r="C527" s="3"/>
      <c r="D527" s="3"/>
    </row>
    <row r="528">
      <c r="A528" s="1"/>
      <c r="B528" s="2"/>
      <c r="C528" s="3"/>
      <c r="D528" s="3"/>
    </row>
    <row r="529">
      <c r="A529" s="1"/>
      <c r="B529" s="2"/>
      <c r="C529" s="3"/>
      <c r="D529" s="3"/>
    </row>
    <row r="530">
      <c r="A530" s="1"/>
      <c r="B530" s="2"/>
      <c r="C530" s="3"/>
      <c r="D530" s="3"/>
    </row>
    <row r="531">
      <c r="A531" s="1"/>
      <c r="B531" s="2"/>
      <c r="C531" s="3"/>
      <c r="D531" s="3"/>
    </row>
    <row r="532">
      <c r="A532" s="1"/>
      <c r="B532" s="2"/>
      <c r="C532" s="3"/>
      <c r="D532" s="3"/>
    </row>
    <row r="533">
      <c r="A533" s="1"/>
      <c r="B533" s="2"/>
      <c r="C533" s="3"/>
      <c r="D533" s="3"/>
    </row>
    <row r="534">
      <c r="A534" s="1"/>
      <c r="B534" s="2"/>
      <c r="C534" s="3"/>
      <c r="D534" s="3"/>
    </row>
    <row r="535">
      <c r="A535" s="1"/>
      <c r="B535" s="2"/>
      <c r="C535" s="3"/>
      <c r="D535" s="3"/>
    </row>
    <row r="536">
      <c r="A536" s="1"/>
      <c r="B536" s="2"/>
      <c r="C536" s="3"/>
      <c r="D536" s="3"/>
    </row>
    <row r="537">
      <c r="A537" s="1"/>
      <c r="B537" s="2"/>
      <c r="C537" s="3"/>
      <c r="D537" s="3"/>
    </row>
    <row r="538">
      <c r="A538" s="1"/>
      <c r="B538" s="2"/>
      <c r="C538" s="3"/>
      <c r="D538" s="3"/>
    </row>
    <row r="539">
      <c r="A539" s="1"/>
      <c r="B539" s="2"/>
      <c r="C539" s="3"/>
      <c r="D539" s="3"/>
    </row>
    <row r="540">
      <c r="A540" s="1"/>
      <c r="B540" s="2"/>
      <c r="C540" s="3"/>
      <c r="D540" s="3"/>
    </row>
    <row r="541">
      <c r="A541" s="1"/>
      <c r="B541" s="2"/>
      <c r="C541" s="3"/>
      <c r="D541" s="3"/>
    </row>
    <row r="542">
      <c r="A542" s="1"/>
      <c r="B542" s="2"/>
      <c r="C542" s="3"/>
      <c r="D542" s="3"/>
    </row>
    <row r="543">
      <c r="A543" s="1"/>
      <c r="B543" s="2"/>
      <c r="C543" s="3"/>
      <c r="D543" s="3"/>
    </row>
    <row r="544">
      <c r="A544" s="1"/>
      <c r="B544" s="2"/>
      <c r="C544" s="3"/>
      <c r="D544" s="3"/>
    </row>
    <row r="545">
      <c r="A545" s="1"/>
      <c r="B545" s="2"/>
      <c r="C545" s="3"/>
      <c r="D545" s="3"/>
    </row>
    <row r="546">
      <c r="A546" s="1"/>
      <c r="B546" s="2"/>
      <c r="C546" s="3"/>
      <c r="D546" s="3"/>
    </row>
    <row r="547">
      <c r="A547" s="1"/>
      <c r="B547" s="2"/>
      <c r="C547" s="3"/>
      <c r="D547" s="3"/>
    </row>
    <row r="548">
      <c r="A548" s="1"/>
      <c r="B548" s="2"/>
      <c r="C548" s="3"/>
      <c r="D548" s="3"/>
    </row>
    <row r="549">
      <c r="A549" s="1"/>
      <c r="B549" s="2"/>
      <c r="C549" s="3"/>
      <c r="D549" s="3"/>
    </row>
    <row r="550">
      <c r="A550" s="1"/>
      <c r="B550" s="2"/>
      <c r="C550" s="3"/>
      <c r="D550" s="3"/>
    </row>
    <row r="551">
      <c r="A551" s="1"/>
      <c r="B551" s="2"/>
      <c r="C551" s="3"/>
      <c r="D551" s="3"/>
    </row>
    <row r="552">
      <c r="A552" s="1"/>
      <c r="B552" s="2"/>
      <c r="C552" s="3"/>
      <c r="D552" s="3"/>
    </row>
    <row r="553">
      <c r="A553" s="1"/>
      <c r="B553" s="2"/>
      <c r="C553" s="3"/>
      <c r="D553" s="3"/>
    </row>
    <row r="554">
      <c r="A554" s="1"/>
      <c r="B554" s="2"/>
      <c r="C554" s="3"/>
      <c r="D554" s="3"/>
    </row>
    <row r="555">
      <c r="A555" s="1"/>
      <c r="B555" s="2"/>
      <c r="C555" s="3"/>
      <c r="D555" s="3"/>
    </row>
    <row r="556">
      <c r="A556" s="1"/>
      <c r="B556" s="2"/>
      <c r="C556" s="3"/>
      <c r="D556" s="3"/>
    </row>
    <row r="557">
      <c r="A557" s="1"/>
      <c r="B557" s="2"/>
      <c r="C557" s="3"/>
      <c r="D557" s="3"/>
    </row>
    <row r="558">
      <c r="A558" s="1"/>
      <c r="B558" s="2"/>
      <c r="C558" s="3"/>
      <c r="D558" s="3"/>
    </row>
    <row r="559">
      <c r="A559" s="1"/>
      <c r="B559" s="2"/>
      <c r="C559" s="3"/>
      <c r="D559" s="3"/>
    </row>
    <row r="560">
      <c r="A560" s="1"/>
      <c r="B560" s="2"/>
      <c r="C560" s="3"/>
      <c r="D560" s="3"/>
    </row>
    <row r="561">
      <c r="A561" s="1"/>
      <c r="B561" s="2"/>
      <c r="C561" s="3"/>
      <c r="D561" s="3"/>
    </row>
    <row r="562">
      <c r="A562" s="1"/>
      <c r="B562" s="2"/>
      <c r="C562" s="3"/>
      <c r="D562" s="3"/>
    </row>
    <row r="563">
      <c r="A563" s="1"/>
      <c r="B563" s="2"/>
      <c r="C563" s="3"/>
      <c r="D563" s="3"/>
    </row>
    <row r="564">
      <c r="A564" s="1"/>
      <c r="B564" s="2"/>
      <c r="C564" s="3"/>
      <c r="D564" s="3"/>
    </row>
    <row r="565">
      <c r="A565" s="1"/>
      <c r="B565" s="2"/>
      <c r="C565" s="3"/>
      <c r="D565" s="3"/>
    </row>
    <row r="566">
      <c r="A566" s="1"/>
      <c r="B566" s="2"/>
      <c r="C566" s="3"/>
      <c r="D566" s="3"/>
    </row>
    <row r="567">
      <c r="A567" s="1"/>
      <c r="B567" s="2"/>
      <c r="C567" s="3"/>
      <c r="D567" s="3"/>
    </row>
    <row r="568">
      <c r="A568" s="1"/>
      <c r="B568" s="2"/>
      <c r="C568" s="3"/>
      <c r="D568" s="3"/>
    </row>
    <row r="569">
      <c r="A569" s="1"/>
      <c r="B569" s="2"/>
      <c r="C569" s="3"/>
      <c r="D569" s="3"/>
    </row>
    <row r="570">
      <c r="A570" s="1"/>
      <c r="B570" s="2"/>
      <c r="C570" s="3"/>
      <c r="D570" s="3"/>
    </row>
    <row r="571">
      <c r="A571" s="1"/>
      <c r="B571" s="2"/>
      <c r="C571" s="3"/>
      <c r="D571" s="3"/>
    </row>
    <row r="572">
      <c r="A572" s="1"/>
      <c r="B572" s="2"/>
      <c r="C572" s="3"/>
      <c r="D572" s="3"/>
    </row>
    <row r="573">
      <c r="A573" s="1"/>
      <c r="B573" s="2"/>
      <c r="C573" s="3"/>
      <c r="D573" s="3"/>
    </row>
    <row r="574">
      <c r="A574" s="1"/>
      <c r="B574" s="2"/>
      <c r="C574" s="3"/>
      <c r="D574" s="3"/>
    </row>
    <row r="575">
      <c r="A575" s="1"/>
      <c r="B575" s="2"/>
      <c r="C575" s="3"/>
      <c r="D575" s="3"/>
    </row>
    <row r="576">
      <c r="A576" s="1"/>
      <c r="B576" s="2"/>
      <c r="C576" s="3"/>
      <c r="D576" s="3"/>
    </row>
    <row r="577">
      <c r="A577" s="1"/>
      <c r="B577" s="2"/>
      <c r="C577" s="3"/>
      <c r="D577" s="3"/>
    </row>
    <row r="578">
      <c r="A578" s="1"/>
      <c r="B578" s="2"/>
      <c r="C578" s="3"/>
      <c r="D578" s="3"/>
    </row>
    <row r="579">
      <c r="A579" s="1"/>
      <c r="B579" s="2"/>
      <c r="C579" s="3"/>
      <c r="D579" s="3"/>
    </row>
    <row r="580">
      <c r="A580" s="1"/>
      <c r="B580" s="2"/>
      <c r="C580" s="3"/>
      <c r="D580" s="3"/>
    </row>
    <row r="581">
      <c r="A581" s="1"/>
      <c r="B581" s="2"/>
      <c r="C581" s="3"/>
      <c r="D581" s="3"/>
    </row>
    <row r="582">
      <c r="A582" s="1"/>
      <c r="B582" s="2"/>
      <c r="C582" s="3"/>
      <c r="D582" s="3"/>
    </row>
    <row r="583">
      <c r="A583" s="1"/>
      <c r="B583" s="2"/>
      <c r="C583" s="3"/>
      <c r="D583" s="3"/>
    </row>
    <row r="584">
      <c r="A584" s="1"/>
      <c r="B584" s="2"/>
      <c r="C584" s="3"/>
      <c r="D584" s="3"/>
    </row>
    <row r="585">
      <c r="A585" s="1"/>
      <c r="B585" s="2"/>
      <c r="C585" s="3"/>
      <c r="D585" s="3"/>
    </row>
    <row r="586">
      <c r="A586" s="1"/>
      <c r="B586" s="2"/>
      <c r="C586" s="3"/>
      <c r="D586" s="3"/>
    </row>
    <row r="587">
      <c r="A587" s="1"/>
      <c r="B587" s="2"/>
      <c r="C587" s="3"/>
      <c r="D587" s="3"/>
    </row>
    <row r="588">
      <c r="A588" s="1"/>
      <c r="B588" s="2"/>
      <c r="C588" s="3"/>
      <c r="D588" s="3"/>
    </row>
    <row r="589">
      <c r="A589" s="1"/>
      <c r="B589" s="2"/>
      <c r="C589" s="3"/>
      <c r="D589" s="3"/>
    </row>
    <row r="590">
      <c r="A590" s="1"/>
      <c r="B590" s="2"/>
      <c r="C590" s="3"/>
      <c r="D590" s="3"/>
    </row>
    <row r="591">
      <c r="A591" s="1"/>
      <c r="B591" s="2"/>
      <c r="C591" s="3"/>
      <c r="D591" s="3"/>
    </row>
    <row r="592">
      <c r="A592" s="1"/>
      <c r="B592" s="2"/>
      <c r="C592" s="3"/>
      <c r="D592" s="3"/>
    </row>
    <row r="593">
      <c r="A593" s="1"/>
      <c r="B593" s="2"/>
      <c r="C593" s="3"/>
      <c r="D593" s="3"/>
    </row>
    <row r="594">
      <c r="A594" s="1"/>
      <c r="B594" s="2"/>
      <c r="C594" s="3"/>
      <c r="D594" s="3"/>
    </row>
    <row r="595">
      <c r="A595" s="1"/>
      <c r="B595" s="2"/>
      <c r="C595" s="3"/>
      <c r="D595" s="3"/>
    </row>
    <row r="596">
      <c r="A596" s="1"/>
      <c r="B596" s="2"/>
      <c r="C596" s="3"/>
      <c r="D596" s="3"/>
    </row>
    <row r="597">
      <c r="A597" s="1"/>
      <c r="B597" s="2"/>
      <c r="C597" s="3"/>
      <c r="D597" s="3"/>
    </row>
    <row r="598">
      <c r="A598" s="1"/>
      <c r="B598" s="2"/>
      <c r="C598" s="3"/>
      <c r="D598" s="3"/>
    </row>
    <row r="599">
      <c r="A599" s="1"/>
      <c r="B599" s="2"/>
      <c r="C599" s="3"/>
      <c r="D599" s="3"/>
    </row>
    <row r="600">
      <c r="A600" s="1"/>
      <c r="B600" s="2"/>
      <c r="C600" s="3"/>
      <c r="D600" s="3"/>
    </row>
    <row r="601">
      <c r="A601" s="1"/>
      <c r="B601" s="2"/>
      <c r="C601" s="3"/>
      <c r="D601" s="3"/>
    </row>
    <row r="602">
      <c r="A602" s="1"/>
      <c r="B602" s="2"/>
      <c r="C602" s="3"/>
      <c r="D602" s="3"/>
    </row>
    <row r="603">
      <c r="A603" s="1"/>
      <c r="B603" s="2"/>
      <c r="C603" s="3"/>
      <c r="D603" s="3"/>
    </row>
    <row r="604">
      <c r="A604" s="1"/>
      <c r="B604" s="2"/>
      <c r="C604" s="3"/>
      <c r="D604" s="3"/>
    </row>
    <row r="605">
      <c r="A605" s="1"/>
      <c r="B605" s="2"/>
      <c r="C605" s="3"/>
      <c r="D605" s="3"/>
    </row>
    <row r="606">
      <c r="A606" s="1"/>
      <c r="B606" s="2"/>
      <c r="C606" s="3"/>
      <c r="D606" s="3"/>
    </row>
    <row r="607">
      <c r="A607" s="1"/>
      <c r="B607" s="2"/>
      <c r="C607" s="3"/>
      <c r="D607" s="3"/>
    </row>
    <row r="608">
      <c r="A608" s="1"/>
      <c r="B608" s="2"/>
      <c r="C608" s="3"/>
      <c r="D608" s="3"/>
    </row>
    <row r="609">
      <c r="A609" s="1"/>
      <c r="B609" s="2"/>
      <c r="C609" s="3"/>
      <c r="D609" s="3"/>
    </row>
    <row r="610">
      <c r="A610" s="1"/>
      <c r="B610" s="2"/>
      <c r="C610" s="3"/>
      <c r="D610" s="3"/>
    </row>
    <row r="611">
      <c r="A611" s="1"/>
      <c r="B611" s="2"/>
      <c r="C611" s="3"/>
      <c r="D611" s="3"/>
    </row>
    <row r="612">
      <c r="A612" s="1"/>
      <c r="B612" s="2"/>
      <c r="C612" s="3"/>
      <c r="D612" s="3"/>
    </row>
    <row r="613">
      <c r="A613" s="1"/>
      <c r="B613" s="2"/>
      <c r="C613" s="3"/>
      <c r="D613" s="3"/>
    </row>
    <row r="614">
      <c r="A614" s="1"/>
      <c r="B614" s="2"/>
      <c r="C614" s="3"/>
      <c r="D614" s="3"/>
    </row>
    <row r="615">
      <c r="A615" s="1"/>
      <c r="B615" s="2"/>
      <c r="C615" s="3"/>
      <c r="D615" s="3"/>
    </row>
    <row r="616">
      <c r="A616" s="1"/>
      <c r="B616" s="2"/>
      <c r="C616" s="3"/>
      <c r="D616" s="3"/>
    </row>
    <row r="617">
      <c r="A617" s="1"/>
      <c r="B617" s="2"/>
      <c r="C617" s="3"/>
      <c r="D617" s="3"/>
    </row>
    <row r="618">
      <c r="A618" s="1"/>
      <c r="B618" s="2"/>
      <c r="C618" s="3"/>
      <c r="D618" s="3"/>
    </row>
    <row r="619">
      <c r="A619" s="1"/>
      <c r="B619" s="2"/>
      <c r="C619" s="3"/>
      <c r="D619" s="3"/>
    </row>
    <row r="620">
      <c r="A620" s="1"/>
      <c r="B620" s="2"/>
      <c r="C620" s="3"/>
      <c r="D620" s="3"/>
    </row>
    <row r="621">
      <c r="A621" s="1"/>
      <c r="B621" s="2"/>
      <c r="C621" s="3"/>
      <c r="D621" s="3"/>
    </row>
    <row r="622">
      <c r="A622" s="1"/>
      <c r="B622" s="2"/>
      <c r="C622" s="3"/>
      <c r="D622" s="3"/>
    </row>
    <row r="623">
      <c r="A623" s="1"/>
      <c r="B623" s="2"/>
      <c r="C623" s="3"/>
      <c r="D623" s="3"/>
    </row>
    <row r="624">
      <c r="A624" s="1"/>
      <c r="B624" s="2"/>
      <c r="C624" s="3"/>
      <c r="D624" s="3"/>
    </row>
    <row r="625">
      <c r="A625" s="1"/>
      <c r="B625" s="2"/>
      <c r="C625" s="3"/>
      <c r="D625" s="3"/>
    </row>
    <row r="626">
      <c r="A626" s="1"/>
      <c r="B626" s="2"/>
      <c r="C626" s="3"/>
      <c r="D626" s="3"/>
    </row>
    <row r="627">
      <c r="A627" s="1"/>
      <c r="B627" s="2"/>
      <c r="C627" s="3"/>
      <c r="D627" s="3"/>
    </row>
    <row r="628">
      <c r="A628" s="1"/>
      <c r="B628" s="2"/>
      <c r="C628" s="3"/>
      <c r="D628" s="3"/>
    </row>
    <row r="629">
      <c r="A629" s="1"/>
      <c r="B629" s="2"/>
      <c r="C629" s="3"/>
      <c r="D629" s="3"/>
    </row>
    <row r="630">
      <c r="A630" s="1"/>
      <c r="B630" s="2"/>
      <c r="C630" s="3"/>
      <c r="D630" s="3"/>
    </row>
    <row r="631">
      <c r="A631" s="1"/>
      <c r="B631" s="2"/>
      <c r="C631" s="3"/>
      <c r="D631" s="3"/>
    </row>
    <row r="632">
      <c r="A632" s="1"/>
      <c r="B632" s="2"/>
      <c r="C632" s="3"/>
      <c r="D632" s="3"/>
    </row>
    <row r="633">
      <c r="A633" s="1"/>
      <c r="B633" s="2"/>
      <c r="C633" s="3"/>
      <c r="D633" s="3"/>
    </row>
    <row r="634">
      <c r="A634" s="1"/>
      <c r="B634" s="2"/>
      <c r="C634" s="3"/>
      <c r="D634" s="3"/>
    </row>
    <row r="635">
      <c r="A635" s="1"/>
      <c r="B635" s="2"/>
      <c r="C635" s="3"/>
      <c r="D635" s="3"/>
    </row>
    <row r="636">
      <c r="A636" s="1"/>
      <c r="B636" s="2"/>
      <c r="C636" s="3"/>
      <c r="D636" s="3"/>
    </row>
    <row r="637">
      <c r="A637" s="1"/>
      <c r="B637" s="2"/>
      <c r="C637" s="3"/>
      <c r="D637" s="3"/>
    </row>
    <row r="638">
      <c r="A638" s="1"/>
      <c r="B638" s="2"/>
      <c r="C638" s="3"/>
      <c r="D638" s="3"/>
    </row>
    <row r="639">
      <c r="A639" s="1"/>
      <c r="B639" s="2"/>
      <c r="C639" s="3"/>
      <c r="D639" s="3"/>
    </row>
    <row r="640">
      <c r="A640" s="1"/>
      <c r="B640" s="2"/>
      <c r="C640" s="3"/>
      <c r="D640" s="3"/>
    </row>
    <row r="641">
      <c r="A641" s="1"/>
      <c r="B641" s="2"/>
      <c r="C641" s="3"/>
      <c r="D641" s="3"/>
    </row>
    <row r="642">
      <c r="A642" s="1"/>
      <c r="B642" s="2"/>
      <c r="C642" s="3"/>
      <c r="D642" s="3"/>
    </row>
    <row r="643">
      <c r="A643" s="1"/>
      <c r="B643" s="2"/>
      <c r="C643" s="3"/>
      <c r="D643" s="3"/>
    </row>
    <row r="644">
      <c r="A644" s="1"/>
      <c r="B644" s="2"/>
      <c r="C644" s="3"/>
      <c r="D644" s="3"/>
    </row>
    <row r="645">
      <c r="A645" s="1"/>
      <c r="B645" s="2"/>
      <c r="C645" s="3"/>
      <c r="D645" s="3"/>
    </row>
    <row r="646">
      <c r="A646" s="1"/>
      <c r="B646" s="2"/>
      <c r="C646" s="3"/>
      <c r="D646" s="3"/>
    </row>
    <row r="647">
      <c r="A647" s="1"/>
      <c r="B647" s="2"/>
      <c r="C647" s="3"/>
      <c r="D647" s="3"/>
    </row>
    <row r="648">
      <c r="A648" s="1"/>
      <c r="B648" s="2"/>
      <c r="C648" s="3"/>
      <c r="D648" s="3"/>
    </row>
    <row r="649">
      <c r="A649" s="1"/>
      <c r="B649" s="2"/>
      <c r="C649" s="3"/>
      <c r="D649" s="3"/>
    </row>
    <row r="650">
      <c r="A650" s="1"/>
      <c r="B650" s="2"/>
      <c r="C650" s="3"/>
      <c r="D650" s="3"/>
    </row>
    <row r="651">
      <c r="A651" s="1"/>
      <c r="B651" s="2"/>
      <c r="C651" s="3"/>
      <c r="D651" s="3"/>
    </row>
    <row r="652">
      <c r="A652" s="1"/>
      <c r="B652" s="2"/>
      <c r="C652" s="3"/>
      <c r="D652" s="3"/>
    </row>
    <row r="653">
      <c r="A653" s="1"/>
      <c r="B653" s="2"/>
      <c r="C653" s="3"/>
      <c r="D653" s="3"/>
    </row>
    <row r="654">
      <c r="A654" s="1"/>
      <c r="B654" s="2"/>
      <c r="C654" s="3"/>
      <c r="D654" s="3"/>
    </row>
    <row r="655">
      <c r="A655" s="1"/>
      <c r="B655" s="2"/>
      <c r="C655" s="3"/>
      <c r="D655" s="3"/>
    </row>
    <row r="656">
      <c r="A656" s="1"/>
      <c r="B656" s="2"/>
      <c r="C656" s="3"/>
      <c r="D656" s="3"/>
    </row>
    <row r="657">
      <c r="A657" s="1"/>
      <c r="B657" s="2"/>
      <c r="C657" s="3"/>
      <c r="D657" s="3"/>
    </row>
    <row r="658">
      <c r="A658" s="1"/>
      <c r="B658" s="2"/>
      <c r="C658" s="3"/>
      <c r="D658" s="3"/>
    </row>
    <row r="659">
      <c r="A659" s="1"/>
      <c r="B659" s="2"/>
      <c r="C659" s="3"/>
      <c r="D659" s="3"/>
    </row>
    <row r="660">
      <c r="A660" s="1"/>
      <c r="B660" s="2"/>
      <c r="C660" s="3"/>
      <c r="D660" s="3"/>
    </row>
    <row r="661">
      <c r="A661" s="1"/>
      <c r="B661" s="2"/>
      <c r="C661" s="3"/>
      <c r="D661" s="3"/>
    </row>
    <row r="662">
      <c r="A662" s="1"/>
      <c r="B662" s="2"/>
      <c r="C662" s="3"/>
      <c r="D662" s="3"/>
    </row>
    <row r="663">
      <c r="A663" s="1"/>
      <c r="B663" s="2"/>
      <c r="C663" s="3"/>
      <c r="D663" s="3"/>
    </row>
    <row r="664">
      <c r="A664" s="1"/>
      <c r="B664" s="2"/>
      <c r="C664" s="3"/>
      <c r="D664" s="3"/>
    </row>
    <row r="665">
      <c r="A665" s="1"/>
      <c r="B665" s="2"/>
      <c r="C665" s="3"/>
      <c r="D665" s="3"/>
    </row>
    <row r="666">
      <c r="A666" s="1"/>
      <c r="B666" s="2"/>
      <c r="C666" s="3"/>
      <c r="D666" s="3"/>
    </row>
    <row r="667">
      <c r="A667" s="1"/>
      <c r="B667" s="2"/>
      <c r="C667" s="3"/>
      <c r="D667" s="3"/>
    </row>
    <row r="668">
      <c r="A668" s="1"/>
      <c r="B668" s="2"/>
      <c r="C668" s="3"/>
      <c r="D668" s="3"/>
    </row>
    <row r="669">
      <c r="A669" s="1"/>
      <c r="B669" s="2"/>
      <c r="C669" s="3"/>
      <c r="D669" s="3"/>
    </row>
    <row r="670">
      <c r="A670" s="1"/>
      <c r="B670" s="2"/>
      <c r="C670" s="3"/>
      <c r="D670" s="3"/>
    </row>
    <row r="671">
      <c r="A671" s="1"/>
      <c r="B671" s="2"/>
      <c r="C671" s="3"/>
      <c r="D671" s="3"/>
    </row>
    <row r="672">
      <c r="A672" s="1"/>
      <c r="B672" s="2"/>
      <c r="C672" s="3"/>
      <c r="D672" s="3"/>
    </row>
    <row r="673">
      <c r="A673" s="1"/>
      <c r="B673" s="2"/>
      <c r="C673" s="3"/>
      <c r="D673" s="3"/>
    </row>
    <row r="674">
      <c r="A674" s="1"/>
      <c r="B674" s="2"/>
      <c r="C674" s="3"/>
      <c r="D674" s="3"/>
    </row>
    <row r="675">
      <c r="A675" s="1"/>
      <c r="B675" s="2"/>
      <c r="C675" s="3"/>
      <c r="D675" s="3"/>
    </row>
    <row r="676">
      <c r="A676" s="1"/>
      <c r="B676" s="2"/>
      <c r="C676" s="3"/>
      <c r="D676" s="3"/>
    </row>
    <row r="677">
      <c r="A677" s="1"/>
      <c r="B677" s="2"/>
      <c r="C677" s="3"/>
      <c r="D677" s="3"/>
    </row>
    <row r="678">
      <c r="A678" s="1"/>
      <c r="B678" s="2"/>
      <c r="C678" s="3"/>
      <c r="D678" s="3"/>
    </row>
    <row r="679">
      <c r="A679" s="1"/>
      <c r="B679" s="2"/>
      <c r="C679" s="3"/>
      <c r="D679" s="3"/>
    </row>
    <row r="680">
      <c r="A680" s="1"/>
      <c r="B680" s="2"/>
      <c r="C680" s="3"/>
      <c r="D680" s="3"/>
    </row>
    <row r="681">
      <c r="A681" s="1"/>
      <c r="B681" s="2"/>
      <c r="C681" s="3"/>
      <c r="D681" s="3"/>
    </row>
    <row r="682">
      <c r="A682" s="1"/>
      <c r="B682" s="2"/>
      <c r="C682" s="3"/>
      <c r="D682" s="3"/>
    </row>
    <row r="683">
      <c r="A683" s="1"/>
      <c r="B683" s="2"/>
      <c r="C683" s="3"/>
      <c r="D683" s="3"/>
    </row>
    <row r="684">
      <c r="A684" s="1"/>
      <c r="B684" s="2"/>
      <c r="C684" s="3"/>
      <c r="D684" s="3"/>
    </row>
    <row r="685">
      <c r="A685" s="1"/>
      <c r="B685" s="2"/>
      <c r="C685" s="3"/>
      <c r="D685" s="3"/>
    </row>
    <row r="686">
      <c r="A686" s="1"/>
      <c r="B686" s="2"/>
      <c r="C686" s="3"/>
      <c r="D686" s="3"/>
    </row>
    <row r="687">
      <c r="A687" s="1"/>
      <c r="B687" s="2"/>
      <c r="C687" s="3"/>
      <c r="D687" s="3"/>
    </row>
    <row r="688">
      <c r="A688" s="1"/>
      <c r="B688" s="2"/>
      <c r="C688" s="3"/>
      <c r="D688" s="3"/>
    </row>
    <row r="689">
      <c r="A689" s="1"/>
      <c r="B689" s="2"/>
      <c r="C689" s="3"/>
      <c r="D689" s="3"/>
    </row>
    <row r="690">
      <c r="A690" s="1"/>
      <c r="B690" s="2"/>
      <c r="C690" s="3"/>
      <c r="D690" s="3"/>
    </row>
    <row r="691">
      <c r="A691" s="1"/>
      <c r="B691" s="2"/>
      <c r="C691" s="3"/>
      <c r="D691" s="3"/>
    </row>
    <row r="692">
      <c r="A692" s="1"/>
      <c r="B692" s="2"/>
      <c r="C692" s="3"/>
      <c r="D692" s="3"/>
    </row>
    <row r="693">
      <c r="A693" s="1"/>
      <c r="B693" s="2"/>
      <c r="C693" s="3"/>
      <c r="D693" s="3"/>
    </row>
    <row r="694">
      <c r="A694" s="1"/>
      <c r="B694" s="2"/>
      <c r="C694" s="3"/>
      <c r="D694" s="3"/>
    </row>
    <row r="695">
      <c r="A695" s="1"/>
      <c r="B695" s="2"/>
      <c r="C695" s="3"/>
      <c r="D695" s="3"/>
    </row>
    <row r="696">
      <c r="A696" s="1"/>
      <c r="B696" s="2"/>
      <c r="C696" s="3"/>
      <c r="D696" s="3"/>
    </row>
    <row r="697">
      <c r="A697" s="1"/>
      <c r="B697" s="2"/>
      <c r="C697" s="3"/>
      <c r="D697" s="3"/>
    </row>
    <row r="698">
      <c r="A698" s="1"/>
      <c r="B698" s="2"/>
      <c r="C698" s="3"/>
      <c r="D698" s="3"/>
    </row>
    <row r="699">
      <c r="A699" s="1"/>
      <c r="B699" s="2"/>
      <c r="C699" s="3"/>
      <c r="D699" s="3"/>
    </row>
    <row r="700">
      <c r="A700" s="1"/>
      <c r="B700" s="2"/>
      <c r="C700" s="3"/>
      <c r="D700" s="3"/>
    </row>
    <row r="701">
      <c r="A701" s="1"/>
      <c r="B701" s="2"/>
      <c r="C701" s="3"/>
      <c r="D701" s="3"/>
    </row>
    <row r="702">
      <c r="A702" s="1"/>
      <c r="B702" s="2"/>
      <c r="C702" s="3"/>
      <c r="D702" s="3"/>
    </row>
    <row r="703">
      <c r="A703" s="1"/>
      <c r="B703" s="2"/>
      <c r="C703" s="3"/>
      <c r="D703" s="3"/>
    </row>
    <row r="704">
      <c r="A704" s="1"/>
      <c r="B704" s="2"/>
      <c r="C704" s="3"/>
      <c r="D704" s="3"/>
    </row>
    <row r="705">
      <c r="A705" s="1"/>
      <c r="B705" s="2"/>
      <c r="C705" s="3"/>
      <c r="D705" s="3"/>
    </row>
    <row r="706">
      <c r="A706" s="1"/>
      <c r="B706" s="2"/>
      <c r="C706" s="3"/>
      <c r="D706" s="3"/>
    </row>
    <row r="707">
      <c r="A707" s="1"/>
      <c r="B707" s="2"/>
      <c r="C707" s="3"/>
      <c r="D707" s="3"/>
    </row>
    <row r="708">
      <c r="A708" s="1"/>
      <c r="B708" s="2"/>
      <c r="C708" s="3"/>
      <c r="D708" s="3"/>
    </row>
    <row r="709">
      <c r="A709" s="1"/>
      <c r="B709" s="2"/>
      <c r="C709" s="3"/>
      <c r="D709" s="3"/>
    </row>
    <row r="710">
      <c r="A710" s="1"/>
      <c r="B710" s="2"/>
      <c r="C710" s="3"/>
      <c r="D710" s="3"/>
    </row>
    <row r="711">
      <c r="A711" s="1"/>
      <c r="B711" s="2"/>
      <c r="C711" s="3"/>
      <c r="D711" s="3"/>
    </row>
    <row r="712">
      <c r="A712" s="1"/>
      <c r="B712" s="2"/>
      <c r="C712" s="3"/>
      <c r="D712" s="3"/>
    </row>
    <row r="713">
      <c r="A713" s="1"/>
      <c r="B713" s="2"/>
      <c r="C713" s="3"/>
      <c r="D713" s="3"/>
    </row>
    <row r="714">
      <c r="A714" s="1"/>
      <c r="B714" s="2"/>
      <c r="C714" s="3"/>
      <c r="D714" s="3"/>
    </row>
    <row r="715">
      <c r="A715" s="1"/>
      <c r="B715" s="2"/>
      <c r="C715" s="3"/>
      <c r="D715" s="3"/>
    </row>
    <row r="716">
      <c r="A716" s="1"/>
      <c r="B716" s="2"/>
      <c r="C716" s="3"/>
      <c r="D716" s="3"/>
    </row>
    <row r="717">
      <c r="A717" s="1"/>
      <c r="B717" s="2"/>
      <c r="C717" s="3"/>
      <c r="D717" s="3"/>
    </row>
    <row r="718">
      <c r="A718" s="1"/>
      <c r="B718" s="2"/>
      <c r="C718" s="3"/>
      <c r="D718" s="3"/>
    </row>
    <row r="719">
      <c r="A719" s="1"/>
      <c r="B719" s="2"/>
      <c r="C719" s="3"/>
      <c r="D719" s="3"/>
    </row>
    <row r="720">
      <c r="A720" s="1"/>
      <c r="B720" s="2"/>
      <c r="C720" s="3"/>
      <c r="D720" s="3"/>
    </row>
    <row r="721">
      <c r="A721" s="1"/>
      <c r="B721" s="2"/>
      <c r="C721" s="3"/>
      <c r="D721" s="3"/>
    </row>
    <row r="722">
      <c r="A722" s="1"/>
      <c r="B722" s="2"/>
      <c r="C722" s="3"/>
      <c r="D722" s="3"/>
    </row>
    <row r="723">
      <c r="A723" s="1"/>
      <c r="B723" s="2"/>
      <c r="C723" s="3"/>
      <c r="D723" s="3"/>
    </row>
    <row r="724">
      <c r="A724" s="1"/>
      <c r="B724" s="2"/>
      <c r="C724" s="3"/>
      <c r="D724" s="3"/>
    </row>
    <row r="725">
      <c r="A725" s="1"/>
      <c r="B725" s="2"/>
      <c r="C725" s="3"/>
      <c r="D725" s="3"/>
    </row>
    <row r="726">
      <c r="A726" s="1"/>
      <c r="B726" s="2"/>
      <c r="C726" s="3"/>
      <c r="D726" s="3"/>
    </row>
    <row r="727">
      <c r="A727" s="1"/>
      <c r="B727" s="2"/>
      <c r="C727" s="3"/>
      <c r="D727" s="3"/>
    </row>
    <row r="728">
      <c r="A728" s="1"/>
      <c r="B728" s="2"/>
      <c r="C728" s="3"/>
      <c r="D728" s="3"/>
    </row>
    <row r="729">
      <c r="A729" s="1"/>
      <c r="B729" s="2"/>
      <c r="C729" s="3"/>
      <c r="D729" s="3"/>
    </row>
    <row r="730">
      <c r="A730" s="1"/>
      <c r="B730" s="2"/>
      <c r="C730" s="3"/>
      <c r="D730" s="3"/>
    </row>
    <row r="731">
      <c r="A731" s="1"/>
      <c r="B731" s="2"/>
      <c r="C731" s="3"/>
      <c r="D731" s="3"/>
    </row>
    <row r="732">
      <c r="A732" s="1"/>
      <c r="B732" s="2"/>
      <c r="C732" s="3"/>
      <c r="D732" s="3"/>
    </row>
    <row r="733">
      <c r="A733" s="1"/>
      <c r="B733" s="2"/>
      <c r="C733" s="3"/>
      <c r="D733" s="3"/>
    </row>
    <row r="734">
      <c r="A734" s="1"/>
      <c r="B734" s="2"/>
      <c r="C734" s="3"/>
      <c r="D734" s="3"/>
    </row>
    <row r="735">
      <c r="A735" s="1"/>
      <c r="B735" s="2"/>
      <c r="C735" s="3"/>
      <c r="D735" s="3"/>
    </row>
    <row r="736">
      <c r="A736" s="1"/>
      <c r="B736" s="2"/>
      <c r="C736" s="3"/>
      <c r="D736" s="3"/>
    </row>
    <row r="737">
      <c r="A737" s="1"/>
      <c r="B737" s="2"/>
      <c r="C737" s="3"/>
      <c r="D737" s="3"/>
    </row>
    <row r="738">
      <c r="A738" s="1"/>
      <c r="B738" s="2"/>
      <c r="C738" s="3"/>
      <c r="D738" s="3"/>
    </row>
    <row r="739">
      <c r="A739" s="1"/>
      <c r="B739" s="2"/>
      <c r="C739" s="3"/>
      <c r="D739" s="3"/>
    </row>
    <row r="740">
      <c r="A740" s="1"/>
      <c r="B740" s="2"/>
      <c r="C740" s="3"/>
      <c r="D740" s="3"/>
    </row>
    <row r="741">
      <c r="A741" s="1"/>
      <c r="B741" s="2"/>
      <c r="C741" s="3"/>
      <c r="D741" s="3"/>
    </row>
    <row r="742">
      <c r="A742" s="1"/>
      <c r="B742" s="2"/>
      <c r="C742" s="3"/>
      <c r="D742" s="3"/>
    </row>
    <row r="743">
      <c r="A743" s="1"/>
      <c r="B743" s="2"/>
      <c r="C743" s="3"/>
      <c r="D743" s="3"/>
    </row>
    <row r="744">
      <c r="A744" s="1"/>
      <c r="B744" s="2"/>
      <c r="C744" s="3"/>
      <c r="D744" s="3"/>
    </row>
    <row r="745">
      <c r="A745" s="1"/>
      <c r="B745" s="2"/>
      <c r="C745" s="3"/>
      <c r="D745" s="3"/>
    </row>
    <row r="746">
      <c r="A746" s="1"/>
      <c r="B746" s="2"/>
      <c r="C746" s="3"/>
      <c r="D746" s="3"/>
    </row>
    <row r="747">
      <c r="A747" s="1"/>
      <c r="B747" s="2"/>
      <c r="C747" s="3"/>
      <c r="D747" s="3"/>
    </row>
    <row r="748">
      <c r="A748" s="1"/>
      <c r="B748" s="2"/>
      <c r="C748" s="3"/>
      <c r="D748" s="3"/>
    </row>
    <row r="749">
      <c r="A749" s="1"/>
      <c r="B749" s="2"/>
      <c r="C749" s="3"/>
      <c r="D749" s="3"/>
    </row>
    <row r="750">
      <c r="A750" s="1"/>
      <c r="B750" s="2"/>
      <c r="C750" s="3"/>
      <c r="D750" s="3"/>
    </row>
    <row r="751">
      <c r="A751" s="1"/>
      <c r="B751" s="2"/>
      <c r="C751" s="3"/>
      <c r="D751" s="3"/>
    </row>
    <row r="752">
      <c r="A752" s="1"/>
      <c r="B752" s="2"/>
      <c r="C752" s="3"/>
      <c r="D752" s="3"/>
    </row>
    <row r="753">
      <c r="A753" s="1"/>
      <c r="B753" s="2"/>
      <c r="C753" s="3"/>
      <c r="D753" s="3"/>
    </row>
    <row r="754">
      <c r="A754" s="1"/>
      <c r="B754" s="2"/>
      <c r="C754" s="3"/>
      <c r="D754" s="3"/>
    </row>
    <row r="755">
      <c r="A755" s="1"/>
      <c r="B755" s="2"/>
      <c r="C755" s="3"/>
      <c r="D755" s="3"/>
    </row>
    <row r="756">
      <c r="A756" s="1"/>
      <c r="B756" s="2"/>
      <c r="C756" s="3"/>
      <c r="D756" s="3"/>
    </row>
    <row r="757">
      <c r="A757" s="1"/>
      <c r="B757" s="2"/>
      <c r="C757" s="3"/>
      <c r="D757" s="3"/>
    </row>
    <row r="758">
      <c r="A758" s="1"/>
      <c r="B758" s="2"/>
      <c r="C758" s="3"/>
      <c r="D758" s="3"/>
    </row>
    <row r="759">
      <c r="A759" s="1"/>
      <c r="B759" s="2"/>
      <c r="C759" s="3"/>
      <c r="D759" s="3"/>
    </row>
    <row r="760">
      <c r="A760" s="1"/>
      <c r="B760" s="2"/>
      <c r="C760" s="3"/>
      <c r="D760" s="3"/>
    </row>
    <row r="761">
      <c r="A761" s="1"/>
      <c r="B761" s="2"/>
      <c r="C761" s="3"/>
      <c r="D761" s="3"/>
    </row>
    <row r="762">
      <c r="A762" s="1"/>
      <c r="B762" s="2"/>
      <c r="C762" s="3"/>
      <c r="D762" s="3"/>
    </row>
    <row r="763">
      <c r="A763" s="1"/>
      <c r="B763" s="2"/>
      <c r="C763" s="3"/>
      <c r="D763" s="3"/>
    </row>
    <row r="764">
      <c r="A764" s="1"/>
      <c r="B764" s="2"/>
      <c r="C764" s="3"/>
      <c r="D764" s="3"/>
    </row>
    <row r="765">
      <c r="A765" s="1"/>
      <c r="B765" s="2"/>
      <c r="C765" s="3"/>
      <c r="D765" s="3"/>
    </row>
    <row r="766">
      <c r="A766" s="1"/>
      <c r="B766" s="2"/>
      <c r="C766" s="3"/>
      <c r="D766" s="3"/>
    </row>
    <row r="767">
      <c r="A767" s="1"/>
      <c r="B767" s="2"/>
      <c r="C767" s="3"/>
      <c r="D767" s="3"/>
    </row>
    <row r="768">
      <c r="A768" s="1"/>
      <c r="B768" s="2"/>
      <c r="C768" s="3"/>
      <c r="D768" s="3"/>
    </row>
    <row r="769">
      <c r="A769" s="1"/>
      <c r="B769" s="2"/>
      <c r="C769" s="3"/>
      <c r="D769" s="3"/>
    </row>
    <row r="770">
      <c r="A770" s="1"/>
      <c r="B770" s="2"/>
      <c r="C770" s="3"/>
      <c r="D770" s="3"/>
    </row>
    <row r="771">
      <c r="A771" s="1"/>
      <c r="B771" s="2"/>
      <c r="C771" s="3"/>
      <c r="D771" s="3"/>
    </row>
    <row r="772">
      <c r="A772" s="1"/>
      <c r="B772" s="2"/>
      <c r="C772" s="3"/>
      <c r="D772" s="3"/>
    </row>
    <row r="773">
      <c r="A773" s="1"/>
      <c r="B773" s="2"/>
      <c r="C773" s="3"/>
      <c r="D773" s="3"/>
    </row>
    <row r="774">
      <c r="A774" s="1"/>
      <c r="B774" s="2"/>
      <c r="C774" s="3"/>
      <c r="D774" s="3"/>
    </row>
    <row r="775">
      <c r="A775" s="1"/>
      <c r="B775" s="2"/>
      <c r="C775" s="3"/>
      <c r="D775" s="3"/>
    </row>
    <row r="776">
      <c r="A776" s="1"/>
      <c r="B776" s="2"/>
      <c r="C776" s="3"/>
      <c r="D776" s="3"/>
    </row>
    <row r="777">
      <c r="A777" s="1"/>
      <c r="B777" s="2"/>
      <c r="C777" s="3"/>
      <c r="D777" s="3"/>
    </row>
    <row r="778">
      <c r="A778" s="1"/>
      <c r="B778" s="2"/>
      <c r="C778" s="3"/>
      <c r="D778" s="3"/>
    </row>
    <row r="779">
      <c r="A779" s="1"/>
      <c r="B779" s="2"/>
      <c r="C779" s="3"/>
      <c r="D779" s="3"/>
    </row>
    <row r="780">
      <c r="A780" s="1"/>
      <c r="B780" s="2"/>
      <c r="C780" s="3"/>
      <c r="D780" s="3"/>
    </row>
    <row r="781">
      <c r="A781" s="1"/>
      <c r="B781" s="2"/>
      <c r="C781" s="3"/>
      <c r="D781" s="3"/>
    </row>
    <row r="782">
      <c r="A782" s="1"/>
      <c r="B782" s="2"/>
      <c r="C782" s="3"/>
      <c r="D782" s="3"/>
    </row>
    <row r="783">
      <c r="A783" s="1"/>
      <c r="B783" s="2"/>
      <c r="C783" s="3"/>
      <c r="D783" s="3"/>
    </row>
    <row r="784">
      <c r="A784" s="1"/>
      <c r="B784" s="2"/>
      <c r="C784" s="3"/>
      <c r="D784" s="3"/>
    </row>
    <row r="785">
      <c r="A785" s="1"/>
      <c r="B785" s="2"/>
      <c r="C785" s="3"/>
      <c r="D785" s="3"/>
    </row>
    <row r="786">
      <c r="A786" s="1"/>
      <c r="B786" s="2"/>
      <c r="C786" s="3"/>
      <c r="D786" s="3"/>
    </row>
    <row r="787">
      <c r="A787" s="1"/>
      <c r="B787" s="2"/>
      <c r="C787" s="3"/>
      <c r="D787" s="3"/>
    </row>
    <row r="788">
      <c r="A788" s="1"/>
      <c r="B788" s="2"/>
      <c r="C788" s="3"/>
      <c r="D788" s="3"/>
    </row>
    <row r="789">
      <c r="A789" s="1"/>
      <c r="B789" s="2"/>
      <c r="C789" s="3"/>
      <c r="D789" s="3"/>
    </row>
    <row r="790">
      <c r="A790" s="1"/>
      <c r="B790" s="2"/>
      <c r="C790" s="3"/>
      <c r="D790" s="3"/>
    </row>
    <row r="791">
      <c r="A791" s="1"/>
      <c r="B791" s="2"/>
      <c r="C791" s="3"/>
      <c r="D791" s="3"/>
    </row>
    <row r="792">
      <c r="A792" s="1"/>
      <c r="B792" s="2"/>
      <c r="C792" s="3"/>
      <c r="D792" s="3"/>
    </row>
    <row r="793">
      <c r="A793" s="1"/>
      <c r="B793" s="2"/>
      <c r="C793" s="3"/>
      <c r="D793" s="3"/>
    </row>
    <row r="794">
      <c r="A794" s="1"/>
      <c r="B794" s="2"/>
      <c r="C794" s="3"/>
      <c r="D794" s="3"/>
    </row>
    <row r="795">
      <c r="A795" s="1"/>
      <c r="B795" s="2"/>
      <c r="C795" s="3"/>
      <c r="D795" s="3"/>
    </row>
    <row r="796">
      <c r="A796" s="1"/>
      <c r="B796" s="2"/>
      <c r="C796" s="3"/>
      <c r="D796" s="3"/>
    </row>
    <row r="797">
      <c r="A797" s="1"/>
      <c r="B797" s="2"/>
      <c r="C797" s="3"/>
      <c r="D797" s="3"/>
    </row>
    <row r="798">
      <c r="A798" s="1"/>
      <c r="B798" s="2"/>
      <c r="C798" s="3"/>
      <c r="D798" s="3"/>
    </row>
    <row r="799">
      <c r="A799" s="1"/>
      <c r="B799" s="2"/>
      <c r="C799" s="3"/>
      <c r="D799" s="3"/>
    </row>
    <row r="800">
      <c r="A800" s="1"/>
      <c r="B800" s="2"/>
      <c r="C800" s="3"/>
      <c r="D800" s="3"/>
    </row>
    <row r="801">
      <c r="A801" s="1"/>
      <c r="B801" s="2"/>
      <c r="C801" s="3"/>
      <c r="D801" s="3"/>
    </row>
    <row r="802">
      <c r="A802" s="1"/>
      <c r="B802" s="2"/>
      <c r="C802" s="3"/>
      <c r="D802" s="3"/>
    </row>
    <row r="803">
      <c r="A803" s="1"/>
      <c r="B803" s="2"/>
      <c r="C803" s="3"/>
      <c r="D803" s="3"/>
    </row>
    <row r="804">
      <c r="A804" s="1"/>
      <c r="B804" s="2"/>
      <c r="C804" s="3"/>
      <c r="D804" s="3"/>
    </row>
    <row r="805">
      <c r="A805" s="1"/>
      <c r="B805" s="2"/>
      <c r="C805" s="3"/>
      <c r="D805" s="3"/>
    </row>
    <row r="806">
      <c r="A806" s="1"/>
      <c r="B806" s="2"/>
      <c r="C806" s="3"/>
      <c r="D806" s="3"/>
    </row>
    <row r="807">
      <c r="A807" s="1"/>
      <c r="B807" s="2"/>
      <c r="C807" s="3"/>
      <c r="D807" s="3"/>
    </row>
    <row r="808">
      <c r="A808" s="1"/>
      <c r="B808" s="2"/>
      <c r="C808" s="3"/>
      <c r="D808" s="3"/>
    </row>
    <row r="809">
      <c r="A809" s="1"/>
      <c r="B809" s="2"/>
      <c r="C809" s="3"/>
      <c r="D809" s="3"/>
    </row>
    <row r="810">
      <c r="A810" s="1"/>
      <c r="B810" s="2"/>
      <c r="C810" s="3"/>
      <c r="D810" s="3"/>
    </row>
    <row r="811">
      <c r="A811" s="1"/>
      <c r="B811" s="2"/>
      <c r="C811" s="3"/>
      <c r="D811" s="3"/>
    </row>
    <row r="812">
      <c r="A812" s="1"/>
      <c r="B812" s="2"/>
      <c r="C812" s="3"/>
      <c r="D812" s="3"/>
    </row>
    <row r="813">
      <c r="A813" s="1"/>
      <c r="B813" s="2"/>
      <c r="C813" s="3"/>
      <c r="D813" s="3"/>
    </row>
    <row r="814">
      <c r="A814" s="1"/>
      <c r="B814" s="2"/>
      <c r="C814" s="3"/>
      <c r="D814" s="3"/>
    </row>
    <row r="815">
      <c r="A815" s="1"/>
      <c r="B815" s="2"/>
      <c r="C815" s="3"/>
      <c r="D815" s="3"/>
    </row>
    <row r="816">
      <c r="A816" s="1"/>
      <c r="B816" s="2"/>
      <c r="C816" s="3"/>
      <c r="D816" s="3"/>
    </row>
    <row r="817">
      <c r="A817" s="1"/>
      <c r="B817" s="2"/>
      <c r="C817" s="3"/>
      <c r="D817" s="3"/>
    </row>
    <row r="818">
      <c r="A818" s="1"/>
      <c r="B818" s="2"/>
      <c r="C818" s="3"/>
      <c r="D818" s="3"/>
    </row>
    <row r="819">
      <c r="A819" s="1"/>
      <c r="B819" s="2"/>
      <c r="C819" s="3"/>
      <c r="D819" s="3"/>
    </row>
    <row r="820">
      <c r="A820" s="1"/>
      <c r="B820" s="2"/>
      <c r="C820" s="3"/>
      <c r="D820" s="3"/>
    </row>
    <row r="821">
      <c r="A821" s="1"/>
      <c r="B821" s="2"/>
      <c r="C821" s="3"/>
      <c r="D821" s="3"/>
    </row>
    <row r="822">
      <c r="A822" s="1"/>
      <c r="B822" s="2"/>
      <c r="C822" s="3"/>
      <c r="D822" s="3"/>
    </row>
    <row r="823">
      <c r="A823" s="1"/>
      <c r="B823" s="2"/>
      <c r="C823" s="3"/>
      <c r="D823" s="3"/>
    </row>
    <row r="824">
      <c r="A824" s="1"/>
      <c r="B824" s="2"/>
      <c r="C824" s="3"/>
      <c r="D824" s="3"/>
    </row>
    <row r="825">
      <c r="A825" s="1"/>
      <c r="B825" s="2"/>
      <c r="C825" s="3"/>
      <c r="D825" s="3"/>
    </row>
    <row r="826">
      <c r="A826" s="1"/>
      <c r="B826" s="2"/>
      <c r="C826" s="3"/>
      <c r="D826" s="3"/>
    </row>
    <row r="827">
      <c r="A827" s="1"/>
      <c r="B827" s="2"/>
      <c r="C827" s="3"/>
      <c r="D827" s="3"/>
    </row>
    <row r="828">
      <c r="A828" s="1"/>
      <c r="B828" s="2"/>
      <c r="C828" s="3"/>
      <c r="D828" s="3"/>
    </row>
    <row r="829">
      <c r="A829" s="1"/>
      <c r="B829" s="2"/>
      <c r="C829" s="3"/>
      <c r="D829" s="3"/>
    </row>
    <row r="830">
      <c r="A830" s="1"/>
      <c r="B830" s="2"/>
      <c r="C830" s="3"/>
      <c r="D830" s="3"/>
    </row>
    <row r="831">
      <c r="A831" s="1"/>
      <c r="B831" s="2"/>
      <c r="C831" s="3"/>
      <c r="D831" s="3"/>
    </row>
    <row r="832">
      <c r="A832" s="1"/>
      <c r="B832" s="2"/>
      <c r="C832" s="3"/>
      <c r="D832" s="3"/>
    </row>
    <row r="833">
      <c r="A833" s="1"/>
      <c r="B833" s="2"/>
      <c r="C833" s="3"/>
      <c r="D833" s="3"/>
    </row>
    <row r="834">
      <c r="A834" s="1"/>
      <c r="B834" s="2"/>
      <c r="C834" s="3"/>
      <c r="D834" s="3"/>
    </row>
    <row r="835">
      <c r="A835" s="1"/>
      <c r="B835" s="2"/>
      <c r="C835" s="3"/>
      <c r="D835" s="3"/>
    </row>
    <row r="836">
      <c r="A836" s="1"/>
      <c r="B836" s="2"/>
      <c r="C836" s="3"/>
      <c r="D836" s="3"/>
    </row>
    <row r="837">
      <c r="A837" s="1"/>
      <c r="B837" s="2"/>
      <c r="C837" s="3"/>
      <c r="D837" s="3"/>
    </row>
    <row r="838">
      <c r="A838" s="1"/>
      <c r="B838" s="2"/>
      <c r="C838" s="3"/>
      <c r="D838" s="3"/>
    </row>
    <row r="839">
      <c r="A839" s="1"/>
      <c r="B839" s="2"/>
      <c r="C839" s="3"/>
      <c r="D839" s="3"/>
    </row>
    <row r="840">
      <c r="A840" s="1"/>
      <c r="B840" s="2"/>
      <c r="C840" s="3"/>
      <c r="D840" s="3"/>
    </row>
    <row r="841">
      <c r="A841" s="1"/>
      <c r="B841" s="2"/>
      <c r="C841" s="3"/>
      <c r="D841" s="3"/>
    </row>
    <row r="842">
      <c r="A842" s="1"/>
      <c r="B842" s="2"/>
      <c r="C842" s="3"/>
      <c r="D842" s="3"/>
    </row>
    <row r="843">
      <c r="A843" s="1"/>
      <c r="B843" s="2"/>
      <c r="C843" s="3"/>
      <c r="D843" s="3"/>
    </row>
    <row r="844">
      <c r="A844" s="1"/>
      <c r="B844" s="2"/>
      <c r="C844" s="3"/>
      <c r="D844" s="3"/>
    </row>
    <row r="845">
      <c r="A845" s="1"/>
      <c r="B845" s="2"/>
      <c r="C845" s="3"/>
      <c r="D845" s="3"/>
    </row>
    <row r="846">
      <c r="A846" s="1"/>
      <c r="B846" s="2"/>
      <c r="C846" s="3"/>
      <c r="D846" s="3"/>
    </row>
    <row r="847">
      <c r="A847" s="1"/>
      <c r="B847" s="2"/>
      <c r="C847" s="3"/>
      <c r="D847" s="3"/>
    </row>
    <row r="848">
      <c r="A848" s="1"/>
      <c r="B848" s="2"/>
      <c r="C848" s="3"/>
      <c r="D848" s="3"/>
    </row>
    <row r="849">
      <c r="A849" s="1"/>
      <c r="B849" s="2"/>
      <c r="C849" s="3"/>
      <c r="D849" s="3"/>
    </row>
    <row r="850">
      <c r="A850" s="1"/>
      <c r="B850" s="2"/>
      <c r="C850" s="3"/>
      <c r="D850" s="3"/>
    </row>
    <row r="851">
      <c r="A851" s="1"/>
      <c r="B851" s="2"/>
      <c r="C851" s="3"/>
      <c r="D851" s="3"/>
    </row>
    <row r="852">
      <c r="A852" s="1"/>
      <c r="B852" s="2"/>
      <c r="C852" s="3"/>
      <c r="D852" s="3"/>
    </row>
    <row r="853">
      <c r="A853" s="1"/>
      <c r="B853" s="2"/>
      <c r="C853" s="3"/>
      <c r="D853" s="3"/>
    </row>
    <row r="854">
      <c r="A854" s="1"/>
      <c r="B854" s="2"/>
      <c r="C854" s="3"/>
      <c r="D854" s="3"/>
    </row>
    <row r="855">
      <c r="A855" s="1"/>
      <c r="B855" s="2"/>
      <c r="C855" s="3"/>
      <c r="D855" s="3"/>
    </row>
    <row r="856">
      <c r="A856" s="1"/>
      <c r="B856" s="2"/>
      <c r="C856" s="3"/>
      <c r="D856" s="3"/>
    </row>
    <row r="857">
      <c r="A857" s="1"/>
      <c r="B857" s="2"/>
      <c r="C857" s="3"/>
      <c r="D857" s="3"/>
    </row>
    <row r="858">
      <c r="A858" s="1"/>
      <c r="B858" s="2"/>
      <c r="C858" s="3"/>
      <c r="D858" s="3"/>
    </row>
    <row r="859">
      <c r="A859" s="1"/>
      <c r="B859" s="2"/>
      <c r="C859" s="3"/>
      <c r="D859" s="3"/>
    </row>
    <row r="860">
      <c r="A860" s="1"/>
      <c r="B860" s="2"/>
      <c r="C860" s="3"/>
      <c r="D860" s="3"/>
    </row>
    <row r="861">
      <c r="A861" s="1"/>
      <c r="B861" s="2"/>
      <c r="C861" s="3"/>
      <c r="D861" s="3"/>
    </row>
    <row r="862">
      <c r="A862" s="1"/>
      <c r="B862" s="2"/>
      <c r="C862" s="3"/>
      <c r="D862" s="3"/>
    </row>
    <row r="863">
      <c r="A863" s="1"/>
      <c r="B863" s="2"/>
      <c r="C863" s="3"/>
      <c r="D863" s="3"/>
    </row>
    <row r="864">
      <c r="A864" s="1"/>
      <c r="B864" s="2"/>
      <c r="C864" s="3"/>
      <c r="D864" s="3"/>
    </row>
    <row r="865">
      <c r="A865" s="1"/>
      <c r="B865" s="2"/>
      <c r="C865" s="3"/>
      <c r="D865" s="3"/>
    </row>
    <row r="866">
      <c r="A866" s="1"/>
      <c r="B866" s="2"/>
      <c r="C866" s="3"/>
      <c r="D866" s="3"/>
    </row>
    <row r="867">
      <c r="A867" s="1"/>
      <c r="B867" s="2"/>
      <c r="C867" s="3"/>
      <c r="D867" s="3"/>
    </row>
    <row r="868">
      <c r="A868" s="1"/>
      <c r="B868" s="2"/>
      <c r="C868" s="3"/>
      <c r="D868" s="3"/>
    </row>
    <row r="869">
      <c r="A869" s="1"/>
      <c r="B869" s="2"/>
      <c r="C869" s="3"/>
      <c r="D869" s="3"/>
    </row>
    <row r="870">
      <c r="A870" s="1"/>
      <c r="B870" s="2"/>
      <c r="C870" s="3"/>
      <c r="D870" s="3"/>
    </row>
    <row r="871">
      <c r="A871" s="1"/>
      <c r="B871" s="2"/>
      <c r="C871" s="3"/>
      <c r="D871" s="3"/>
    </row>
    <row r="872">
      <c r="A872" s="1"/>
      <c r="B872" s="2"/>
      <c r="C872" s="3"/>
      <c r="D872" s="3"/>
    </row>
    <row r="873">
      <c r="A873" s="1"/>
      <c r="B873" s="2"/>
      <c r="C873" s="3"/>
      <c r="D873" s="3"/>
    </row>
    <row r="874">
      <c r="A874" s="1"/>
      <c r="B874" s="2"/>
      <c r="C874" s="3"/>
      <c r="D874" s="3"/>
    </row>
    <row r="875">
      <c r="A875" s="1"/>
      <c r="B875" s="2"/>
      <c r="C875" s="3"/>
      <c r="D875" s="3"/>
    </row>
    <row r="876">
      <c r="A876" s="1"/>
      <c r="B876" s="2"/>
      <c r="C876" s="3"/>
      <c r="D876" s="3"/>
    </row>
    <row r="877">
      <c r="A877" s="1"/>
      <c r="B877" s="2"/>
      <c r="C877" s="3"/>
      <c r="D877" s="3"/>
    </row>
    <row r="878">
      <c r="A878" s="1"/>
      <c r="B878" s="2"/>
      <c r="C878" s="3"/>
      <c r="D878" s="3"/>
    </row>
    <row r="879">
      <c r="A879" s="1"/>
      <c r="B879" s="2"/>
      <c r="C879" s="3"/>
      <c r="D879" s="3"/>
    </row>
    <row r="880">
      <c r="A880" s="1"/>
      <c r="B880" s="2"/>
      <c r="C880" s="3"/>
      <c r="D880" s="3"/>
    </row>
    <row r="881">
      <c r="A881" s="1"/>
      <c r="B881" s="2"/>
      <c r="C881" s="3"/>
      <c r="D881" s="3"/>
    </row>
    <row r="882">
      <c r="A882" s="1"/>
      <c r="B882" s="2"/>
      <c r="C882" s="3"/>
      <c r="D882" s="3"/>
    </row>
    <row r="883">
      <c r="A883" s="1"/>
      <c r="B883" s="2"/>
      <c r="C883" s="3"/>
      <c r="D883" s="3"/>
    </row>
    <row r="884">
      <c r="A884" s="1"/>
      <c r="B884" s="2"/>
      <c r="C884" s="3"/>
      <c r="D884" s="3"/>
    </row>
    <row r="885">
      <c r="A885" s="1"/>
      <c r="B885" s="2"/>
      <c r="C885" s="3"/>
      <c r="D885" s="3"/>
    </row>
    <row r="886">
      <c r="A886" s="1"/>
      <c r="B886" s="2"/>
      <c r="C886" s="3"/>
      <c r="D886" s="3"/>
    </row>
    <row r="887">
      <c r="A887" s="1"/>
      <c r="B887" s="2"/>
      <c r="C887" s="3"/>
      <c r="D887" s="3"/>
    </row>
    <row r="888">
      <c r="A888" s="1"/>
      <c r="B888" s="2"/>
      <c r="C888" s="3"/>
      <c r="D888" s="3"/>
    </row>
    <row r="889">
      <c r="A889" s="1"/>
      <c r="B889" s="2"/>
      <c r="C889" s="3"/>
      <c r="D889" s="3"/>
    </row>
    <row r="890">
      <c r="A890" s="1"/>
      <c r="B890" s="2"/>
      <c r="C890" s="3"/>
      <c r="D890" s="3"/>
    </row>
    <row r="891">
      <c r="A891" s="1"/>
      <c r="B891" s="2"/>
      <c r="C891" s="3"/>
      <c r="D891" s="3"/>
    </row>
    <row r="892">
      <c r="A892" s="1"/>
      <c r="B892" s="2"/>
      <c r="C892" s="3"/>
      <c r="D892" s="3"/>
    </row>
    <row r="893">
      <c r="A893" s="1"/>
      <c r="B893" s="2"/>
      <c r="C893" s="3"/>
      <c r="D893" s="3"/>
    </row>
    <row r="894">
      <c r="A894" s="1"/>
      <c r="B894" s="2"/>
      <c r="C894" s="3"/>
      <c r="D894" s="3"/>
    </row>
    <row r="895">
      <c r="A895" s="1"/>
      <c r="B895" s="2"/>
      <c r="C895" s="3"/>
      <c r="D895" s="3"/>
    </row>
    <row r="896">
      <c r="A896" s="1"/>
      <c r="B896" s="2"/>
      <c r="C896" s="3"/>
      <c r="D896" s="3"/>
    </row>
    <row r="897">
      <c r="A897" s="1"/>
      <c r="B897" s="2"/>
      <c r="C897" s="3"/>
      <c r="D897" s="3"/>
    </row>
    <row r="898">
      <c r="A898" s="1"/>
      <c r="B898" s="2"/>
      <c r="C898" s="3"/>
      <c r="D898" s="3"/>
    </row>
    <row r="899">
      <c r="A899" s="1"/>
      <c r="B899" s="2"/>
      <c r="C899" s="3"/>
      <c r="D899" s="3"/>
    </row>
    <row r="900">
      <c r="A900" s="1"/>
      <c r="B900" s="2"/>
      <c r="C900" s="3"/>
      <c r="D900" s="3"/>
    </row>
    <row r="901">
      <c r="A901" s="1"/>
      <c r="B901" s="2"/>
      <c r="C901" s="3"/>
      <c r="D901" s="3"/>
    </row>
    <row r="902">
      <c r="A902" s="1"/>
      <c r="B902" s="2"/>
      <c r="C902" s="3"/>
      <c r="D902" s="3"/>
    </row>
    <row r="903">
      <c r="A903" s="1"/>
      <c r="B903" s="2"/>
      <c r="C903" s="3"/>
      <c r="D903" s="3"/>
    </row>
    <row r="904">
      <c r="A904" s="1"/>
      <c r="B904" s="2"/>
      <c r="C904" s="3"/>
      <c r="D904" s="3"/>
    </row>
    <row r="905">
      <c r="A905" s="1"/>
      <c r="B905" s="2"/>
      <c r="C905" s="3"/>
      <c r="D905" s="3"/>
    </row>
    <row r="906">
      <c r="A906" s="1"/>
      <c r="B906" s="2"/>
      <c r="C906" s="3"/>
      <c r="D906" s="3"/>
    </row>
    <row r="907">
      <c r="A907" s="1"/>
      <c r="B907" s="2"/>
      <c r="C907" s="3"/>
      <c r="D907" s="3"/>
    </row>
    <row r="908">
      <c r="A908" s="1"/>
      <c r="B908" s="2"/>
      <c r="C908" s="3"/>
      <c r="D908" s="3"/>
    </row>
    <row r="909">
      <c r="A909" s="1"/>
      <c r="B909" s="2"/>
      <c r="C909" s="3"/>
      <c r="D909" s="3"/>
    </row>
    <row r="910">
      <c r="A910" s="1"/>
      <c r="B910" s="2"/>
      <c r="C910" s="3"/>
      <c r="D910" s="3"/>
    </row>
    <row r="911">
      <c r="A911" s="1"/>
      <c r="B911" s="2"/>
      <c r="C911" s="3"/>
      <c r="D911" s="3"/>
    </row>
    <row r="912">
      <c r="A912" s="1"/>
      <c r="B912" s="2"/>
      <c r="C912" s="3"/>
      <c r="D912" s="3"/>
    </row>
    <row r="913">
      <c r="A913" s="1"/>
      <c r="B913" s="2"/>
      <c r="C913" s="3"/>
      <c r="D913" s="3"/>
    </row>
    <row r="914">
      <c r="A914" s="1"/>
      <c r="B914" s="2"/>
      <c r="C914" s="3"/>
      <c r="D914" s="3"/>
    </row>
    <row r="915">
      <c r="A915" s="1"/>
      <c r="B915" s="2"/>
      <c r="C915" s="3"/>
      <c r="D915" s="3"/>
    </row>
    <row r="916">
      <c r="A916" s="1"/>
      <c r="B916" s="2"/>
      <c r="C916" s="3"/>
      <c r="D916" s="3"/>
    </row>
    <row r="917">
      <c r="A917" s="1"/>
      <c r="B917" s="2"/>
      <c r="C917" s="3"/>
      <c r="D917" s="3"/>
    </row>
    <row r="918">
      <c r="A918" s="1"/>
      <c r="B918" s="2"/>
      <c r="C918" s="3"/>
      <c r="D918" s="3"/>
    </row>
    <row r="919">
      <c r="A919" s="1"/>
      <c r="B919" s="2"/>
      <c r="C919" s="3"/>
      <c r="D919" s="3"/>
    </row>
    <row r="920">
      <c r="A920" s="1"/>
      <c r="B920" s="2"/>
      <c r="C920" s="3"/>
      <c r="D920" s="3"/>
    </row>
    <row r="921">
      <c r="A921" s="1"/>
      <c r="B921" s="2"/>
      <c r="C921" s="3"/>
      <c r="D921" s="3"/>
    </row>
    <row r="922">
      <c r="A922" s="1"/>
      <c r="B922" s="2"/>
      <c r="C922" s="3"/>
      <c r="D922" s="3"/>
    </row>
    <row r="923">
      <c r="A923" s="1"/>
      <c r="B923" s="2"/>
      <c r="C923" s="3"/>
      <c r="D923" s="3"/>
    </row>
    <row r="924">
      <c r="A924" s="1"/>
      <c r="B924" s="2"/>
      <c r="C924" s="3"/>
      <c r="D924" s="3"/>
    </row>
    <row r="925">
      <c r="A925" s="1"/>
      <c r="B925" s="2"/>
      <c r="C925" s="3"/>
      <c r="D925" s="3"/>
    </row>
    <row r="926">
      <c r="A926" s="1"/>
      <c r="B926" s="2"/>
      <c r="C926" s="3"/>
      <c r="D926" s="3"/>
    </row>
    <row r="927">
      <c r="A927" s="1"/>
      <c r="B927" s="2"/>
      <c r="C927" s="3"/>
      <c r="D927" s="3"/>
    </row>
    <row r="928">
      <c r="A928" s="1"/>
      <c r="B928" s="2"/>
      <c r="C928" s="3"/>
      <c r="D928" s="3"/>
    </row>
    <row r="929">
      <c r="A929" s="1"/>
      <c r="B929" s="2"/>
      <c r="C929" s="3"/>
      <c r="D929" s="3"/>
    </row>
    <row r="930">
      <c r="A930" s="1"/>
      <c r="B930" s="2"/>
      <c r="C930" s="3"/>
      <c r="D930" s="3"/>
    </row>
    <row r="931">
      <c r="A931" s="1"/>
      <c r="B931" s="2"/>
      <c r="C931" s="3"/>
      <c r="D931" s="3"/>
    </row>
    <row r="932">
      <c r="A932" s="1"/>
      <c r="B932" s="2"/>
      <c r="C932" s="3"/>
      <c r="D932" s="3"/>
    </row>
    <row r="933">
      <c r="A933" s="1"/>
      <c r="B933" s="2"/>
      <c r="C933" s="3"/>
      <c r="D933" s="3"/>
    </row>
    <row r="934">
      <c r="A934" s="1"/>
      <c r="B934" s="2"/>
      <c r="C934" s="3"/>
      <c r="D934" s="3"/>
    </row>
    <row r="935">
      <c r="A935" s="1"/>
      <c r="B935" s="2"/>
      <c r="C935" s="3"/>
      <c r="D935" s="3"/>
    </row>
    <row r="936">
      <c r="A936" s="1"/>
      <c r="B936" s="2"/>
      <c r="C936" s="3"/>
      <c r="D936" s="3"/>
    </row>
    <row r="937">
      <c r="A937" s="1"/>
      <c r="B937" s="2"/>
      <c r="C937" s="3"/>
      <c r="D937" s="3"/>
    </row>
    <row r="938">
      <c r="A938" s="1"/>
      <c r="B938" s="2"/>
      <c r="C938" s="3"/>
      <c r="D938" s="3"/>
    </row>
    <row r="939">
      <c r="A939" s="1"/>
      <c r="B939" s="2"/>
      <c r="C939" s="3"/>
      <c r="D939" s="3"/>
    </row>
    <row r="940">
      <c r="A940" s="1"/>
      <c r="B940" s="2"/>
      <c r="C940" s="3"/>
      <c r="D940" s="3"/>
    </row>
    <row r="941">
      <c r="A941" s="1"/>
      <c r="B941" s="2"/>
      <c r="C941" s="3"/>
      <c r="D941" s="3"/>
    </row>
    <row r="942">
      <c r="A942" s="1"/>
      <c r="B942" s="2"/>
      <c r="C942" s="3"/>
      <c r="D942" s="3"/>
    </row>
    <row r="943">
      <c r="A943" s="1"/>
      <c r="B943" s="2"/>
      <c r="C943" s="3"/>
      <c r="D943" s="3"/>
    </row>
    <row r="944">
      <c r="A944" s="1"/>
      <c r="B944" s="2"/>
      <c r="C944" s="3"/>
      <c r="D944" s="3"/>
    </row>
    <row r="945">
      <c r="A945" s="1"/>
      <c r="B945" s="2"/>
      <c r="C945" s="3"/>
      <c r="D945" s="3"/>
    </row>
    <row r="946">
      <c r="A946" s="1"/>
      <c r="B946" s="2"/>
      <c r="C946" s="3"/>
      <c r="D946" s="3"/>
    </row>
    <row r="947">
      <c r="A947" s="1"/>
      <c r="B947" s="2"/>
      <c r="C947" s="3"/>
      <c r="D947" s="3"/>
    </row>
    <row r="948">
      <c r="A948" s="1"/>
      <c r="B948" s="2"/>
      <c r="C948" s="3"/>
      <c r="D948" s="3"/>
    </row>
    <row r="949">
      <c r="A949" s="1"/>
      <c r="B949" s="2"/>
      <c r="C949" s="3"/>
      <c r="D949" s="3"/>
    </row>
    <row r="950">
      <c r="A950" s="1"/>
      <c r="B950" s="2"/>
      <c r="C950" s="3"/>
      <c r="D950" s="3"/>
    </row>
    <row r="951">
      <c r="A951" s="1"/>
      <c r="B951" s="2"/>
      <c r="C951" s="3"/>
      <c r="D951" s="3"/>
    </row>
    <row r="952">
      <c r="A952" s="1"/>
      <c r="B952" s="2"/>
      <c r="C952" s="3"/>
      <c r="D952" s="3"/>
    </row>
    <row r="953">
      <c r="A953" s="1"/>
      <c r="B953" s="2"/>
      <c r="C953" s="3"/>
      <c r="D953" s="3"/>
    </row>
    <row r="954">
      <c r="A954" s="1"/>
      <c r="B954" s="2"/>
      <c r="C954" s="3"/>
      <c r="D954" s="3"/>
    </row>
    <row r="955">
      <c r="A955" s="1"/>
      <c r="B955" s="2"/>
      <c r="C955" s="3"/>
      <c r="D955" s="3"/>
    </row>
    <row r="956">
      <c r="A956" s="1"/>
      <c r="B956" s="2"/>
      <c r="C956" s="3"/>
      <c r="D956" s="3"/>
    </row>
    <row r="957">
      <c r="A957" s="1"/>
      <c r="B957" s="2"/>
      <c r="C957" s="3"/>
      <c r="D957" s="3"/>
    </row>
    <row r="958">
      <c r="A958" s="1"/>
      <c r="B958" s="2"/>
      <c r="C958" s="3"/>
      <c r="D958" s="3"/>
    </row>
    <row r="959">
      <c r="A959" s="1"/>
      <c r="B959" s="2"/>
      <c r="C959" s="3"/>
      <c r="D959" s="3"/>
    </row>
    <row r="960">
      <c r="A960" s="1"/>
      <c r="B960" s="2"/>
      <c r="C960" s="3"/>
      <c r="D960" s="3"/>
    </row>
    <row r="961">
      <c r="A961" s="1"/>
      <c r="B961" s="2"/>
      <c r="C961" s="3"/>
      <c r="D961" s="3"/>
    </row>
    <row r="962">
      <c r="A962" s="1"/>
      <c r="B962" s="2"/>
      <c r="C962" s="3"/>
      <c r="D962" s="3"/>
    </row>
    <row r="963">
      <c r="A963" s="1"/>
      <c r="B963" s="2"/>
      <c r="C963" s="3"/>
      <c r="D963" s="3"/>
    </row>
    <row r="964">
      <c r="A964" s="1"/>
      <c r="B964" s="2"/>
      <c r="C964" s="3"/>
      <c r="D964" s="3"/>
    </row>
    <row r="965">
      <c r="A965" s="1"/>
      <c r="B965" s="2"/>
      <c r="C965" s="3"/>
      <c r="D965" s="3"/>
    </row>
    <row r="966">
      <c r="A966" s="1"/>
      <c r="B966" s="2"/>
      <c r="C966" s="3"/>
      <c r="D966" s="3"/>
    </row>
    <row r="967">
      <c r="A967" s="1"/>
      <c r="B967" s="2"/>
      <c r="C967" s="3"/>
      <c r="D967" s="3"/>
    </row>
    <row r="968">
      <c r="A968" s="1"/>
      <c r="B968" s="2"/>
      <c r="C968" s="3"/>
      <c r="D968" s="3"/>
    </row>
    <row r="969">
      <c r="A969" s="1"/>
      <c r="B969" s="2"/>
      <c r="C969" s="3"/>
      <c r="D969" s="3"/>
    </row>
    <row r="970">
      <c r="A970" s="1"/>
      <c r="B970" s="2"/>
      <c r="C970" s="3"/>
      <c r="D970" s="3"/>
    </row>
    <row r="971">
      <c r="A971" s="1"/>
      <c r="B971" s="2"/>
      <c r="C971" s="3"/>
      <c r="D971" s="3"/>
    </row>
    <row r="972">
      <c r="A972" s="1"/>
      <c r="B972" s="2"/>
      <c r="C972" s="3"/>
      <c r="D972" s="3"/>
    </row>
    <row r="973">
      <c r="A973" s="1"/>
      <c r="B973" s="2"/>
      <c r="C973" s="3"/>
      <c r="D973" s="3"/>
    </row>
    <row r="974">
      <c r="A974" s="1"/>
      <c r="B974" s="2"/>
      <c r="C974" s="3"/>
      <c r="D974" s="3"/>
    </row>
    <row r="975">
      <c r="A975" s="1"/>
      <c r="B975" s="2"/>
      <c r="C975" s="3"/>
      <c r="D975" s="3"/>
    </row>
    <row r="976">
      <c r="A976" s="1"/>
      <c r="B976" s="2"/>
      <c r="C976" s="3"/>
      <c r="D976" s="3"/>
    </row>
    <row r="977">
      <c r="A977" s="1"/>
      <c r="B977" s="2"/>
      <c r="C977" s="3"/>
      <c r="D977" s="3"/>
    </row>
    <row r="978">
      <c r="A978" s="1"/>
      <c r="B978" s="2"/>
      <c r="C978" s="3"/>
      <c r="D978" s="3"/>
    </row>
    <row r="979">
      <c r="A979" s="1"/>
      <c r="B979" s="2"/>
      <c r="C979" s="3"/>
      <c r="D979" s="3"/>
    </row>
    <row r="980">
      <c r="A980" s="1"/>
      <c r="B980" s="2"/>
      <c r="C980" s="3"/>
      <c r="D980" s="3"/>
    </row>
    <row r="981">
      <c r="A981" s="1"/>
      <c r="B981" s="2"/>
      <c r="C981" s="3"/>
      <c r="D981" s="3"/>
    </row>
    <row r="982">
      <c r="A982" s="1"/>
      <c r="B982" s="2"/>
      <c r="C982" s="3"/>
      <c r="D982" s="3"/>
    </row>
    <row r="983">
      <c r="A983" s="1"/>
      <c r="B983" s="2"/>
      <c r="C983" s="3"/>
      <c r="D983" s="3"/>
    </row>
    <row r="984">
      <c r="A984" s="1"/>
      <c r="B984" s="2"/>
      <c r="C984" s="3"/>
      <c r="D984" s="3"/>
    </row>
    <row r="985">
      <c r="A985" s="1"/>
      <c r="B985" s="2"/>
      <c r="C985" s="3"/>
      <c r="D985" s="3"/>
    </row>
    <row r="986">
      <c r="A986" s="1"/>
      <c r="B986" s="2"/>
      <c r="C986" s="3"/>
      <c r="D986" s="3"/>
    </row>
    <row r="987">
      <c r="A987" s="1"/>
      <c r="B987" s="2"/>
      <c r="C987" s="3"/>
      <c r="D987" s="3"/>
    </row>
    <row r="988">
      <c r="A988" s="1"/>
      <c r="B988" s="2"/>
      <c r="C988" s="3"/>
      <c r="D988" s="3"/>
    </row>
    <row r="989">
      <c r="A989" s="1"/>
      <c r="B989" s="2"/>
      <c r="C989" s="3"/>
      <c r="D989" s="3"/>
    </row>
    <row r="990">
      <c r="A990" s="1"/>
      <c r="B990" s="2"/>
      <c r="C990" s="3"/>
      <c r="D990" s="3"/>
    </row>
    <row r="991">
      <c r="A991" s="1"/>
      <c r="B991" s="2"/>
      <c r="C991" s="3"/>
      <c r="D991" s="3"/>
    </row>
    <row r="992">
      <c r="A992" s="1"/>
      <c r="B992" s="2"/>
      <c r="C992" s="3"/>
      <c r="D992" s="3"/>
    </row>
    <row r="993">
      <c r="A993" s="1"/>
      <c r="B993" s="2"/>
      <c r="C993" s="3"/>
      <c r="D993" s="3"/>
    </row>
    <row r="994">
      <c r="A994" s="1"/>
      <c r="B994" s="2"/>
      <c r="C994" s="3"/>
      <c r="D994" s="3"/>
    </row>
    <row r="995">
      <c r="A995" s="1"/>
      <c r="B995" s="2"/>
      <c r="C995" s="3"/>
      <c r="D995" s="3"/>
    </row>
    <row r="996">
      <c r="A996" s="1"/>
      <c r="B996" s="2"/>
      <c r="C996" s="3"/>
      <c r="D996" s="3"/>
    </row>
    <row r="997">
      <c r="A997" s="1"/>
      <c r="B997" s="2"/>
      <c r="C997" s="3"/>
      <c r="D997" s="3"/>
    </row>
    <row r="998">
      <c r="A998" s="1"/>
      <c r="B998" s="2"/>
      <c r="C998" s="3"/>
      <c r="D998" s="3"/>
    </row>
    <row r="999">
      <c r="A999" s="1"/>
      <c r="B999" s="2"/>
      <c r="C999" s="3"/>
      <c r="D999" s="3"/>
    </row>
    <row r="1000">
      <c r="A1000" s="1"/>
      <c r="B1000" s="2"/>
      <c r="C1000" s="3"/>
      <c r="D1000" s="3"/>
    </row>
    <row r="1001">
      <c r="A1001" s="1"/>
      <c r="B1001" s="2"/>
      <c r="C1001" s="3"/>
      <c r="D1001" s="3"/>
    </row>
    <row r="1002">
      <c r="A1002" s="1"/>
      <c r="B1002" s="2"/>
      <c r="C1002" s="3"/>
      <c r="D1002" s="3"/>
    </row>
  </sheetData>
  <mergeCells count="56">
    <mergeCell ref="I14:I16"/>
    <mergeCell ref="J14:J16"/>
    <mergeCell ref="I17:I19"/>
    <mergeCell ref="J17:J19"/>
    <mergeCell ref="K17:K19"/>
    <mergeCell ref="J20:J22"/>
    <mergeCell ref="K20:K22"/>
    <mergeCell ref="I20:I22"/>
    <mergeCell ref="I23:I25"/>
    <mergeCell ref="J23:J25"/>
    <mergeCell ref="K23:K25"/>
    <mergeCell ref="I26:I28"/>
    <mergeCell ref="J26:J28"/>
    <mergeCell ref="K26:K28"/>
    <mergeCell ref="A2:G2"/>
    <mergeCell ref="I2:O2"/>
    <mergeCell ref="B5:B7"/>
    <mergeCell ref="C5:C7"/>
    <mergeCell ref="I5:I7"/>
    <mergeCell ref="J5:J7"/>
    <mergeCell ref="K5:K7"/>
    <mergeCell ref="A5:A7"/>
    <mergeCell ref="A8:A10"/>
    <mergeCell ref="B8:B10"/>
    <mergeCell ref="C8:C10"/>
    <mergeCell ref="I8:I10"/>
    <mergeCell ref="J8:J10"/>
    <mergeCell ref="K8:K10"/>
    <mergeCell ref="A11:A13"/>
    <mergeCell ref="B11:B13"/>
    <mergeCell ref="C11:C13"/>
    <mergeCell ref="I11:I13"/>
    <mergeCell ref="J11:J13"/>
    <mergeCell ref="K11:K13"/>
    <mergeCell ref="A14:A16"/>
    <mergeCell ref="K14:K16"/>
    <mergeCell ref="B14:B16"/>
    <mergeCell ref="C14:C16"/>
    <mergeCell ref="A17:A19"/>
    <mergeCell ref="B17:B19"/>
    <mergeCell ref="C17:C19"/>
    <mergeCell ref="B20:B22"/>
    <mergeCell ref="C20:C22"/>
    <mergeCell ref="A29:A31"/>
    <mergeCell ref="B29:B31"/>
    <mergeCell ref="C29:C31"/>
    <mergeCell ref="A20:A22"/>
    <mergeCell ref="A23:A25"/>
    <mergeCell ref="B23:B25"/>
    <mergeCell ref="C23:C25"/>
    <mergeCell ref="A26:A28"/>
    <mergeCell ref="B26:B28"/>
    <mergeCell ref="C26:C28"/>
    <mergeCell ref="I29:I31"/>
    <mergeCell ref="J29:J31"/>
    <mergeCell ref="K29:K3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1.89"/>
    <col customWidth="1" min="3" max="4" width="9.11"/>
    <col customWidth="1" min="5" max="5" width="16.44"/>
    <col customWidth="1" min="6" max="6" width="11.33"/>
    <col customWidth="1" min="7" max="7" width="10.78"/>
    <col customWidth="1" min="8" max="8" width="15.44"/>
    <col customWidth="1" min="9" max="9" width="12.22"/>
    <col customWidth="1" min="10" max="10" width="14.44"/>
    <col customWidth="1" min="11" max="11" width="17.11"/>
    <col customWidth="1" min="12" max="12" width="13.22"/>
    <col customWidth="1" min="13" max="13" width="17.67"/>
    <col customWidth="1" min="14" max="26" width="8.56"/>
  </cols>
  <sheetData>
    <row r="1" ht="15.75" customHeight="1">
      <c r="A1" s="179" t="s">
        <v>101</v>
      </c>
    </row>
    <row r="2" ht="15.75" customHeight="1">
      <c r="A2" s="180" t="s">
        <v>64</v>
      </c>
      <c r="B2" s="318"/>
      <c r="E2" s="182"/>
      <c r="F2" s="182"/>
      <c r="G2" s="182"/>
      <c r="H2" s="182"/>
      <c r="I2" s="184"/>
      <c r="J2" s="184"/>
      <c r="K2" s="342" t="s">
        <v>65</v>
      </c>
    </row>
    <row r="3" ht="15.75" customHeight="1">
      <c r="A3" s="260" t="s">
        <v>2</v>
      </c>
      <c r="B3" s="319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197" t="s">
        <v>69</v>
      </c>
      <c r="J4" s="197" t="s">
        <v>70</v>
      </c>
      <c r="K4" s="197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'Yakin Pasifik Tuna'!B5</f>
        <v>45137</v>
      </c>
      <c r="C5" s="320">
        <f>SUM('Yakin Pasifik Tuna'!E5:G5)+'Yakin Pasifik Tuna'!K5</f>
        <v>5015</v>
      </c>
      <c r="D5" s="237">
        <f>'Yakin Pasifik Tuna'!V5</f>
        <v>16442.54944</v>
      </c>
      <c r="E5" s="239">
        <f t="shared" ref="E5:E8" si="2">D5*C5</f>
        <v>82459385.45</v>
      </c>
      <c r="F5" s="239"/>
      <c r="G5" s="239"/>
      <c r="H5" s="239"/>
      <c r="I5" s="245">
        <f t="shared" ref="I5:J5" si="1">C5</f>
        <v>5015</v>
      </c>
      <c r="J5" s="239">
        <f t="shared" si="1"/>
        <v>16442.54944</v>
      </c>
      <c r="K5" s="245">
        <f>I5*J5</f>
        <v>82459385.45</v>
      </c>
      <c r="L5" s="183"/>
      <c r="M5" s="207" t="str">
        <f>K6+#REF!</f>
        <v>#REF!</v>
      </c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'Yakin Pasifik Tuna'!B6</f>
        <v>45138</v>
      </c>
      <c r="C6" s="320">
        <f>SUM('Yakin Pasifik Tuna'!E6:G6)+'Yakin Pasifik Tuna'!K6</f>
        <v>9613</v>
      </c>
      <c r="D6" s="237">
        <f>'Yakin Pasifik Tuna'!V6</f>
        <v>16137.87264</v>
      </c>
      <c r="E6" s="239">
        <f t="shared" si="2"/>
        <v>155133369.7</v>
      </c>
      <c r="F6" s="239"/>
      <c r="G6" s="239"/>
      <c r="H6" s="239"/>
      <c r="I6" s="245">
        <f t="shared" ref="I6:I8" si="3">I5+C6</f>
        <v>14628</v>
      </c>
      <c r="J6" s="245">
        <f t="shared" ref="J6:J8" si="4">K6/I6</f>
        <v>16242.32671</v>
      </c>
      <c r="K6" s="245">
        <f t="shared" ref="K6:K8" si="5">K5+E6</f>
        <v>237592755.1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'Yakin Pasifik Tuna'!B7</f>
        <v>45139</v>
      </c>
      <c r="C7" s="320">
        <f>SUM('Yakin Pasifik Tuna'!E7:G7)+'Yakin Pasifik Tuna'!K7</f>
        <v>1784</v>
      </c>
      <c r="D7" s="237">
        <f>'Yakin Pasifik Tuna'!V7</f>
        <v>16444.96644</v>
      </c>
      <c r="E7" s="239">
        <f t="shared" si="2"/>
        <v>29337820.13</v>
      </c>
      <c r="F7" s="239"/>
      <c r="G7" s="239"/>
      <c r="H7" s="239"/>
      <c r="I7" s="245">
        <f t="shared" si="3"/>
        <v>16412</v>
      </c>
      <c r="J7" s="245">
        <f t="shared" si="4"/>
        <v>16264.35384</v>
      </c>
      <c r="K7" s="245">
        <f t="shared" si="5"/>
        <v>266930575.3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'Yakin Pasifik Tuna'!B8</f>
        <v>45149</v>
      </c>
      <c r="C8" s="320">
        <f>SUM('Yakin Pasifik Tuna'!E8:G8)+'Yakin Pasifik Tuna'!K8</f>
        <v>4803</v>
      </c>
      <c r="D8" s="237">
        <f>'Yakin Pasifik Tuna'!V8</f>
        <v>16325.95761</v>
      </c>
      <c r="E8" s="239">
        <f t="shared" si="2"/>
        <v>78413574.4</v>
      </c>
      <c r="F8" s="239"/>
      <c r="G8" s="239"/>
      <c r="H8" s="239"/>
      <c r="I8" s="245">
        <f t="shared" si="3"/>
        <v>21215</v>
      </c>
      <c r="J8" s="245">
        <f t="shared" si="4"/>
        <v>16278.30071</v>
      </c>
      <c r="K8" s="245">
        <f t="shared" si="5"/>
        <v>345344149.7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199">
        <v>5.0</v>
      </c>
      <c r="B9" s="209">
        <v>45154.0</v>
      </c>
      <c r="C9" s="321"/>
      <c r="D9" s="240"/>
      <c r="E9" s="240"/>
      <c r="F9" s="240">
        <v>19059.5</v>
      </c>
      <c r="G9" s="240">
        <f>J8</f>
        <v>16278.30071</v>
      </c>
      <c r="H9" s="240">
        <f>F9*G9</f>
        <v>310256272.5</v>
      </c>
      <c r="I9" s="242">
        <f>I8-F9</f>
        <v>2155.5</v>
      </c>
      <c r="J9" s="242">
        <f>J8</f>
        <v>16278.30071</v>
      </c>
      <c r="K9" s="242">
        <f>K8-H9</f>
        <v>35087877.19</v>
      </c>
      <c r="L9" s="322"/>
      <c r="M9" s="323">
        <v>2.477735E8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199">
        <v>6.0</v>
      </c>
      <c r="B10" s="200">
        <f>'Yakin Pasifik Tuna'!B9</f>
        <v>45165</v>
      </c>
      <c r="C10" s="320">
        <f>SUM('Yakin Pasifik Tuna'!E9:G9)+'Yakin Pasifik Tuna'!K9</f>
        <v>3462</v>
      </c>
      <c r="D10" s="239" t="str">
        <f>[3]Total!O10</f>
        <v>#ERROR!</v>
      </c>
      <c r="E10" s="239" t="str">
        <f t="shared" ref="E10:E11" si="6">D10*C10</f>
        <v>#ERROR!</v>
      </c>
      <c r="F10" s="239"/>
      <c r="G10" s="239"/>
      <c r="H10" s="239"/>
      <c r="I10" s="245">
        <f t="shared" ref="I10:I16" si="7">I9+C10</f>
        <v>5617.5</v>
      </c>
      <c r="J10" s="245" t="str">
        <f t="shared" ref="J10:J45" si="8">K10/I10</f>
        <v>#ERROR!</v>
      </c>
      <c r="K10" s="245" t="str">
        <f t="shared" ref="K10:K16" si="9">K9+E10</f>
        <v>#ERROR!</v>
      </c>
      <c r="L10" s="183"/>
      <c r="M10" s="182" t="str">
        <f>M9+'[3]Persediaan &amp; HPP Cakalang PP'!L8</f>
        <v>#REF!</v>
      </c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200">
        <f>'Yakin Pasifik Tuna'!B10</f>
        <v>45167</v>
      </c>
      <c r="C11" s="320">
        <f>SUM('Yakin Pasifik Tuna'!E10:G10)+'Yakin Pasifik Tuna'!K10</f>
        <v>495</v>
      </c>
      <c r="D11" s="239" t="str">
        <f>[3]Total!O11</f>
        <v>#ERROR!</v>
      </c>
      <c r="E11" s="239" t="str">
        <f t="shared" si="6"/>
        <v>#ERROR!</v>
      </c>
      <c r="F11" s="239"/>
      <c r="G11" s="239"/>
      <c r="H11" s="239"/>
      <c r="I11" s="245">
        <f t="shared" si="7"/>
        <v>6112.5</v>
      </c>
      <c r="J11" s="245" t="str">
        <f t="shared" si="8"/>
        <v>#ERROR!</v>
      </c>
      <c r="K11" s="245" t="str">
        <f t="shared" si="9"/>
        <v>#ERROR!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200">
        <f>'Yakin Pasifik Tuna'!B11</f>
        <v>45169</v>
      </c>
      <c r="C12" s="320">
        <f>SUM('Yakin Pasifik Tuna'!E11:G11)+'Yakin Pasifik Tuna'!K11</f>
        <v>1774</v>
      </c>
      <c r="D12" s="239" t="str">
        <f>[3]Total!O12</f>
        <v>#ERROR!</v>
      </c>
      <c r="E12" s="239" t="str">
        <f t="shared" ref="E12:E16" si="10">C12*D12</f>
        <v>#ERROR!</v>
      </c>
      <c r="F12" s="239"/>
      <c r="G12" s="239"/>
      <c r="H12" s="239"/>
      <c r="I12" s="245">
        <f t="shared" si="7"/>
        <v>7886.5</v>
      </c>
      <c r="J12" s="245" t="str">
        <f t="shared" si="8"/>
        <v>#ERROR!</v>
      </c>
      <c r="K12" s="245" t="str">
        <f t="shared" si="9"/>
        <v>#ERROR!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325">
        <f>'Yakin Pasifik Tuna'!B14</f>
        <v>45170</v>
      </c>
      <c r="C13" s="320">
        <f>SUM('Yakin Pasifik Tuna'!D14:G14)</f>
        <v>6597</v>
      </c>
      <c r="D13" s="237">
        <f>'Yakin Pasifik Tuna'!V14</f>
        <v>16522.8217</v>
      </c>
      <c r="E13" s="239">
        <f t="shared" si="10"/>
        <v>109001054.8</v>
      </c>
      <c r="F13" s="239"/>
      <c r="G13" s="239"/>
      <c r="H13" s="239"/>
      <c r="I13" s="245">
        <f t="shared" si="7"/>
        <v>14483.5</v>
      </c>
      <c r="J13" s="245" t="str">
        <f t="shared" si="8"/>
        <v>#ERROR!</v>
      </c>
      <c r="K13" s="245" t="str">
        <f t="shared" si="9"/>
        <v>#ERROR!</v>
      </c>
    </row>
    <row r="14" ht="15.75" customHeight="1">
      <c r="A14" s="199">
        <v>10.0</v>
      </c>
      <c r="B14" s="325">
        <f>'Yakin Pasifik Tuna'!B15</f>
        <v>45171</v>
      </c>
      <c r="C14" s="320">
        <f>SUM('Yakin Pasifik Tuna'!D15:G15)</f>
        <v>2467</v>
      </c>
      <c r="D14" s="237">
        <f>'Yakin Pasifik Tuna'!V15</f>
        <v>16442.8081</v>
      </c>
      <c r="E14" s="239">
        <f t="shared" si="10"/>
        <v>40564407.59</v>
      </c>
      <c r="F14" s="237"/>
      <c r="G14" s="237"/>
      <c r="H14" s="237"/>
      <c r="I14" s="245">
        <f t="shared" si="7"/>
        <v>16950.5</v>
      </c>
      <c r="J14" s="245" t="str">
        <f t="shared" si="8"/>
        <v>#ERROR!</v>
      </c>
      <c r="K14" s="245" t="str">
        <f t="shared" si="9"/>
        <v>#ERROR!</v>
      </c>
    </row>
    <row r="15" ht="15.75" customHeight="1">
      <c r="A15" s="199">
        <v>11.0</v>
      </c>
      <c r="B15" s="325">
        <f>'Yakin Pasifik Tuna'!B16</f>
        <v>45172</v>
      </c>
      <c r="C15" s="320">
        <f>SUM('Yakin Pasifik Tuna'!D16:G16)</f>
        <v>235</v>
      </c>
      <c r="D15" s="237">
        <f>'Yakin Pasifik Tuna'!V16</f>
        <v>16444.92754</v>
      </c>
      <c r="E15" s="239">
        <f t="shared" si="10"/>
        <v>3864557.971</v>
      </c>
      <c r="F15" s="237"/>
      <c r="G15" s="237"/>
      <c r="H15" s="237"/>
      <c r="I15" s="245">
        <f t="shared" si="7"/>
        <v>17185.5</v>
      </c>
      <c r="J15" s="245" t="str">
        <f t="shared" si="8"/>
        <v>#ERROR!</v>
      </c>
      <c r="K15" s="245" t="str">
        <f t="shared" si="9"/>
        <v>#ERROR!</v>
      </c>
    </row>
    <row r="16" ht="15.75" customHeight="1">
      <c r="A16" s="199">
        <v>12.0</v>
      </c>
      <c r="B16" s="325">
        <f>'Yakin Pasifik Tuna'!B17</f>
        <v>45173</v>
      </c>
      <c r="C16" s="320">
        <f>SUM('Yakin Pasifik Tuna'!D17:G17)</f>
        <v>3751</v>
      </c>
      <c r="D16" s="237">
        <f>'Yakin Pasifik Tuna'!V17</f>
        <v>16500.48663</v>
      </c>
      <c r="E16" s="239">
        <f t="shared" si="10"/>
        <v>61893325.34</v>
      </c>
      <c r="F16" s="237"/>
      <c r="G16" s="237"/>
      <c r="H16" s="237"/>
      <c r="I16" s="245">
        <f t="shared" si="7"/>
        <v>20936.5</v>
      </c>
      <c r="J16" s="245" t="str">
        <f t="shared" si="8"/>
        <v>#ERROR!</v>
      </c>
      <c r="K16" s="245" t="str">
        <f t="shared" si="9"/>
        <v>#ERROR!</v>
      </c>
    </row>
    <row r="17" ht="15.75" customHeight="1">
      <c r="A17" s="199">
        <v>13.0</v>
      </c>
      <c r="B17" s="326">
        <v>45178.0</v>
      </c>
      <c r="C17" s="228"/>
      <c r="D17" s="228"/>
      <c r="E17" s="248"/>
      <c r="F17" s="248">
        <v>16720.0</v>
      </c>
      <c r="G17" s="248" t="str">
        <f t="shared" ref="G17:G18" si="11">J16</f>
        <v>#ERROR!</v>
      </c>
      <c r="H17" s="240" t="str">
        <f t="shared" ref="H17:H18" si="12">F17*G17</f>
        <v>#ERROR!</v>
      </c>
      <c r="I17" s="242">
        <f t="shared" ref="I17:I18" si="13">I16-F17</f>
        <v>4216.5</v>
      </c>
      <c r="J17" s="248" t="str">
        <f t="shared" si="8"/>
        <v>#ERROR!</v>
      </c>
      <c r="K17" s="248" t="str">
        <f t="shared" ref="K17:K18" si="14">K16-H17</f>
        <v>#ERROR!</v>
      </c>
      <c r="L17" s="220" t="str">
        <f>H17+'Persediaan &amp; HPP Ca PP YPT '!H17</f>
        <v>#ERROR!</v>
      </c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ht="15.75" customHeight="1">
      <c r="A18" s="199">
        <v>14.0</v>
      </c>
      <c r="B18" s="326">
        <v>45191.0</v>
      </c>
      <c r="C18" s="228"/>
      <c r="D18" s="228"/>
      <c r="E18" s="248"/>
      <c r="F18" s="248">
        <v>3775.8</v>
      </c>
      <c r="G18" s="248" t="str">
        <f t="shared" si="11"/>
        <v>#ERROR!</v>
      </c>
      <c r="H18" s="240" t="str">
        <f t="shared" si="12"/>
        <v>#ERROR!</v>
      </c>
      <c r="I18" s="242">
        <f t="shared" si="13"/>
        <v>440.7</v>
      </c>
      <c r="J18" s="248" t="str">
        <f t="shared" si="8"/>
        <v>#ERROR!</v>
      </c>
      <c r="K18" s="248" t="str">
        <f t="shared" si="14"/>
        <v>#ERROR!</v>
      </c>
      <c r="L18" s="220" t="str">
        <f>H18+'Persediaan &amp; HPP Ca PP YPT '!H18</f>
        <v>#ERROR!</v>
      </c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199">
        <v>15.0</v>
      </c>
      <c r="B19" s="325">
        <f>'Yakin Pasifik Tuna'!B18</f>
        <v>45195</v>
      </c>
      <c r="C19" s="237">
        <f>SUM('Yakin Pasifik Tuna'!D18:G18)</f>
        <v>818</v>
      </c>
      <c r="D19" s="237">
        <f>'Yakin Pasifik Tuna'!V18</f>
        <v>16442.71357</v>
      </c>
      <c r="E19" s="237">
        <f t="shared" ref="E19:E30" si="15">C19*D19</f>
        <v>13450139.7</v>
      </c>
      <c r="F19" s="237"/>
      <c r="G19" s="237"/>
      <c r="H19" s="237"/>
      <c r="I19" s="335">
        <f t="shared" ref="I19:I30" si="16">I18+C19</f>
        <v>1258.7</v>
      </c>
      <c r="J19" s="237" t="str">
        <f t="shared" si="8"/>
        <v>#ERROR!</v>
      </c>
      <c r="K19" s="237" t="str">
        <f t="shared" ref="K19:K30" si="17">K18+E19</f>
        <v>#ERROR!</v>
      </c>
    </row>
    <row r="20" ht="15.75" customHeight="1">
      <c r="A20" s="199">
        <v>16.0</v>
      </c>
      <c r="B20" s="325">
        <f>'Yakin Pasifik Tuna'!B19</f>
        <v>45197</v>
      </c>
      <c r="C20" s="237">
        <f>SUM('Yakin Pasifik Tuna'!D19:G19)</f>
        <v>1309</v>
      </c>
      <c r="D20" s="237">
        <f>'Yakin Pasifik Tuna'!V19</f>
        <v>16442.11886</v>
      </c>
      <c r="E20" s="237">
        <f t="shared" si="15"/>
        <v>21522733.59</v>
      </c>
      <c r="F20" s="237"/>
      <c r="G20" s="237"/>
      <c r="H20" s="237"/>
      <c r="I20" s="335">
        <f t="shared" si="16"/>
        <v>2567.7</v>
      </c>
      <c r="J20" s="237" t="str">
        <f t="shared" si="8"/>
        <v>#ERROR!</v>
      </c>
      <c r="K20" s="237" t="str">
        <f t="shared" si="17"/>
        <v>#ERROR!</v>
      </c>
    </row>
    <row r="21" ht="15.75" customHeight="1">
      <c r="A21" s="199">
        <v>17.0</v>
      </c>
      <c r="B21" s="325">
        <f>'Yakin Pasifik Tuna'!B20</f>
        <v>45199</v>
      </c>
      <c r="C21" s="237">
        <f>SUM('Yakin Pasifik Tuna'!D20:G20)</f>
        <v>2250</v>
      </c>
      <c r="D21" s="237">
        <f>'Yakin Pasifik Tuna'!V20</f>
        <v>16443.16305</v>
      </c>
      <c r="E21" s="237">
        <f t="shared" si="15"/>
        <v>36997116.86</v>
      </c>
      <c r="F21" s="237"/>
      <c r="G21" s="237"/>
      <c r="H21" s="237"/>
      <c r="I21" s="335">
        <f t="shared" si="16"/>
        <v>4817.7</v>
      </c>
      <c r="J21" s="237" t="str">
        <f t="shared" si="8"/>
        <v>#ERROR!</v>
      </c>
      <c r="K21" s="237" t="str">
        <f t="shared" si="17"/>
        <v>#ERROR!</v>
      </c>
      <c r="L21" s="124" t="str">
        <f>SUM(H17:H18)</f>
        <v>#ERROR!</v>
      </c>
    </row>
    <row r="22" ht="15.75" customHeight="1">
      <c r="A22" s="199">
        <v>18.0</v>
      </c>
      <c r="B22" s="126">
        <v>45200.0</v>
      </c>
      <c r="C22" s="237">
        <f>SUM('Yakin Pasifik Tuna'!D23:G23)</f>
        <v>855</v>
      </c>
      <c r="D22" s="237">
        <f>'Yakin Pasifik Tuna'!V23</f>
        <v>16441.53328</v>
      </c>
      <c r="E22" s="237">
        <f t="shared" si="15"/>
        <v>14057510.95</v>
      </c>
      <c r="F22" s="237"/>
      <c r="G22" s="237"/>
      <c r="H22" s="237"/>
      <c r="I22" s="335">
        <f t="shared" si="16"/>
        <v>5672.7</v>
      </c>
      <c r="J22" s="237" t="str">
        <f t="shared" si="8"/>
        <v>#ERROR!</v>
      </c>
      <c r="K22" s="237" t="str">
        <f t="shared" si="17"/>
        <v>#ERROR!</v>
      </c>
    </row>
    <row r="23" ht="15.75" customHeight="1">
      <c r="A23" s="199">
        <v>19.0</v>
      </c>
      <c r="B23" s="126">
        <v>45202.0</v>
      </c>
      <c r="C23" s="237">
        <f>SUM('Yakin Pasifik Tuna'!D24:G24)</f>
        <v>4470</v>
      </c>
      <c r="D23" s="237">
        <f>'Yakin Pasifik Tuna'!V24</f>
        <v>16442.18972</v>
      </c>
      <c r="E23" s="237">
        <f t="shared" si="15"/>
        <v>73496588.06</v>
      </c>
      <c r="F23" s="237"/>
      <c r="G23" s="237"/>
      <c r="H23" s="237"/>
      <c r="I23" s="335">
        <f t="shared" si="16"/>
        <v>10142.7</v>
      </c>
      <c r="J23" s="237" t="str">
        <f t="shared" si="8"/>
        <v>#ERROR!</v>
      </c>
      <c r="K23" s="237" t="str">
        <f t="shared" si="17"/>
        <v>#ERROR!</v>
      </c>
    </row>
    <row r="24" ht="15.75" customHeight="1">
      <c r="A24" s="199">
        <v>20.0</v>
      </c>
      <c r="B24" s="126">
        <v>45203.0</v>
      </c>
      <c r="C24" s="237">
        <f>SUM('Yakin Pasifik Tuna'!D25:G25)</f>
        <v>2975</v>
      </c>
      <c r="D24" s="237">
        <f>'Yakin Pasifik Tuna'!V25</f>
        <v>16444.45828</v>
      </c>
      <c r="E24" s="237">
        <f t="shared" si="15"/>
        <v>48922263.39</v>
      </c>
      <c r="F24" s="237"/>
      <c r="G24" s="237"/>
      <c r="H24" s="237"/>
      <c r="I24" s="335">
        <f t="shared" si="16"/>
        <v>13117.7</v>
      </c>
      <c r="J24" s="237" t="str">
        <f t="shared" si="8"/>
        <v>#ERROR!</v>
      </c>
      <c r="K24" s="237" t="str">
        <f t="shared" si="17"/>
        <v>#ERROR!</v>
      </c>
    </row>
    <row r="25" ht="15.75" customHeight="1">
      <c r="A25" s="199">
        <v>21.0</v>
      </c>
      <c r="B25" s="126">
        <v>45204.0</v>
      </c>
      <c r="C25" s="237">
        <f>SUM('Yakin Pasifik Tuna'!D26:G26)</f>
        <v>419</v>
      </c>
      <c r="D25" s="237">
        <f>'Yakin Pasifik Tuna'!V26</f>
        <v>16446.66667</v>
      </c>
      <c r="E25" s="237">
        <f t="shared" si="15"/>
        <v>6891153.333</v>
      </c>
      <c r="F25" s="237"/>
      <c r="G25" s="237"/>
      <c r="H25" s="237"/>
      <c r="I25" s="335">
        <f t="shared" si="16"/>
        <v>13536.7</v>
      </c>
      <c r="J25" s="237" t="str">
        <f t="shared" si="8"/>
        <v>#ERROR!</v>
      </c>
      <c r="K25" s="237" t="str">
        <f t="shared" si="17"/>
        <v>#ERROR!</v>
      </c>
    </row>
    <row r="26" ht="15.75" customHeight="1">
      <c r="A26" s="199">
        <v>22.0</v>
      </c>
      <c r="B26" s="126">
        <v>45207.0</v>
      </c>
      <c r="C26" s="237">
        <f>SUM('Yakin Pasifik Tuna'!D27:G27)</f>
        <v>4315</v>
      </c>
      <c r="D26" s="237">
        <f>'Yakin Pasifik Tuna'!V27</f>
        <v>16294.68513</v>
      </c>
      <c r="E26" s="237">
        <f t="shared" si="15"/>
        <v>70311566.36</v>
      </c>
      <c r="F26" s="237"/>
      <c r="G26" s="237"/>
      <c r="H26" s="237"/>
      <c r="I26" s="335">
        <f t="shared" si="16"/>
        <v>17851.7</v>
      </c>
      <c r="J26" s="237" t="str">
        <f t="shared" si="8"/>
        <v>#ERROR!</v>
      </c>
      <c r="K26" s="237" t="str">
        <f t="shared" si="17"/>
        <v>#ERROR!</v>
      </c>
    </row>
    <row r="27" ht="15.75" customHeight="1">
      <c r="A27" s="199">
        <v>23.0</v>
      </c>
      <c r="B27" s="126">
        <v>45208.0</v>
      </c>
      <c r="C27" s="237">
        <f>SUM('Yakin Pasifik Tuna'!D28:G28)</f>
        <v>4502</v>
      </c>
      <c r="D27" s="237">
        <f>'Yakin Pasifik Tuna'!V28</f>
        <v>16285.4025</v>
      </c>
      <c r="E27" s="237">
        <f t="shared" si="15"/>
        <v>73316882.04</v>
      </c>
      <c r="F27" s="237"/>
      <c r="G27" s="237"/>
      <c r="H27" s="237"/>
      <c r="I27" s="335">
        <f t="shared" si="16"/>
        <v>22353.7</v>
      </c>
      <c r="J27" s="237" t="str">
        <f t="shared" si="8"/>
        <v>#ERROR!</v>
      </c>
      <c r="K27" s="237" t="str">
        <f t="shared" si="17"/>
        <v>#ERROR!</v>
      </c>
    </row>
    <row r="28" ht="15.75" customHeight="1">
      <c r="A28" s="199">
        <v>24.0</v>
      </c>
      <c r="B28" s="126">
        <v>45209.0</v>
      </c>
      <c r="C28" s="237">
        <f>SUM('Yakin Pasifik Tuna'!D29:G29)</f>
        <v>5257</v>
      </c>
      <c r="D28" s="237">
        <f>'Yakin Pasifik Tuna'!V29</f>
        <v>16281.14937</v>
      </c>
      <c r="E28" s="237">
        <f t="shared" si="15"/>
        <v>85590002.25</v>
      </c>
      <c r="F28" s="237"/>
      <c r="G28" s="237"/>
      <c r="H28" s="237"/>
      <c r="I28" s="335">
        <f t="shared" si="16"/>
        <v>27610.7</v>
      </c>
      <c r="J28" s="237" t="str">
        <f t="shared" si="8"/>
        <v>#ERROR!</v>
      </c>
      <c r="K28" s="237" t="str">
        <f t="shared" si="17"/>
        <v>#ERROR!</v>
      </c>
    </row>
    <row r="29" ht="15.75" customHeight="1">
      <c r="A29" s="199">
        <v>25.0</v>
      </c>
      <c r="B29" s="126">
        <v>45210.0</v>
      </c>
      <c r="C29" s="237">
        <f>SUM('Yakin Pasifik Tuna'!D30:G30)</f>
        <v>5804</v>
      </c>
      <c r="D29" s="237">
        <f>'Yakin Pasifik Tuna'!V30</f>
        <v>16279.43689</v>
      </c>
      <c r="E29" s="237">
        <f t="shared" si="15"/>
        <v>94485851.73</v>
      </c>
      <c r="F29" s="237"/>
      <c r="G29" s="237"/>
      <c r="H29" s="237"/>
      <c r="I29" s="335">
        <f t="shared" si="16"/>
        <v>33414.7</v>
      </c>
      <c r="J29" s="237" t="str">
        <f t="shared" si="8"/>
        <v>#ERROR!</v>
      </c>
      <c r="K29" s="237" t="str">
        <f t="shared" si="17"/>
        <v>#ERROR!</v>
      </c>
    </row>
    <row r="30" ht="15.75" customHeight="1">
      <c r="A30" s="199">
        <v>26.0</v>
      </c>
      <c r="B30" s="126">
        <v>45211.0</v>
      </c>
      <c r="C30" s="237">
        <f>SUM('Yakin Pasifik Tuna'!D31:G31)</f>
        <v>5390</v>
      </c>
      <c r="D30" s="237">
        <f>'Yakin Pasifik Tuna'!V31</f>
        <v>15780.79796</v>
      </c>
      <c r="E30" s="237">
        <f t="shared" si="15"/>
        <v>85058500.99</v>
      </c>
      <c r="F30" s="237"/>
      <c r="G30" s="237"/>
      <c r="H30" s="237"/>
      <c r="I30" s="335">
        <f t="shared" si="16"/>
        <v>38804.7</v>
      </c>
      <c r="J30" s="237" t="str">
        <f t="shared" si="8"/>
        <v>#ERROR!</v>
      </c>
      <c r="K30" s="237" t="str">
        <f t="shared" si="17"/>
        <v>#ERROR!</v>
      </c>
    </row>
    <row r="31" ht="15.75" customHeight="1">
      <c r="A31" s="199">
        <v>27.0</v>
      </c>
      <c r="B31" s="329">
        <v>45212.0</v>
      </c>
      <c r="C31" s="228"/>
      <c r="D31" s="228"/>
      <c r="E31" s="248"/>
      <c r="F31" s="248">
        <v>9550.0</v>
      </c>
      <c r="G31" s="248" t="str">
        <f>J30</f>
        <v>#ERROR!</v>
      </c>
      <c r="H31" s="248" t="str">
        <f>F31*G31</f>
        <v>#ERROR!</v>
      </c>
      <c r="I31" s="242">
        <f>I30-F31</f>
        <v>29254.7</v>
      </c>
      <c r="J31" s="248" t="str">
        <f t="shared" si="8"/>
        <v>#ERROR!</v>
      </c>
      <c r="K31" s="248" t="str">
        <f>K30-H31</f>
        <v>#ERROR!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ht="15.75" customHeight="1">
      <c r="A32" s="199">
        <v>28.0</v>
      </c>
      <c r="B32" s="143">
        <v>45212.0</v>
      </c>
      <c r="C32" s="237">
        <f>SUM('Yakin Pasifik Tuna'!D32:G32)</f>
        <v>5479</v>
      </c>
      <c r="D32" s="237">
        <f>'Yakin Pasifik Tuna'!V32</f>
        <v>15784.48487</v>
      </c>
      <c r="E32" s="237">
        <f t="shared" ref="E32:E42" si="18">C32*D32</f>
        <v>86483192.63</v>
      </c>
      <c r="F32" s="237"/>
      <c r="G32" s="237"/>
      <c r="H32" s="237"/>
      <c r="I32" s="335">
        <f t="shared" ref="I32:I35" si="19">I31+C32</f>
        <v>34733.7</v>
      </c>
      <c r="J32" s="237" t="str">
        <f t="shared" si="8"/>
        <v>#ERROR!</v>
      </c>
      <c r="K32" s="237" t="str">
        <f t="shared" ref="K32:K35" si="20">K31+E32</f>
        <v>#ERROR!</v>
      </c>
    </row>
    <row r="33" ht="15.75" customHeight="1">
      <c r="A33" s="199">
        <v>29.0</v>
      </c>
      <c r="B33" s="126">
        <v>45213.0</v>
      </c>
      <c r="C33" s="237">
        <f>SUM('Yakin Pasifik Tuna'!D33:G33)</f>
        <v>4007</v>
      </c>
      <c r="D33" s="237">
        <f>'Yakin Pasifik Tuna'!V33</f>
        <v>15780.38985</v>
      </c>
      <c r="E33" s="237">
        <f t="shared" si="18"/>
        <v>63232022.15</v>
      </c>
      <c r="F33" s="237"/>
      <c r="G33" s="237"/>
      <c r="H33" s="237"/>
      <c r="I33" s="335">
        <f t="shared" si="19"/>
        <v>38740.7</v>
      </c>
      <c r="J33" s="237" t="str">
        <f t="shared" si="8"/>
        <v>#ERROR!</v>
      </c>
      <c r="K33" s="237" t="str">
        <f t="shared" si="20"/>
        <v>#ERROR!</v>
      </c>
    </row>
    <row r="34" ht="15.75" customHeight="1">
      <c r="A34" s="199">
        <v>30.0</v>
      </c>
      <c r="B34" s="126">
        <v>45216.0</v>
      </c>
      <c r="C34" s="237">
        <f>SUM('Yakin Pasifik Tuna'!D34:G34)</f>
        <v>2773</v>
      </c>
      <c r="D34" s="237">
        <f>'Yakin Pasifik Tuna'!V34</f>
        <v>15783.38575</v>
      </c>
      <c r="E34" s="237">
        <f t="shared" si="18"/>
        <v>43767328.68</v>
      </c>
      <c r="F34" s="237"/>
      <c r="G34" s="237"/>
      <c r="H34" s="237"/>
      <c r="I34" s="335">
        <f t="shared" si="19"/>
        <v>41513.7</v>
      </c>
      <c r="J34" s="237" t="str">
        <f t="shared" si="8"/>
        <v>#ERROR!</v>
      </c>
      <c r="K34" s="237" t="str">
        <f t="shared" si="20"/>
        <v>#ERROR!</v>
      </c>
    </row>
    <row r="35" ht="15.75" customHeight="1">
      <c r="A35" s="199">
        <v>31.0</v>
      </c>
      <c r="B35" s="126">
        <v>45217.0</v>
      </c>
      <c r="C35" s="237">
        <f>SUM('Yakin Pasifik Tuna'!D35:G35)</f>
        <v>1981</v>
      </c>
      <c r="D35" s="237">
        <f>'Yakin Pasifik Tuna'!V35</f>
        <v>15789.93315</v>
      </c>
      <c r="E35" s="237">
        <f t="shared" si="18"/>
        <v>31279857.57</v>
      </c>
      <c r="F35" s="237"/>
      <c r="G35" s="237"/>
      <c r="H35" s="237"/>
      <c r="I35" s="335">
        <f t="shared" si="19"/>
        <v>43494.7</v>
      </c>
      <c r="J35" s="237" t="str">
        <f t="shared" si="8"/>
        <v>#ERROR!</v>
      </c>
      <c r="K35" s="237" t="str">
        <f t="shared" si="20"/>
        <v>#ERROR!</v>
      </c>
    </row>
    <row r="36" ht="15.75" customHeight="1">
      <c r="A36" s="199">
        <v>32.0</v>
      </c>
      <c r="B36" s="329">
        <v>45219.0</v>
      </c>
      <c r="C36" s="228"/>
      <c r="D36" s="228"/>
      <c r="E36" s="248">
        <f t="shared" si="18"/>
        <v>0</v>
      </c>
      <c r="F36" s="248">
        <v>17430.0</v>
      </c>
      <c r="G36" s="248" t="str">
        <f>J35</f>
        <v>#ERROR!</v>
      </c>
      <c r="H36" s="248" t="str">
        <f t="shared" ref="H36:H38" si="21">F36*G36</f>
        <v>#ERROR!</v>
      </c>
      <c r="I36" s="242">
        <f>I35-F36</f>
        <v>26064.7</v>
      </c>
      <c r="J36" s="248" t="str">
        <f t="shared" si="8"/>
        <v>#ERROR!</v>
      </c>
      <c r="K36" s="248" t="str">
        <f>K35-H36</f>
        <v>#ERROR!</v>
      </c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199">
        <v>33.0</v>
      </c>
      <c r="B37" s="126">
        <v>45220.0</v>
      </c>
      <c r="C37" s="237">
        <f>SUM('Yakin Pasifik Tuna'!D36:G36)</f>
        <v>3258</v>
      </c>
      <c r="D37" s="237">
        <f>'Yakin Pasifik Tuna'!V36</f>
        <v>16290.53207</v>
      </c>
      <c r="E37" s="237">
        <f t="shared" si="18"/>
        <v>53074553.47</v>
      </c>
      <c r="F37" s="237"/>
      <c r="G37" s="237"/>
      <c r="H37" s="330">
        <f t="shared" si="21"/>
        <v>0</v>
      </c>
      <c r="I37" s="335">
        <f>I36+C37</f>
        <v>29322.7</v>
      </c>
      <c r="J37" s="237" t="str">
        <f t="shared" si="8"/>
        <v>#ERROR!</v>
      </c>
      <c r="K37" s="237" t="str">
        <f>K36+E37</f>
        <v>#ERROR!</v>
      </c>
    </row>
    <row r="38" ht="15.75" customHeight="1">
      <c r="A38" s="199">
        <v>34.0</v>
      </c>
      <c r="B38" s="329">
        <v>45221.0</v>
      </c>
      <c r="C38" s="228"/>
      <c r="D38" s="228"/>
      <c r="E38" s="248">
        <f t="shared" si="18"/>
        <v>0</v>
      </c>
      <c r="F38" s="248">
        <v>8800.0</v>
      </c>
      <c r="G38" s="248" t="str">
        <f>J37</f>
        <v>#ERROR!</v>
      </c>
      <c r="H38" s="248" t="str">
        <f t="shared" si="21"/>
        <v>#ERROR!</v>
      </c>
      <c r="I38" s="242">
        <f>I37-F38</f>
        <v>20522.7</v>
      </c>
      <c r="J38" s="248" t="str">
        <f t="shared" si="8"/>
        <v>#ERROR!</v>
      </c>
      <c r="K38" s="248" t="str">
        <f>K37-H38</f>
        <v>#ERROR!</v>
      </c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ht="15.75" customHeight="1">
      <c r="A39" s="199">
        <v>35.0</v>
      </c>
      <c r="B39" s="126">
        <v>45223.0</v>
      </c>
      <c r="C39" s="237">
        <f>SUM('Yakin Pasifik Tuna'!D37:G37)</f>
        <v>9376</v>
      </c>
      <c r="D39" s="237">
        <f>'Yakin Pasifik Tuna'!V37</f>
        <v>16085.48627</v>
      </c>
      <c r="E39" s="237">
        <f t="shared" si="18"/>
        <v>150817519.3</v>
      </c>
      <c r="F39" s="237"/>
      <c r="G39" s="237"/>
      <c r="H39" s="237"/>
      <c r="I39" s="335">
        <f t="shared" ref="I39:I42" si="22">I38+C39</f>
        <v>29898.7</v>
      </c>
      <c r="J39" s="330" t="str">
        <f t="shared" si="8"/>
        <v>#ERROR!</v>
      </c>
      <c r="K39" s="237" t="str">
        <f t="shared" ref="K39:K42" si="23">K38+E39</f>
        <v>#ERROR!</v>
      </c>
    </row>
    <row r="40" ht="15.75" customHeight="1">
      <c r="A40" s="199">
        <v>36.0</v>
      </c>
      <c r="B40" s="126">
        <v>45225.0</v>
      </c>
      <c r="C40" s="237">
        <f>SUM('Yakin Pasifik Tuna'!D38:G38)</f>
        <v>2538</v>
      </c>
      <c r="D40" s="237">
        <f>'Yakin Pasifik Tuna'!V38</f>
        <v>16154.04232</v>
      </c>
      <c r="E40" s="237">
        <f t="shared" si="18"/>
        <v>40998959.41</v>
      </c>
      <c r="F40" s="237"/>
      <c r="G40" s="237"/>
      <c r="H40" s="237"/>
      <c r="I40" s="335">
        <f t="shared" si="22"/>
        <v>32436.7</v>
      </c>
      <c r="J40" s="330" t="str">
        <f t="shared" si="8"/>
        <v>#ERROR!</v>
      </c>
      <c r="K40" s="237" t="str">
        <f t="shared" si="23"/>
        <v>#ERROR!</v>
      </c>
    </row>
    <row r="41" ht="15.75" customHeight="1">
      <c r="A41" s="199">
        <v>37.0</v>
      </c>
      <c r="B41" s="126">
        <v>45227.0</v>
      </c>
      <c r="C41" s="237">
        <f>SUM('Yakin Pasifik Tuna'!D39:G39)</f>
        <v>2567</v>
      </c>
      <c r="D41" s="237">
        <f>'Yakin Pasifik Tuna'!V39</f>
        <v>15994.53787</v>
      </c>
      <c r="E41" s="237">
        <f t="shared" si="18"/>
        <v>41057978.72</v>
      </c>
      <c r="F41" s="237"/>
      <c r="G41" s="237"/>
      <c r="H41" s="237"/>
      <c r="I41" s="335">
        <f t="shared" si="22"/>
        <v>35003.7</v>
      </c>
      <c r="J41" s="330" t="str">
        <f t="shared" si="8"/>
        <v>#ERROR!</v>
      </c>
      <c r="K41" s="237" t="str">
        <f t="shared" si="23"/>
        <v>#ERROR!</v>
      </c>
    </row>
    <row r="42" ht="15.75" customHeight="1">
      <c r="A42" s="199">
        <v>38.0</v>
      </c>
      <c r="B42" s="126">
        <v>45228.0</v>
      </c>
      <c r="C42" s="237">
        <f>SUM('Yakin Pasifik Tuna'!D40:G40)</f>
        <v>5455</v>
      </c>
      <c r="D42" s="237">
        <f>'Yakin Pasifik Tuna'!V40</f>
        <v>15278.68352</v>
      </c>
      <c r="E42" s="237">
        <f t="shared" si="18"/>
        <v>83345218.61</v>
      </c>
      <c r="F42" s="237"/>
      <c r="G42" s="237"/>
      <c r="H42" s="237"/>
      <c r="I42" s="335">
        <f t="shared" si="22"/>
        <v>40458.7</v>
      </c>
      <c r="J42" s="330" t="str">
        <f t="shared" si="8"/>
        <v>#ERROR!</v>
      </c>
      <c r="K42" s="237" t="str">
        <f t="shared" si="23"/>
        <v>#ERROR!</v>
      </c>
    </row>
    <row r="43" ht="15.75" customHeight="1">
      <c r="A43" s="208">
        <v>39.0</v>
      </c>
      <c r="B43" s="332">
        <v>45254.0</v>
      </c>
      <c r="C43" s="228"/>
      <c r="D43" s="228"/>
      <c r="E43" s="248"/>
      <c r="F43" s="248">
        <v>18990.0</v>
      </c>
      <c r="G43" s="248" t="str">
        <f>J42</f>
        <v>#ERROR!</v>
      </c>
      <c r="H43" s="248" t="str">
        <f>F43*G43</f>
        <v>#ERROR!</v>
      </c>
      <c r="I43" s="242">
        <f>I42-F43</f>
        <v>21468.7</v>
      </c>
      <c r="J43" s="248" t="str">
        <f t="shared" si="8"/>
        <v>#ERROR!</v>
      </c>
      <c r="K43" s="248" t="str">
        <f>K42-H43</f>
        <v>#ERROR!</v>
      </c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199">
        <v>40.0</v>
      </c>
      <c r="B44" s="333">
        <f>'Yakin Pasifik Tuna'!B43</f>
        <v>45259</v>
      </c>
      <c r="C44" s="237">
        <f>SUM('Yakin Pasifik Tuna'!D43:G43)</f>
        <v>1214</v>
      </c>
      <c r="D44" s="237">
        <f>'Yakin Pasifik Tuna'!V43</f>
        <v>14788.35115</v>
      </c>
      <c r="E44" s="237">
        <f t="shared" ref="E44:E45" si="24">C44*D44</f>
        <v>17953058.29</v>
      </c>
      <c r="F44" s="237"/>
      <c r="G44" s="237"/>
      <c r="H44" s="237"/>
      <c r="I44" s="335">
        <f t="shared" ref="I44:I45" si="25">I43+C44</f>
        <v>22682.7</v>
      </c>
      <c r="J44" s="237" t="str">
        <f t="shared" si="8"/>
        <v>#ERROR!</v>
      </c>
      <c r="K44" s="237" t="str">
        <f t="shared" ref="K44:K45" si="26">K43+E44</f>
        <v>#ERROR!</v>
      </c>
    </row>
    <row r="45" ht="15.75" customHeight="1">
      <c r="A45" s="199">
        <v>41.0</v>
      </c>
      <c r="B45" s="333">
        <f>'Yakin Pasifik Tuna'!B44</f>
        <v>45260</v>
      </c>
      <c r="C45" s="237">
        <f>SUM('Yakin Pasifik Tuna'!D44:G44)</f>
        <v>1887</v>
      </c>
      <c r="D45" s="237">
        <f>'Yakin Pasifik Tuna'!V44</f>
        <v>15291.77283</v>
      </c>
      <c r="E45" s="237">
        <f t="shared" si="24"/>
        <v>28855575.34</v>
      </c>
      <c r="F45" s="237"/>
      <c r="G45" s="237"/>
      <c r="H45" s="237"/>
      <c r="I45" s="335">
        <f t="shared" si="25"/>
        <v>24569.7</v>
      </c>
      <c r="J45" s="237" t="str">
        <f t="shared" si="8"/>
        <v>#ERROR!</v>
      </c>
      <c r="K45" s="237" t="str">
        <f t="shared" si="26"/>
        <v>#ERROR!</v>
      </c>
    </row>
    <row r="46" ht="15.75" customHeight="1">
      <c r="A46" s="337"/>
      <c r="B46" s="336"/>
      <c r="C46" s="337"/>
      <c r="D46" s="337"/>
      <c r="E46" s="338"/>
      <c r="F46" s="338"/>
      <c r="G46" s="338"/>
      <c r="H46" s="338"/>
      <c r="I46" s="338">
        <f>180+4960+366</f>
        <v>5506</v>
      </c>
      <c r="J46" s="338" t="str">
        <f>J45</f>
        <v>#ERROR!</v>
      </c>
      <c r="K46" s="338" t="str">
        <f>I46*J46</f>
        <v>#ERROR!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ht="15.75" customHeight="1">
      <c r="A47" s="166">
        <v>42.0</v>
      </c>
      <c r="B47" s="333">
        <f>'Yakin Pasifik Tuna'!B51</f>
        <v>45269</v>
      </c>
      <c r="C47" s="237">
        <f>'Yakin Pasifik Tuna'!G51</f>
        <v>466.6</v>
      </c>
      <c r="D47" s="237">
        <f>'Yakin Pasifik Tuna'!W51</f>
        <v>7784.909091</v>
      </c>
      <c r="E47" s="237">
        <f t="shared" ref="E47:E52" si="27">C47*D47</f>
        <v>3632438.582</v>
      </c>
      <c r="F47" s="237"/>
      <c r="G47" s="237"/>
      <c r="H47" s="237"/>
      <c r="I47" s="237">
        <f t="shared" ref="I47:I52" si="28">I46+C47</f>
        <v>5972.6</v>
      </c>
      <c r="J47" s="237" t="str">
        <f t="shared" ref="J47:J52" si="29">K47/I47</f>
        <v>#ERROR!</v>
      </c>
      <c r="K47" s="237" t="str">
        <f t="shared" ref="K47:K52" si="30">K46+E47</f>
        <v>#ERROR!</v>
      </c>
    </row>
    <row r="48" ht="15.75" customHeight="1">
      <c r="A48" s="166">
        <v>43.0</v>
      </c>
      <c r="B48" s="333">
        <f>'Yakin Pasifik Tuna'!B52</f>
        <v>45270</v>
      </c>
      <c r="C48" s="237">
        <f>'Yakin Pasifik Tuna'!G52</f>
        <v>1008</v>
      </c>
      <c r="D48" s="237">
        <f>'Yakin Pasifik Tuna'!W52</f>
        <v>7796.403487</v>
      </c>
      <c r="E48" s="237">
        <f t="shared" si="27"/>
        <v>7858774.715</v>
      </c>
      <c r="F48" s="237"/>
      <c r="G48" s="237"/>
      <c r="H48" s="237"/>
      <c r="I48" s="237">
        <f t="shared" si="28"/>
        <v>6980.6</v>
      </c>
      <c r="J48" s="237" t="str">
        <f t="shared" si="29"/>
        <v>#ERROR!</v>
      </c>
      <c r="K48" s="237" t="str">
        <f t="shared" si="30"/>
        <v>#ERROR!</v>
      </c>
    </row>
    <row r="49" ht="15.75" customHeight="1">
      <c r="A49" s="166">
        <v>44.0</v>
      </c>
      <c r="B49" s="333">
        <f>'Yakin Pasifik Tuna'!B53</f>
        <v>45271</v>
      </c>
      <c r="C49" s="237">
        <f>'Yakin Pasifik Tuna'!G53</f>
        <v>1299.2</v>
      </c>
      <c r="D49" s="237">
        <f>'Yakin Pasifik Tuna'!W53</f>
        <v>7789.871254</v>
      </c>
      <c r="E49" s="237">
        <f t="shared" si="27"/>
        <v>10120600.73</v>
      </c>
      <c r="F49" s="237"/>
      <c r="G49" s="237"/>
      <c r="H49" s="237"/>
      <c r="I49" s="237">
        <f t="shared" si="28"/>
        <v>8279.8</v>
      </c>
      <c r="J49" s="237" t="str">
        <f t="shared" si="29"/>
        <v>#ERROR!</v>
      </c>
      <c r="K49" s="237" t="str">
        <f t="shared" si="30"/>
        <v>#ERROR!</v>
      </c>
    </row>
    <row r="50" ht="15.75" customHeight="1">
      <c r="A50" s="166">
        <v>45.0</v>
      </c>
      <c r="B50" s="333">
        <v>45278.0</v>
      </c>
      <c r="C50" s="237">
        <f>SUM('Yakin Pasifik Tuna'!G54)</f>
        <v>1689.8</v>
      </c>
      <c r="D50" s="237">
        <f>'Yakin Pasifik Tuna'!W54</f>
        <v>7284.002792</v>
      </c>
      <c r="E50" s="237">
        <f t="shared" si="27"/>
        <v>12308507.92</v>
      </c>
      <c r="F50" s="237"/>
      <c r="G50" s="237"/>
      <c r="H50" s="237"/>
      <c r="I50" s="237">
        <f t="shared" si="28"/>
        <v>9969.6</v>
      </c>
      <c r="J50" s="237" t="str">
        <f t="shared" si="29"/>
        <v>#ERROR!</v>
      </c>
      <c r="K50" s="237" t="str">
        <f t="shared" si="30"/>
        <v>#ERROR!</v>
      </c>
    </row>
    <row r="51" ht="15.75" customHeight="1">
      <c r="A51" s="166">
        <v>46.0</v>
      </c>
      <c r="B51" s="333">
        <v>45279.0</v>
      </c>
      <c r="C51" s="237">
        <f>SUM('Yakin Pasifik Tuna'!G55)</f>
        <v>638.9</v>
      </c>
      <c r="D51" s="237">
        <f>'Yakin Pasifik Tuna'!W55</f>
        <v>7281.703417</v>
      </c>
      <c r="E51" s="237">
        <f t="shared" si="27"/>
        <v>4652280.313</v>
      </c>
      <c r="F51" s="237"/>
      <c r="G51" s="237"/>
      <c r="H51" s="237"/>
      <c r="I51" s="237">
        <f t="shared" si="28"/>
        <v>10608.5</v>
      </c>
      <c r="J51" s="237" t="str">
        <f t="shared" si="29"/>
        <v>#ERROR!</v>
      </c>
      <c r="K51" s="237" t="str">
        <f t="shared" si="30"/>
        <v>#ERROR!</v>
      </c>
    </row>
    <row r="52" ht="15.75" customHeight="1">
      <c r="A52" s="166">
        <v>47.0</v>
      </c>
      <c r="B52" s="333">
        <f>'Yakin Pasifik Tuna'!B56</f>
        <v>45280</v>
      </c>
      <c r="C52" s="237">
        <f>SUM('Yakin Pasifik Tuna'!G56)</f>
        <v>4014</v>
      </c>
      <c r="D52" s="237">
        <f>'Yakin Pasifik Tuna'!W56</f>
        <v>7776.857143</v>
      </c>
      <c r="E52" s="237">
        <f t="shared" si="27"/>
        <v>31216304.57</v>
      </c>
      <c r="F52" s="237"/>
      <c r="G52" s="237"/>
      <c r="H52" s="237"/>
      <c r="I52" s="237">
        <f t="shared" si="28"/>
        <v>14622.5</v>
      </c>
      <c r="J52" s="237" t="str">
        <f t="shared" si="29"/>
        <v>#ERROR!</v>
      </c>
      <c r="K52" s="237" t="str">
        <f t="shared" si="30"/>
        <v>#ERROR!</v>
      </c>
    </row>
    <row r="53" ht="15.75" customHeight="1">
      <c r="A53" s="166"/>
      <c r="B53" s="333"/>
      <c r="C53" s="237"/>
      <c r="D53" s="237"/>
      <c r="E53" s="237"/>
      <c r="F53" s="237"/>
      <c r="G53" s="237"/>
      <c r="H53" s="237"/>
      <c r="I53" s="237"/>
      <c r="J53" s="237"/>
      <c r="K53" s="237"/>
    </row>
    <row r="54" ht="15.75" customHeight="1">
      <c r="A54" s="166"/>
      <c r="B54" s="333"/>
      <c r="C54" s="237"/>
      <c r="D54" s="237"/>
      <c r="E54" s="237"/>
      <c r="F54" s="237"/>
      <c r="G54" s="237"/>
      <c r="H54" s="237"/>
      <c r="I54" s="237"/>
      <c r="J54" s="237"/>
      <c r="K54" s="237"/>
    </row>
    <row r="55" ht="15.75" customHeight="1">
      <c r="A55" s="166">
        <v>48.0</v>
      </c>
      <c r="B55" s="333">
        <f>'Yakin Pasifik Tuna'!B57</f>
        <v>45281</v>
      </c>
      <c r="C55" s="237">
        <f>SUM('Yakin Pasifik Tuna'!G57)</f>
        <v>0</v>
      </c>
      <c r="D55" s="237">
        <f>'Yakin Pasifik Tuna'!W57</f>
        <v>0</v>
      </c>
      <c r="E55" s="237">
        <f t="shared" ref="E55:E61" si="31">C55*D55</f>
        <v>0</v>
      </c>
      <c r="F55" s="237"/>
      <c r="G55" s="237"/>
      <c r="H55" s="237"/>
      <c r="I55" s="237"/>
      <c r="J55" s="237"/>
      <c r="K55" s="237"/>
    </row>
    <row r="56" ht="15.75" customHeight="1">
      <c r="A56" s="166">
        <v>49.0</v>
      </c>
      <c r="B56" s="333">
        <f>'Yakin Pasifik Tuna'!B58</f>
        <v>45282</v>
      </c>
      <c r="C56" s="237">
        <f>SUM('Yakin Pasifik Tuna'!G58)</f>
        <v>0</v>
      </c>
      <c r="D56" s="237">
        <f>'Yakin Pasifik Tuna'!W58</f>
        <v>0</v>
      </c>
      <c r="E56" s="237">
        <f t="shared" si="31"/>
        <v>0</v>
      </c>
      <c r="F56" s="237"/>
      <c r="G56" s="237"/>
      <c r="H56" s="237"/>
      <c r="I56" s="237"/>
      <c r="J56" s="237"/>
      <c r="K56" s="237"/>
    </row>
    <row r="57" ht="15.75" customHeight="1">
      <c r="A57" s="166">
        <v>50.0</v>
      </c>
      <c r="B57" s="333">
        <f>'Yakin Pasifik Tuna'!B59</f>
        <v>45283</v>
      </c>
      <c r="C57" s="237">
        <f>SUM('Yakin Pasifik Tuna'!G59)</f>
        <v>1201</v>
      </c>
      <c r="D57" s="237">
        <f>'Yakin Pasifik Tuna'!W59</f>
        <v>7368.748722</v>
      </c>
      <c r="E57" s="237">
        <f t="shared" si="31"/>
        <v>8849867.216</v>
      </c>
      <c r="F57" s="237"/>
      <c r="G57" s="237"/>
      <c r="H57" s="237"/>
      <c r="I57" s="237">
        <f t="shared" ref="I57:K57" si="32">C57</f>
        <v>1201</v>
      </c>
      <c r="J57" s="237">
        <f t="shared" si="32"/>
        <v>7368.748722</v>
      </c>
      <c r="K57" s="237">
        <f t="shared" si="32"/>
        <v>8849867.216</v>
      </c>
    </row>
    <row r="58" ht="15.75" customHeight="1">
      <c r="A58" s="166">
        <v>51.0</v>
      </c>
      <c r="B58" s="333">
        <f>'Yakin Pasifik Tuna'!B60</f>
        <v>45284</v>
      </c>
      <c r="C58" s="237">
        <f>SUM('Yakin Pasifik Tuna'!G60)</f>
        <v>0</v>
      </c>
      <c r="D58" s="237">
        <f>'Yakin Pasifik Tuna'!W60</f>
        <v>0</v>
      </c>
      <c r="E58" s="237">
        <f t="shared" si="31"/>
        <v>0</v>
      </c>
      <c r="F58" s="237"/>
      <c r="G58" s="237"/>
      <c r="H58" s="237"/>
      <c r="I58" s="237">
        <f t="shared" ref="I58:I61" si="33">I57+C58</f>
        <v>1201</v>
      </c>
      <c r="J58" s="237">
        <f t="shared" ref="J58:J61" si="34">K58/I58</f>
        <v>7368.748722</v>
      </c>
      <c r="K58" s="237">
        <f t="shared" ref="K58:K61" si="35">K57+E58</f>
        <v>8849867.216</v>
      </c>
    </row>
    <row r="59" ht="15.75" customHeight="1">
      <c r="A59" s="166">
        <v>52.0</v>
      </c>
      <c r="B59" s="333">
        <v>45295.0</v>
      </c>
      <c r="C59" s="237">
        <f>'Yakin Pasifik Tuna'!G65</f>
        <v>2889</v>
      </c>
      <c r="D59" s="237">
        <f>'Yakin Pasifik Tuna'!X65</f>
        <v>7278.796228</v>
      </c>
      <c r="E59" s="237">
        <f t="shared" si="31"/>
        <v>21028442.3</v>
      </c>
      <c r="F59" s="237"/>
      <c r="G59" s="237"/>
      <c r="H59" s="237"/>
      <c r="I59" s="237">
        <f t="shared" si="33"/>
        <v>4090</v>
      </c>
      <c r="J59" s="237">
        <f t="shared" si="34"/>
        <v>7305.210151</v>
      </c>
      <c r="K59" s="237">
        <f t="shared" si="35"/>
        <v>29878309.52</v>
      </c>
    </row>
    <row r="60" ht="15.75" customHeight="1">
      <c r="A60" s="166">
        <v>53.0</v>
      </c>
      <c r="B60" s="333">
        <v>45297.0</v>
      </c>
      <c r="C60" s="237">
        <f>'Yakin Pasifik Tuna'!G66</f>
        <v>2143</v>
      </c>
      <c r="D60" s="237">
        <f>'Yakin Pasifik Tuna'!X66</f>
        <v>7281.967888</v>
      </c>
      <c r="E60" s="237">
        <f t="shared" si="31"/>
        <v>15605257.18</v>
      </c>
      <c r="F60" s="237"/>
      <c r="G60" s="237"/>
      <c r="H60" s="237"/>
      <c r="I60" s="237">
        <f t="shared" si="33"/>
        <v>6233</v>
      </c>
      <c r="J60" s="237">
        <f t="shared" si="34"/>
        <v>7297.219108</v>
      </c>
      <c r="K60" s="237">
        <f t="shared" si="35"/>
        <v>45483566.7</v>
      </c>
    </row>
    <row r="61" ht="15.75" customHeight="1">
      <c r="A61" s="166">
        <v>54.0</v>
      </c>
      <c r="B61" s="333">
        <v>45298.0</v>
      </c>
      <c r="C61" s="237">
        <f>'Yakin Pasifik Tuna'!G67</f>
        <v>2557.9</v>
      </c>
      <c r="D61" s="237">
        <f>'Yakin Pasifik Tuna'!X67</f>
        <v>7287.382084</v>
      </c>
      <c r="E61" s="237">
        <f t="shared" si="31"/>
        <v>18640394.63</v>
      </c>
      <c r="F61" s="237"/>
      <c r="G61" s="237"/>
      <c r="H61" s="237"/>
      <c r="I61" s="237">
        <f t="shared" si="33"/>
        <v>8790.9</v>
      </c>
      <c r="J61" s="237">
        <f t="shared" si="34"/>
        <v>7294.356816</v>
      </c>
      <c r="K61" s="237">
        <f t="shared" si="35"/>
        <v>64123961.33</v>
      </c>
    </row>
    <row r="62" ht="15.75" customHeight="1">
      <c r="B62" s="334"/>
      <c r="E62" s="237"/>
      <c r="F62" s="124"/>
      <c r="G62" s="124"/>
      <c r="H62" s="124"/>
      <c r="I62" s="124"/>
      <c r="J62" s="124">
        <v>1862.0</v>
      </c>
      <c r="K62" s="237"/>
    </row>
    <row r="63" ht="15.75" customHeight="1">
      <c r="B63" s="334"/>
      <c r="E63" s="124"/>
      <c r="F63" s="124"/>
      <c r="G63" s="124"/>
      <c r="H63" s="124"/>
      <c r="I63" s="124"/>
      <c r="J63" s="124"/>
      <c r="K63" s="124"/>
    </row>
    <row r="64" ht="15.75" customHeight="1">
      <c r="B64" s="334"/>
      <c r="E64" s="124"/>
      <c r="F64" s="124"/>
      <c r="G64" s="124"/>
      <c r="H64" s="124"/>
      <c r="I64" s="124"/>
      <c r="J64" s="124"/>
      <c r="K64" s="124"/>
    </row>
    <row r="65" ht="15.75" customHeight="1">
      <c r="B65" s="334"/>
      <c r="E65" s="124"/>
      <c r="F65" s="124"/>
      <c r="G65" s="124"/>
      <c r="H65" s="124"/>
      <c r="I65" s="124"/>
      <c r="J65" s="124"/>
      <c r="K65" s="124"/>
    </row>
    <row r="66" ht="15.75" customHeight="1">
      <c r="B66" s="334"/>
      <c r="E66" s="124"/>
      <c r="F66" s="124"/>
      <c r="G66" s="124"/>
      <c r="H66" s="124"/>
      <c r="I66" s="124"/>
      <c r="J66" s="124"/>
      <c r="K66" s="124"/>
    </row>
    <row r="67" ht="15.75" customHeight="1">
      <c r="B67" s="334"/>
      <c r="E67" s="124"/>
      <c r="F67" s="124"/>
      <c r="G67" s="124"/>
      <c r="H67" s="124"/>
      <c r="I67" s="124"/>
      <c r="J67" s="124"/>
      <c r="K67" s="124"/>
    </row>
    <row r="68" ht="15.75" customHeight="1">
      <c r="B68" s="334"/>
      <c r="E68" s="124"/>
      <c r="F68" s="124"/>
      <c r="G68" s="124"/>
      <c r="H68" s="124"/>
      <c r="I68" s="124"/>
      <c r="J68" s="124"/>
      <c r="K68" s="124"/>
    </row>
    <row r="69" ht="15.75" customHeight="1">
      <c r="B69" s="334"/>
      <c r="E69" s="124"/>
      <c r="F69" s="124"/>
      <c r="G69" s="124"/>
      <c r="H69" s="124"/>
      <c r="I69" s="124"/>
      <c r="J69" s="124"/>
      <c r="K69" s="124"/>
    </row>
    <row r="70" ht="15.75" customHeight="1">
      <c r="B70" s="334"/>
      <c r="E70" s="124"/>
      <c r="F70" s="124"/>
      <c r="G70" s="124"/>
      <c r="H70" s="124"/>
      <c r="I70" s="124"/>
      <c r="J70" s="124"/>
      <c r="K70" s="124"/>
    </row>
    <row r="71" ht="15.75" customHeight="1">
      <c r="B71" s="334"/>
      <c r="E71" s="124"/>
      <c r="F71" s="124"/>
      <c r="G71" s="124"/>
      <c r="H71" s="124"/>
      <c r="I71" s="124"/>
      <c r="J71" s="124"/>
      <c r="K71" s="124"/>
    </row>
    <row r="72" ht="15.75" customHeight="1">
      <c r="B72" s="334"/>
      <c r="E72" s="124"/>
      <c r="F72" s="124"/>
      <c r="G72" s="124"/>
      <c r="H72" s="124"/>
      <c r="I72" s="124"/>
      <c r="J72" s="124"/>
      <c r="K72" s="124"/>
    </row>
    <row r="73" ht="15.75" customHeight="1">
      <c r="B73" s="334"/>
      <c r="E73" s="124"/>
      <c r="F73" s="124"/>
      <c r="G73" s="124"/>
      <c r="H73" s="124"/>
      <c r="I73" s="124"/>
      <c r="J73" s="124"/>
      <c r="K73" s="124"/>
    </row>
    <row r="74" ht="15.75" customHeight="1">
      <c r="B74" s="334"/>
      <c r="E74" s="124"/>
      <c r="F74" s="124"/>
      <c r="G74" s="124"/>
      <c r="H74" s="124"/>
      <c r="I74" s="124"/>
      <c r="J74" s="124"/>
      <c r="K74" s="124"/>
    </row>
    <row r="75" ht="15.75" customHeight="1">
      <c r="B75" s="334"/>
      <c r="E75" s="124"/>
      <c r="F75" s="124"/>
      <c r="G75" s="124"/>
      <c r="H75" s="124"/>
      <c r="I75" s="124"/>
      <c r="J75" s="124"/>
      <c r="K75" s="124"/>
    </row>
    <row r="76" ht="15.75" customHeight="1">
      <c r="B76" s="334"/>
      <c r="E76" s="124"/>
      <c r="F76" s="124"/>
      <c r="G76" s="124"/>
      <c r="H76" s="124"/>
      <c r="I76" s="124"/>
      <c r="J76" s="124"/>
      <c r="K76" s="124"/>
    </row>
    <row r="77" ht="15.75" customHeight="1">
      <c r="B77" s="334"/>
      <c r="E77" s="124"/>
      <c r="F77" s="124"/>
      <c r="G77" s="124"/>
      <c r="H77" s="124"/>
      <c r="I77" s="124"/>
      <c r="J77" s="124"/>
      <c r="K77" s="124"/>
    </row>
    <row r="78" ht="15.75" customHeight="1">
      <c r="B78" s="334"/>
      <c r="E78" s="124"/>
      <c r="F78" s="124"/>
      <c r="G78" s="124"/>
      <c r="H78" s="124"/>
      <c r="I78" s="124"/>
      <c r="J78" s="124"/>
      <c r="K78" s="124"/>
    </row>
    <row r="79" ht="15.75" customHeight="1">
      <c r="B79" s="334"/>
      <c r="E79" s="124"/>
      <c r="F79" s="124"/>
      <c r="G79" s="124"/>
      <c r="H79" s="124"/>
      <c r="I79" s="124"/>
      <c r="J79" s="124"/>
      <c r="K79" s="124"/>
    </row>
    <row r="80" ht="15.75" customHeight="1">
      <c r="B80" s="334"/>
      <c r="E80" s="124"/>
      <c r="F80" s="124"/>
      <c r="G80" s="124"/>
      <c r="H80" s="124"/>
      <c r="I80" s="124"/>
      <c r="J80" s="124"/>
      <c r="K80" s="124"/>
    </row>
    <row r="81" ht="15.75" customHeight="1">
      <c r="B81" s="334"/>
      <c r="E81" s="124"/>
      <c r="F81" s="124"/>
      <c r="G81" s="124"/>
      <c r="H81" s="124"/>
      <c r="I81" s="124"/>
      <c r="J81" s="124"/>
      <c r="K81" s="124"/>
    </row>
    <row r="82" ht="15.75" customHeight="1">
      <c r="B82" s="334"/>
      <c r="E82" s="124"/>
      <c r="F82" s="124"/>
      <c r="G82" s="124"/>
      <c r="H82" s="124"/>
      <c r="I82" s="124"/>
      <c r="J82" s="124"/>
      <c r="K82" s="124"/>
    </row>
    <row r="83" ht="15.75" customHeight="1">
      <c r="B83" s="334"/>
      <c r="E83" s="124"/>
      <c r="F83" s="124"/>
      <c r="G83" s="124"/>
      <c r="H83" s="124"/>
      <c r="I83" s="124"/>
      <c r="J83" s="124"/>
      <c r="K83" s="124"/>
    </row>
    <row r="84" ht="15.75" customHeight="1">
      <c r="B84" s="334"/>
      <c r="E84" s="124"/>
      <c r="F84" s="124"/>
      <c r="G84" s="124"/>
      <c r="H84" s="124"/>
      <c r="I84" s="124"/>
      <c r="J84" s="124"/>
      <c r="K84" s="124"/>
    </row>
    <row r="85" ht="15.75" customHeight="1">
      <c r="B85" s="334"/>
      <c r="E85" s="124"/>
      <c r="F85" s="124"/>
      <c r="G85" s="124"/>
      <c r="H85" s="124"/>
      <c r="I85" s="124"/>
      <c r="J85" s="124"/>
      <c r="K85" s="124"/>
    </row>
    <row r="86" ht="15.75" customHeight="1">
      <c r="B86" s="334"/>
      <c r="E86" s="124"/>
      <c r="F86" s="124"/>
      <c r="G86" s="124"/>
      <c r="H86" s="124"/>
      <c r="I86" s="124"/>
      <c r="J86" s="124"/>
      <c r="K86" s="124"/>
    </row>
    <row r="87" ht="15.75" customHeight="1">
      <c r="B87" s="334"/>
      <c r="E87" s="124"/>
      <c r="F87" s="124"/>
      <c r="G87" s="124"/>
      <c r="H87" s="124"/>
      <c r="I87" s="124"/>
      <c r="J87" s="124"/>
      <c r="K87" s="124"/>
    </row>
    <row r="88" ht="15.75" customHeight="1">
      <c r="B88" s="334"/>
      <c r="E88" s="124"/>
      <c r="F88" s="124"/>
      <c r="G88" s="124"/>
      <c r="H88" s="124"/>
      <c r="I88" s="124"/>
      <c r="J88" s="124"/>
      <c r="K88" s="124"/>
    </row>
    <row r="89" ht="15.75" customHeight="1">
      <c r="B89" s="334"/>
      <c r="E89" s="124"/>
      <c r="F89" s="124"/>
      <c r="G89" s="124"/>
      <c r="H89" s="124"/>
      <c r="I89" s="124"/>
      <c r="J89" s="124"/>
      <c r="K89" s="124"/>
    </row>
    <row r="90" ht="15.75" customHeight="1">
      <c r="B90" s="334"/>
      <c r="E90" s="124"/>
      <c r="F90" s="124"/>
      <c r="G90" s="124"/>
      <c r="H90" s="124"/>
      <c r="I90" s="124"/>
      <c r="J90" s="124"/>
      <c r="K90" s="124"/>
    </row>
    <row r="91" ht="15.75" customHeight="1">
      <c r="B91" s="334"/>
      <c r="E91" s="124"/>
      <c r="F91" s="124"/>
      <c r="G91" s="124"/>
      <c r="H91" s="124"/>
      <c r="I91" s="124"/>
      <c r="J91" s="124"/>
      <c r="K91" s="124"/>
    </row>
    <row r="92" ht="15.75" customHeight="1">
      <c r="B92" s="334"/>
      <c r="E92" s="124"/>
      <c r="F92" s="124"/>
      <c r="G92" s="124"/>
      <c r="H92" s="124"/>
      <c r="I92" s="124"/>
      <c r="J92" s="124"/>
      <c r="K92" s="124"/>
    </row>
    <row r="93" ht="15.75" customHeight="1">
      <c r="B93" s="334"/>
      <c r="E93" s="124"/>
      <c r="F93" s="124"/>
      <c r="G93" s="124"/>
      <c r="H93" s="124"/>
      <c r="I93" s="124"/>
      <c r="J93" s="124"/>
      <c r="K93" s="124"/>
    </row>
    <row r="94" ht="15.75" customHeight="1">
      <c r="B94" s="334"/>
      <c r="E94" s="124"/>
      <c r="F94" s="124"/>
      <c r="G94" s="124"/>
      <c r="H94" s="124"/>
      <c r="I94" s="124"/>
      <c r="J94" s="124"/>
      <c r="K94" s="124"/>
    </row>
    <row r="95" ht="15.75" customHeight="1">
      <c r="B95" s="334"/>
      <c r="E95" s="124"/>
      <c r="F95" s="124"/>
      <c r="G95" s="124"/>
      <c r="H95" s="124"/>
      <c r="I95" s="124"/>
      <c r="J95" s="124"/>
      <c r="K95" s="124"/>
    </row>
    <row r="96" ht="15.75" customHeight="1">
      <c r="B96" s="334"/>
      <c r="E96" s="124"/>
      <c r="F96" s="124"/>
      <c r="G96" s="124"/>
      <c r="H96" s="124"/>
      <c r="I96" s="124"/>
      <c r="J96" s="124"/>
      <c r="K96" s="124"/>
    </row>
    <row r="97" ht="15.75" customHeight="1">
      <c r="B97" s="334"/>
      <c r="E97" s="124"/>
      <c r="F97" s="124"/>
      <c r="G97" s="124"/>
      <c r="H97" s="124"/>
      <c r="I97" s="124"/>
      <c r="J97" s="124"/>
      <c r="K97" s="124"/>
    </row>
    <row r="98" ht="15.75" customHeight="1">
      <c r="B98" s="334"/>
      <c r="E98" s="124"/>
      <c r="F98" s="124"/>
      <c r="G98" s="124"/>
      <c r="H98" s="124"/>
      <c r="I98" s="124"/>
      <c r="J98" s="124"/>
      <c r="K98" s="124"/>
    </row>
    <row r="99" ht="15.75" customHeight="1">
      <c r="B99" s="334"/>
      <c r="E99" s="124"/>
      <c r="F99" s="124"/>
      <c r="G99" s="124"/>
      <c r="H99" s="124"/>
      <c r="I99" s="124"/>
      <c r="J99" s="124"/>
      <c r="K99" s="124"/>
    </row>
    <row r="100" ht="15.75" customHeight="1">
      <c r="B100" s="334"/>
      <c r="E100" s="124"/>
      <c r="F100" s="124"/>
      <c r="G100" s="124"/>
      <c r="H100" s="124"/>
      <c r="I100" s="124"/>
      <c r="J100" s="124"/>
      <c r="K100" s="124"/>
    </row>
    <row r="101" ht="15.75" customHeight="1">
      <c r="B101" s="334"/>
      <c r="E101" s="124"/>
      <c r="F101" s="124"/>
      <c r="G101" s="124"/>
      <c r="H101" s="124"/>
      <c r="I101" s="124"/>
      <c r="J101" s="124"/>
      <c r="K101" s="124"/>
    </row>
    <row r="102" ht="15.75" customHeight="1">
      <c r="B102" s="334"/>
      <c r="E102" s="124"/>
      <c r="F102" s="124"/>
      <c r="G102" s="124"/>
      <c r="H102" s="124"/>
      <c r="I102" s="124"/>
      <c r="J102" s="124"/>
      <c r="K102" s="124"/>
    </row>
    <row r="103" ht="15.75" customHeight="1">
      <c r="B103" s="334"/>
      <c r="E103" s="124"/>
      <c r="F103" s="124"/>
      <c r="G103" s="124"/>
      <c r="H103" s="124"/>
      <c r="I103" s="124"/>
      <c r="J103" s="124"/>
      <c r="K103" s="124"/>
    </row>
    <row r="104" ht="15.75" customHeight="1">
      <c r="B104" s="334"/>
      <c r="E104" s="124"/>
      <c r="F104" s="124"/>
      <c r="G104" s="124"/>
      <c r="H104" s="124"/>
      <c r="I104" s="124"/>
      <c r="J104" s="124"/>
      <c r="K104" s="124"/>
    </row>
    <row r="105" ht="15.75" customHeight="1">
      <c r="B105" s="334"/>
      <c r="E105" s="124"/>
      <c r="F105" s="124"/>
      <c r="G105" s="124"/>
      <c r="H105" s="124"/>
      <c r="I105" s="124"/>
      <c r="J105" s="124"/>
      <c r="K105" s="124"/>
    </row>
    <row r="106" ht="15.75" customHeight="1">
      <c r="B106" s="334"/>
      <c r="E106" s="124"/>
      <c r="F106" s="124"/>
      <c r="G106" s="124"/>
      <c r="H106" s="124"/>
      <c r="I106" s="124"/>
      <c r="J106" s="124"/>
      <c r="K106" s="124"/>
    </row>
    <row r="107" ht="15.75" customHeight="1">
      <c r="B107" s="334"/>
      <c r="E107" s="124"/>
      <c r="F107" s="124"/>
      <c r="G107" s="124"/>
      <c r="H107" s="124"/>
      <c r="I107" s="124"/>
      <c r="J107" s="124"/>
      <c r="K107" s="124"/>
    </row>
    <row r="108" ht="15.75" customHeight="1">
      <c r="B108" s="334"/>
      <c r="E108" s="124"/>
      <c r="F108" s="124"/>
      <c r="G108" s="124"/>
      <c r="H108" s="124"/>
      <c r="I108" s="124"/>
      <c r="J108" s="124"/>
      <c r="K108" s="124"/>
    </row>
    <row r="109" ht="15.75" customHeight="1">
      <c r="B109" s="334"/>
      <c r="E109" s="124"/>
      <c r="F109" s="124"/>
      <c r="G109" s="124"/>
      <c r="H109" s="124"/>
      <c r="I109" s="124"/>
      <c r="J109" s="124"/>
      <c r="K109" s="124"/>
    </row>
    <row r="110" ht="15.75" customHeight="1">
      <c r="B110" s="334"/>
      <c r="E110" s="124"/>
      <c r="F110" s="124"/>
      <c r="G110" s="124"/>
      <c r="H110" s="124"/>
      <c r="I110" s="124"/>
      <c r="J110" s="124"/>
      <c r="K110" s="124"/>
    </row>
    <row r="111" ht="15.75" customHeight="1">
      <c r="B111" s="334"/>
      <c r="E111" s="124"/>
      <c r="F111" s="124"/>
      <c r="G111" s="124"/>
      <c r="H111" s="124"/>
      <c r="I111" s="124"/>
      <c r="J111" s="124"/>
      <c r="K111" s="124"/>
    </row>
    <row r="112" ht="15.75" customHeight="1">
      <c r="B112" s="334"/>
      <c r="E112" s="124"/>
      <c r="F112" s="124"/>
      <c r="G112" s="124"/>
      <c r="H112" s="124"/>
      <c r="I112" s="124"/>
      <c r="J112" s="124"/>
      <c r="K112" s="124"/>
    </row>
    <row r="113" ht="15.75" customHeight="1">
      <c r="B113" s="334"/>
      <c r="E113" s="124"/>
      <c r="F113" s="124"/>
      <c r="G113" s="124"/>
      <c r="H113" s="124"/>
      <c r="I113" s="124"/>
      <c r="J113" s="124"/>
      <c r="K113" s="124"/>
    </row>
    <row r="114" ht="15.75" customHeight="1">
      <c r="B114" s="334"/>
      <c r="E114" s="124"/>
      <c r="F114" s="124"/>
      <c r="G114" s="124"/>
      <c r="H114" s="124"/>
      <c r="I114" s="124"/>
      <c r="J114" s="124"/>
      <c r="K114" s="124"/>
    </row>
    <row r="115" ht="15.75" customHeight="1">
      <c r="B115" s="334"/>
      <c r="E115" s="124"/>
      <c r="F115" s="124"/>
      <c r="G115" s="124"/>
      <c r="H115" s="124"/>
      <c r="I115" s="124"/>
      <c r="J115" s="124"/>
      <c r="K115" s="124"/>
    </row>
    <row r="116" ht="15.75" customHeight="1">
      <c r="B116" s="334"/>
      <c r="E116" s="124"/>
      <c r="F116" s="124"/>
      <c r="G116" s="124"/>
      <c r="H116" s="124"/>
      <c r="I116" s="124"/>
      <c r="J116" s="124"/>
      <c r="K116" s="124"/>
    </row>
    <row r="117" ht="15.75" customHeight="1">
      <c r="B117" s="334"/>
      <c r="E117" s="124"/>
      <c r="F117" s="124"/>
      <c r="G117" s="124"/>
      <c r="H117" s="124"/>
      <c r="I117" s="124"/>
      <c r="J117" s="124"/>
      <c r="K117" s="124"/>
    </row>
    <row r="118" ht="15.75" customHeight="1">
      <c r="B118" s="334"/>
      <c r="E118" s="124"/>
      <c r="F118" s="124"/>
      <c r="G118" s="124"/>
      <c r="H118" s="124"/>
      <c r="I118" s="124"/>
      <c r="J118" s="124"/>
      <c r="K118" s="124"/>
    </row>
    <row r="119" ht="15.75" customHeight="1">
      <c r="B119" s="334"/>
      <c r="E119" s="124"/>
      <c r="F119" s="124"/>
      <c r="G119" s="124"/>
      <c r="H119" s="124"/>
      <c r="I119" s="124"/>
      <c r="J119" s="124"/>
      <c r="K119" s="124"/>
    </row>
    <row r="120" ht="15.75" customHeight="1">
      <c r="B120" s="334"/>
      <c r="E120" s="124"/>
      <c r="F120" s="124"/>
      <c r="G120" s="124"/>
      <c r="H120" s="124"/>
      <c r="I120" s="124"/>
      <c r="J120" s="124"/>
      <c r="K120" s="124"/>
    </row>
    <row r="121" ht="15.75" customHeight="1">
      <c r="B121" s="334"/>
      <c r="E121" s="124"/>
      <c r="F121" s="124"/>
      <c r="G121" s="124"/>
      <c r="H121" s="124"/>
      <c r="I121" s="124"/>
      <c r="J121" s="124"/>
      <c r="K121" s="124"/>
    </row>
    <row r="122" ht="15.75" customHeight="1">
      <c r="B122" s="334"/>
      <c r="E122" s="124"/>
      <c r="F122" s="124"/>
      <c r="G122" s="124"/>
      <c r="H122" s="124"/>
      <c r="I122" s="124"/>
      <c r="J122" s="124"/>
      <c r="K122" s="124"/>
    </row>
    <row r="123" ht="15.75" customHeight="1">
      <c r="B123" s="334"/>
      <c r="E123" s="124"/>
      <c r="F123" s="124"/>
      <c r="G123" s="124"/>
      <c r="H123" s="124"/>
      <c r="I123" s="124"/>
      <c r="J123" s="124"/>
      <c r="K123" s="124"/>
    </row>
    <row r="124" ht="15.75" customHeight="1">
      <c r="B124" s="334"/>
      <c r="E124" s="124"/>
      <c r="F124" s="124"/>
      <c r="G124" s="124"/>
      <c r="H124" s="124"/>
      <c r="I124" s="124"/>
      <c r="J124" s="124"/>
      <c r="K124" s="124"/>
    </row>
    <row r="125" ht="15.75" customHeight="1">
      <c r="B125" s="334"/>
      <c r="E125" s="124"/>
      <c r="F125" s="124"/>
      <c r="G125" s="124"/>
      <c r="H125" s="124"/>
      <c r="I125" s="124"/>
      <c r="J125" s="124"/>
      <c r="K125" s="124"/>
    </row>
    <row r="126" ht="15.75" customHeight="1">
      <c r="B126" s="334"/>
      <c r="E126" s="124"/>
      <c r="F126" s="124"/>
      <c r="G126" s="124"/>
      <c r="H126" s="124"/>
      <c r="I126" s="124"/>
      <c r="J126" s="124"/>
      <c r="K126" s="124"/>
    </row>
    <row r="127" ht="15.75" customHeight="1">
      <c r="B127" s="334"/>
      <c r="E127" s="124"/>
      <c r="F127" s="124"/>
      <c r="G127" s="124"/>
      <c r="H127" s="124"/>
      <c r="I127" s="124"/>
      <c r="J127" s="124"/>
      <c r="K127" s="124"/>
    </row>
    <row r="128" ht="15.75" customHeight="1">
      <c r="B128" s="334"/>
      <c r="E128" s="124"/>
      <c r="F128" s="124"/>
      <c r="G128" s="124"/>
      <c r="H128" s="124"/>
      <c r="I128" s="124"/>
      <c r="J128" s="124"/>
      <c r="K128" s="124"/>
    </row>
    <row r="129" ht="15.75" customHeight="1">
      <c r="B129" s="334"/>
      <c r="E129" s="124"/>
      <c r="F129" s="124"/>
      <c r="G129" s="124"/>
      <c r="H129" s="124"/>
      <c r="I129" s="124"/>
      <c r="J129" s="124"/>
      <c r="K129" s="124"/>
    </row>
    <row r="130" ht="15.75" customHeight="1">
      <c r="B130" s="334"/>
      <c r="E130" s="124"/>
      <c r="F130" s="124"/>
      <c r="G130" s="124"/>
      <c r="H130" s="124"/>
      <c r="I130" s="124"/>
      <c r="J130" s="124"/>
      <c r="K130" s="124"/>
    </row>
    <row r="131" ht="15.75" customHeight="1">
      <c r="B131" s="334"/>
      <c r="E131" s="124"/>
      <c r="F131" s="124"/>
      <c r="G131" s="124"/>
      <c r="H131" s="124"/>
      <c r="I131" s="124"/>
      <c r="J131" s="124"/>
      <c r="K131" s="124"/>
    </row>
    <row r="132" ht="15.75" customHeight="1">
      <c r="B132" s="334"/>
      <c r="E132" s="124"/>
      <c r="F132" s="124"/>
      <c r="G132" s="124"/>
      <c r="H132" s="124"/>
      <c r="I132" s="124"/>
      <c r="J132" s="124"/>
      <c r="K132" s="124"/>
    </row>
    <row r="133" ht="15.75" customHeight="1">
      <c r="B133" s="334"/>
      <c r="E133" s="124"/>
      <c r="F133" s="124"/>
      <c r="G133" s="124"/>
      <c r="H133" s="124"/>
      <c r="I133" s="124"/>
      <c r="J133" s="124"/>
      <c r="K133" s="124"/>
    </row>
    <row r="134" ht="15.75" customHeight="1">
      <c r="B134" s="334"/>
      <c r="E134" s="124"/>
      <c r="F134" s="124"/>
      <c r="G134" s="124"/>
      <c r="H134" s="124"/>
      <c r="I134" s="124"/>
      <c r="J134" s="124"/>
      <c r="K134" s="124"/>
    </row>
    <row r="135" ht="15.75" customHeight="1">
      <c r="B135" s="334"/>
      <c r="E135" s="124"/>
      <c r="F135" s="124"/>
      <c r="G135" s="124"/>
      <c r="H135" s="124"/>
      <c r="I135" s="124"/>
      <c r="J135" s="124"/>
      <c r="K135" s="124"/>
    </row>
    <row r="136" ht="15.75" customHeight="1">
      <c r="B136" s="334"/>
      <c r="E136" s="124"/>
      <c r="F136" s="124"/>
      <c r="G136" s="124"/>
      <c r="H136" s="124"/>
      <c r="I136" s="124"/>
      <c r="J136" s="124"/>
      <c r="K136" s="124"/>
    </row>
    <row r="137" ht="15.75" customHeight="1">
      <c r="B137" s="334"/>
      <c r="E137" s="124"/>
      <c r="F137" s="124"/>
      <c r="G137" s="124"/>
      <c r="H137" s="124"/>
      <c r="I137" s="124"/>
      <c r="J137" s="124"/>
      <c r="K137" s="124"/>
    </row>
    <row r="138" ht="15.75" customHeight="1">
      <c r="B138" s="334"/>
      <c r="E138" s="124"/>
      <c r="F138" s="124"/>
      <c r="G138" s="124"/>
      <c r="H138" s="124"/>
      <c r="I138" s="124"/>
      <c r="J138" s="124"/>
      <c r="K138" s="124"/>
    </row>
    <row r="139" ht="15.75" customHeight="1">
      <c r="B139" s="334"/>
      <c r="E139" s="124"/>
      <c r="F139" s="124"/>
      <c r="G139" s="124"/>
      <c r="H139" s="124"/>
      <c r="I139" s="124"/>
      <c r="J139" s="124"/>
      <c r="K139" s="124"/>
    </row>
    <row r="140" ht="15.75" customHeight="1">
      <c r="B140" s="334"/>
      <c r="E140" s="124"/>
      <c r="F140" s="124"/>
      <c r="G140" s="124"/>
      <c r="H140" s="124"/>
      <c r="I140" s="124"/>
      <c r="J140" s="124"/>
      <c r="K140" s="124"/>
    </row>
    <row r="141" ht="15.75" customHeight="1">
      <c r="B141" s="334"/>
      <c r="E141" s="124"/>
      <c r="F141" s="124"/>
      <c r="G141" s="124"/>
      <c r="H141" s="124"/>
      <c r="I141" s="124"/>
      <c r="J141" s="124"/>
      <c r="K141" s="124"/>
    </row>
    <row r="142" ht="15.75" customHeight="1">
      <c r="B142" s="334"/>
      <c r="E142" s="124"/>
      <c r="F142" s="124"/>
      <c r="G142" s="124"/>
      <c r="H142" s="124"/>
      <c r="I142" s="124"/>
      <c r="J142" s="124"/>
      <c r="K142" s="124"/>
    </row>
    <row r="143" ht="15.75" customHeight="1">
      <c r="B143" s="334"/>
      <c r="E143" s="124"/>
      <c r="F143" s="124"/>
      <c r="G143" s="124"/>
      <c r="H143" s="124"/>
      <c r="I143" s="124"/>
      <c r="J143" s="124"/>
      <c r="K143" s="124"/>
    </row>
    <row r="144" ht="15.75" customHeight="1">
      <c r="B144" s="334"/>
      <c r="E144" s="124"/>
      <c r="F144" s="124"/>
      <c r="G144" s="124"/>
      <c r="H144" s="124"/>
      <c r="I144" s="124"/>
      <c r="J144" s="124"/>
      <c r="K144" s="124"/>
    </row>
    <row r="145" ht="15.75" customHeight="1">
      <c r="B145" s="334"/>
      <c r="E145" s="124"/>
      <c r="F145" s="124"/>
      <c r="G145" s="124"/>
      <c r="H145" s="124"/>
      <c r="I145" s="124"/>
      <c r="J145" s="124"/>
      <c r="K145" s="124"/>
    </row>
    <row r="146" ht="15.75" customHeight="1">
      <c r="B146" s="334"/>
      <c r="E146" s="124"/>
      <c r="F146" s="124"/>
      <c r="G146" s="124"/>
      <c r="H146" s="124"/>
      <c r="I146" s="124"/>
      <c r="J146" s="124"/>
      <c r="K146" s="124"/>
    </row>
    <row r="147" ht="15.75" customHeight="1">
      <c r="B147" s="334"/>
      <c r="E147" s="124"/>
      <c r="F147" s="124"/>
      <c r="G147" s="124"/>
      <c r="H147" s="124"/>
      <c r="I147" s="124"/>
      <c r="J147" s="124"/>
      <c r="K147" s="124"/>
    </row>
    <row r="148" ht="15.75" customHeight="1">
      <c r="B148" s="334"/>
      <c r="E148" s="124"/>
      <c r="F148" s="124"/>
      <c r="G148" s="124"/>
      <c r="H148" s="124"/>
      <c r="I148" s="124"/>
      <c r="J148" s="124"/>
      <c r="K148" s="124"/>
    </row>
    <row r="149" ht="15.75" customHeight="1">
      <c r="B149" s="334"/>
      <c r="E149" s="124"/>
      <c r="F149" s="124"/>
      <c r="G149" s="124"/>
      <c r="H149" s="124"/>
      <c r="I149" s="124"/>
      <c r="J149" s="124"/>
      <c r="K149" s="124"/>
    </row>
    <row r="150" ht="15.75" customHeight="1">
      <c r="B150" s="334"/>
      <c r="E150" s="124"/>
      <c r="F150" s="124"/>
      <c r="G150" s="124"/>
      <c r="H150" s="124"/>
      <c r="I150" s="124"/>
      <c r="J150" s="124"/>
      <c r="K150" s="124"/>
    </row>
    <row r="151" ht="15.75" customHeight="1">
      <c r="B151" s="334"/>
      <c r="E151" s="124"/>
      <c r="F151" s="124"/>
      <c r="G151" s="124"/>
      <c r="H151" s="124"/>
      <c r="I151" s="124"/>
      <c r="J151" s="124"/>
      <c r="K151" s="124"/>
    </row>
    <row r="152" ht="15.75" customHeight="1">
      <c r="B152" s="334"/>
      <c r="E152" s="124"/>
      <c r="F152" s="124"/>
      <c r="G152" s="124"/>
      <c r="H152" s="124"/>
      <c r="I152" s="124"/>
      <c r="J152" s="124"/>
      <c r="K152" s="124"/>
    </row>
    <row r="153" ht="15.75" customHeight="1">
      <c r="B153" s="334"/>
      <c r="E153" s="124"/>
      <c r="F153" s="124"/>
      <c r="G153" s="124"/>
      <c r="H153" s="124"/>
      <c r="I153" s="124"/>
      <c r="J153" s="124"/>
      <c r="K153" s="124"/>
    </row>
    <row r="154" ht="15.75" customHeight="1">
      <c r="B154" s="334"/>
      <c r="E154" s="124"/>
      <c r="F154" s="124"/>
      <c r="G154" s="124"/>
      <c r="H154" s="124"/>
      <c r="I154" s="124"/>
      <c r="J154" s="124"/>
      <c r="K154" s="124"/>
    </row>
    <row r="155" ht="15.75" customHeight="1">
      <c r="B155" s="334"/>
      <c r="E155" s="124"/>
      <c r="F155" s="124"/>
      <c r="G155" s="124"/>
      <c r="H155" s="124"/>
      <c r="I155" s="124"/>
      <c r="J155" s="124"/>
      <c r="K155" s="124"/>
    </row>
    <row r="156" ht="15.75" customHeight="1">
      <c r="B156" s="334"/>
      <c r="E156" s="124"/>
      <c r="F156" s="124"/>
      <c r="G156" s="124"/>
      <c r="H156" s="124"/>
      <c r="I156" s="124"/>
      <c r="J156" s="124"/>
      <c r="K156" s="124"/>
    </row>
    <row r="157" ht="15.75" customHeight="1">
      <c r="B157" s="334"/>
      <c r="E157" s="124"/>
      <c r="F157" s="124"/>
      <c r="G157" s="124"/>
      <c r="H157" s="124"/>
      <c r="I157" s="124"/>
      <c r="J157" s="124"/>
      <c r="K157" s="124"/>
    </row>
    <row r="158" ht="15.75" customHeight="1">
      <c r="B158" s="334"/>
      <c r="E158" s="124"/>
      <c r="F158" s="124"/>
      <c r="G158" s="124"/>
      <c r="H158" s="124"/>
      <c r="I158" s="124"/>
      <c r="J158" s="124"/>
      <c r="K158" s="124"/>
    </row>
    <row r="159" ht="15.75" customHeight="1">
      <c r="B159" s="334"/>
      <c r="E159" s="124"/>
      <c r="F159" s="124"/>
      <c r="G159" s="124"/>
      <c r="H159" s="124"/>
      <c r="I159" s="124"/>
      <c r="J159" s="124"/>
      <c r="K159" s="124"/>
    </row>
    <row r="160" ht="15.75" customHeight="1">
      <c r="B160" s="334"/>
      <c r="E160" s="124"/>
      <c r="F160" s="124"/>
      <c r="G160" s="124"/>
      <c r="H160" s="124"/>
      <c r="I160" s="124"/>
      <c r="J160" s="124"/>
      <c r="K160" s="124"/>
    </row>
    <row r="161" ht="15.75" customHeight="1">
      <c r="B161" s="334"/>
      <c r="E161" s="124"/>
      <c r="F161" s="124"/>
      <c r="G161" s="124"/>
      <c r="H161" s="124"/>
      <c r="I161" s="124"/>
      <c r="J161" s="124"/>
      <c r="K161" s="124"/>
    </row>
    <row r="162" ht="15.75" customHeight="1">
      <c r="B162" s="334"/>
      <c r="E162" s="124"/>
      <c r="F162" s="124"/>
      <c r="G162" s="124"/>
      <c r="H162" s="124"/>
      <c r="I162" s="124"/>
      <c r="J162" s="124"/>
      <c r="K162" s="124"/>
    </row>
    <row r="163" ht="15.75" customHeight="1">
      <c r="B163" s="334"/>
      <c r="E163" s="124"/>
      <c r="F163" s="124"/>
      <c r="G163" s="124"/>
      <c r="H163" s="124"/>
      <c r="I163" s="124"/>
      <c r="J163" s="124"/>
      <c r="K163" s="124"/>
    </row>
    <row r="164" ht="15.75" customHeight="1">
      <c r="B164" s="334"/>
      <c r="E164" s="124"/>
      <c r="F164" s="124"/>
      <c r="G164" s="124"/>
      <c r="H164" s="124"/>
      <c r="I164" s="124"/>
      <c r="J164" s="124"/>
      <c r="K164" s="124"/>
    </row>
    <row r="165" ht="15.75" customHeight="1">
      <c r="B165" s="334"/>
      <c r="E165" s="124"/>
      <c r="F165" s="124"/>
      <c r="G165" s="124"/>
      <c r="H165" s="124"/>
      <c r="I165" s="124"/>
      <c r="J165" s="124"/>
      <c r="K165" s="124"/>
    </row>
    <row r="166" ht="15.75" customHeight="1">
      <c r="B166" s="334"/>
      <c r="E166" s="124"/>
      <c r="F166" s="124"/>
      <c r="G166" s="124"/>
      <c r="H166" s="124"/>
      <c r="I166" s="124"/>
      <c r="J166" s="124"/>
      <c r="K166" s="124"/>
    </row>
    <row r="167" ht="15.75" customHeight="1">
      <c r="B167" s="334"/>
      <c r="E167" s="124"/>
      <c r="F167" s="124"/>
      <c r="G167" s="124"/>
      <c r="H167" s="124"/>
      <c r="I167" s="124"/>
      <c r="J167" s="124"/>
      <c r="K167" s="124"/>
    </row>
    <row r="168" ht="15.75" customHeight="1">
      <c r="B168" s="334"/>
      <c r="E168" s="124"/>
      <c r="F168" s="124"/>
      <c r="G168" s="124"/>
      <c r="H168" s="124"/>
      <c r="I168" s="124"/>
      <c r="J168" s="124"/>
      <c r="K168" s="124"/>
    </row>
    <row r="169" ht="15.75" customHeight="1">
      <c r="B169" s="334"/>
      <c r="E169" s="124"/>
      <c r="F169" s="124"/>
      <c r="G169" s="124"/>
      <c r="H169" s="124"/>
      <c r="I169" s="124"/>
      <c r="J169" s="124"/>
      <c r="K169" s="124"/>
    </row>
    <row r="170" ht="15.75" customHeight="1">
      <c r="B170" s="334"/>
      <c r="E170" s="124"/>
      <c r="F170" s="124"/>
      <c r="G170" s="124"/>
      <c r="H170" s="124"/>
      <c r="I170" s="124"/>
      <c r="J170" s="124"/>
      <c r="K170" s="124"/>
    </row>
    <row r="171" ht="15.75" customHeight="1">
      <c r="B171" s="334"/>
      <c r="E171" s="124"/>
      <c r="F171" s="124"/>
      <c r="G171" s="124"/>
      <c r="H171" s="124"/>
      <c r="I171" s="124"/>
      <c r="J171" s="124"/>
      <c r="K171" s="124"/>
    </row>
    <row r="172" ht="15.75" customHeight="1">
      <c r="B172" s="334"/>
      <c r="E172" s="124"/>
      <c r="F172" s="124"/>
      <c r="G172" s="124"/>
      <c r="H172" s="124"/>
      <c r="I172" s="124"/>
      <c r="J172" s="124"/>
      <c r="K172" s="124"/>
    </row>
    <row r="173" ht="15.75" customHeight="1">
      <c r="B173" s="334"/>
      <c r="E173" s="124"/>
      <c r="F173" s="124"/>
      <c r="G173" s="124"/>
      <c r="H173" s="124"/>
      <c r="I173" s="124"/>
      <c r="J173" s="124"/>
      <c r="K173" s="124"/>
    </row>
    <row r="174" ht="15.75" customHeight="1">
      <c r="B174" s="334"/>
      <c r="E174" s="124"/>
      <c r="F174" s="124"/>
      <c r="G174" s="124"/>
      <c r="H174" s="124"/>
      <c r="I174" s="124"/>
      <c r="J174" s="124"/>
      <c r="K174" s="124"/>
    </row>
    <row r="175" ht="15.75" customHeight="1">
      <c r="B175" s="334"/>
      <c r="E175" s="124"/>
      <c r="F175" s="124"/>
      <c r="G175" s="124"/>
      <c r="H175" s="124"/>
      <c r="I175" s="124"/>
      <c r="J175" s="124"/>
      <c r="K175" s="124"/>
    </row>
    <row r="176" ht="15.75" customHeight="1">
      <c r="B176" s="334"/>
      <c r="E176" s="124"/>
      <c r="F176" s="124"/>
      <c r="G176" s="124"/>
      <c r="H176" s="124"/>
      <c r="I176" s="124"/>
      <c r="J176" s="124"/>
      <c r="K176" s="124"/>
    </row>
    <row r="177" ht="15.75" customHeight="1">
      <c r="B177" s="334"/>
      <c r="E177" s="124"/>
      <c r="F177" s="124"/>
      <c r="G177" s="124"/>
      <c r="H177" s="124"/>
      <c r="I177" s="124"/>
      <c r="J177" s="124"/>
      <c r="K177" s="124"/>
    </row>
    <row r="178" ht="15.75" customHeight="1">
      <c r="B178" s="334"/>
      <c r="E178" s="124"/>
      <c r="F178" s="124"/>
      <c r="G178" s="124"/>
      <c r="H178" s="124"/>
      <c r="I178" s="124"/>
      <c r="J178" s="124"/>
      <c r="K178" s="124"/>
    </row>
    <row r="179" ht="15.75" customHeight="1">
      <c r="B179" s="334"/>
      <c r="E179" s="124"/>
      <c r="F179" s="124"/>
      <c r="G179" s="124"/>
      <c r="H179" s="124"/>
      <c r="I179" s="124"/>
      <c r="J179" s="124"/>
      <c r="K179" s="124"/>
    </row>
    <row r="180" ht="15.75" customHeight="1">
      <c r="B180" s="334"/>
      <c r="E180" s="124"/>
      <c r="F180" s="124"/>
      <c r="G180" s="124"/>
      <c r="H180" s="124"/>
      <c r="I180" s="124"/>
      <c r="J180" s="124"/>
      <c r="K180" s="124"/>
    </row>
    <row r="181" ht="15.75" customHeight="1">
      <c r="B181" s="334"/>
      <c r="E181" s="124"/>
      <c r="F181" s="124"/>
      <c r="G181" s="124"/>
      <c r="H181" s="124"/>
      <c r="I181" s="124"/>
      <c r="J181" s="124"/>
      <c r="K181" s="124"/>
    </row>
    <row r="182" ht="15.75" customHeight="1">
      <c r="B182" s="334"/>
      <c r="E182" s="124"/>
      <c r="F182" s="124"/>
      <c r="G182" s="124"/>
      <c r="H182" s="124"/>
      <c r="I182" s="124"/>
      <c r="J182" s="124"/>
      <c r="K182" s="124"/>
    </row>
    <row r="183" ht="15.75" customHeight="1">
      <c r="B183" s="334"/>
      <c r="E183" s="124"/>
      <c r="F183" s="124"/>
      <c r="G183" s="124"/>
      <c r="H183" s="124"/>
      <c r="I183" s="124"/>
      <c r="J183" s="124"/>
      <c r="K183" s="124"/>
    </row>
    <row r="184" ht="15.75" customHeight="1">
      <c r="B184" s="334"/>
      <c r="E184" s="124"/>
      <c r="F184" s="124"/>
      <c r="G184" s="124"/>
      <c r="H184" s="124"/>
      <c r="I184" s="124"/>
      <c r="J184" s="124"/>
      <c r="K184" s="124"/>
    </row>
    <row r="185" ht="15.75" customHeight="1">
      <c r="B185" s="334"/>
      <c r="E185" s="124"/>
      <c r="F185" s="124"/>
      <c r="G185" s="124"/>
      <c r="H185" s="124"/>
      <c r="I185" s="124"/>
      <c r="J185" s="124"/>
      <c r="K185" s="124"/>
    </row>
    <row r="186" ht="15.75" customHeight="1">
      <c r="B186" s="334"/>
      <c r="E186" s="124"/>
      <c r="F186" s="124"/>
      <c r="G186" s="124"/>
      <c r="H186" s="124"/>
      <c r="I186" s="124"/>
      <c r="J186" s="124"/>
      <c r="K186" s="124"/>
    </row>
    <row r="187" ht="15.75" customHeight="1">
      <c r="B187" s="334"/>
      <c r="E187" s="124"/>
      <c r="F187" s="124"/>
      <c r="G187" s="124"/>
      <c r="H187" s="124"/>
      <c r="I187" s="124"/>
      <c r="J187" s="124"/>
      <c r="K187" s="124"/>
    </row>
    <row r="188" ht="15.75" customHeight="1">
      <c r="B188" s="334"/>
      <c r="E188" s="124"/>
      <c r="F188" s="124"/>
      <c r="G188" s="124"/>
      <c r="H188" s="124"/>
      <c r="I188" s="124"/>
      <c r="J188" s="124"/>
      <c r="K188" s="124"/>
    </row>
    <row r="189" ht="15.75" customHeight="1">
      <c r="B189" s="334"/>
      <c r="E189" s="124"/>
      <c r="F189" s="124"/>
      <c r="G189" s="124"/>
      <c r="H189" s="124"/>
      <c r="I189" s="124"/>
      <c r="J189" s="124"/>
      <c r="K189" s="124"/>
    </row>
    <row r="190" ht="15.75" customHeight="1">
      <c r="B190" s="334"/>
      <c r="E190" s="124"/>
      <c r="F190" s="124"/>
      <c r="G190" s="124"/>
      <c r="H190" s="124"/>
      <c r="I190" s="124"/>
      <c r="J190" s="124"/>
      <c r="K190" s="124"/>
    </row>
    <row r="191" ht="15.75" customHeight="1">
      <c r="B191" s="334"/>
      <c r="E191" s="124"/>
      <c r="F191" s="124"/>
      <c r="G191" s="124"/>
      <c r="H191" s="124"/>
      <c r="I191" s="124"/>
      <c r="J191" s="124"/>
      <c r="K191" s="124"/>
    </row>
    <row r="192" ht="15.75" customHeight="1">
      <c r="B192" s="334"/>
      <c r="E192" s="124"/>
      <c r="F192" s="124"/>
      <c r="G192" s="124"/>
      <c r="H192" s="124"/>
      <c r="I192" s="124"/>
      <c r="J192" s="124"/>
      <c r="K192" s="124"/>
    </row>
    <row r="193" ht="15.75" customHeight="1">
      <c r="B193" s="334"/>
      <c r="E193" s="124"/>
      <c r="F193" s="124"/>
      <c r="G193" s="124"/>
      <c r="H193" s="124"/>
      <c r="I193" s="124"/>
      <c r="J193" s="124"/>
      <c r="K193" s="124"/>
    </row>
    <row r="194" ht="15.75" customHeight="1">
      <c r="B194" s="334"/>
      <c r="E194" s="124"/>
      <c r="F194" s="124"/>
      <c r="G194" s="124"/>
      <c r="H194" s="124"/>
      <c r="I194" s="124"/>
      <c r="J194" s="124"/>
      <c r="K194" s="124"/>
    </row>
    <row r="195" ht="15.75" customHeight="1">
      <c r="B195" s="334"/>
      <c r="E195" s="124"/>
      <c r="F195" s="124"/>
      <c r="G195" s="124"/>
      <c r="H195" s="124"/>
      <c r="I195" s="124"/>
      <c r="J195" s="124"/>
      <c r="K195" s="124"/>
    </row>
    <row r="196" ht="15.75" customHeight="1">
      <c r="B196" s="334"/>
      <c r="E196" s="124"/>
      <c r="F196" s="124"/>
      <c r="G196" s="124"/>
      <c r="H196" s="124"/>
      <c r="I196" s="124"/>
      <c r="J196" s="124"/>
      <c r="K196" s="124"/>
    </row>
    <row r="197" ht="15.75" customHeight="1">
      <c r="B197" s="334"/>
      <c r="E197" s="124"/>
      <c r="F197" s="124"/>
      <c r="G197" s="124"/>
      <c r="H197" s="124"/>
      <c r="I197" s="124"/>
      <c r="J197" s="124"/>
      <c r="K197" s="124"/>
    </row>
    <row r="198" ht="15.75" customHeight="1">
      <c r="B198" s="334"/>
      <c r="E198" s="124"/>
      <c r="F198" s="124"/>
      <c r="G198" s="124"/>
      <c r="H198" s="124"/>
      <c r="I198" s="124"/>
      <c r="J198" s="124"/>
      <c r="K198" s="124"/>
    </row>
    <row r="199" ht="15.75" customHeight="1">
      <c r="B199" s="334"/>
      <c r="E199" s="124"/>
      <c r="F199" s="124"/>
      <c r="G199" s="124"/>
      <c r="H199" s="124"/>
      <c r="I199" s="124"/>
      <c r="J199" s="124"/>
      <c r="K199" s="124"/>
    </row>
    <row r="200" ht="15.75" customHeight="1">
      <c r="B200" s="334"/>
      <c r="E200" s="124"/>
      <c r="F200" s="124"/>
      <c r="G200" s="124"/>
      <c r="H200" s="124"/>
      <c r="I200" s="124"/>
      <c r="J200" s="124"/>
      <c r="K200" s="124"/>
    </row>
    <row r="201" ht="15.75" customHeight="1">
      <c r="B201" s="334"/>
      <c r="E201" s="124"/>
      <c r="F201" s="124"/>
      <c r="G201" s="124"/>
      <c r="H201" s="124"/>
      <c r="I201" s="124"/>
      <c r="J201" s="124"/>
      <c r="K201" s="124"/>
    </row>
    <row r="202" ht="15.75" customHeight="1">
      <c r="B202" s="334"/>
      <c r="E202" s="124"/>
      <c r="F202" s="124"/>
      <c r="G202" s="124"/>
      <c r="H202" s="124"/>
      <c r="I202" s="124"/>
      <c r="J202" s="124"/>
      <c r="K202" s="124"/>
    </row>
    <row r="203" ht="15.75" customHeight="1">
      <c r="B203" s="334"/>
      <c r="E203" s="124"/>
      <c r="F203" s="124"/>
      <c r="G203" s="124"/>
      <c r="H203" s="124"/>
      <c r="I203" s="124"/>
      <c r="J203" s="124"/>
      <c r="K203" s="124"/>
    </row>
    <row r="204" ht="15.75" customHeight="1">
      <c r="B204" s="334"/>
      <c r="E204" s="124"/>
      <c r="F204" s="124"/>
      <c r="G204" s="124"/>
      <c r="H204" s="124"/>
      <c r="I204" s="124"/>
      <c r="J204" s="124"/>
      <c r="K204" s="124"/>
    </row>
    <row r="205" ht="15.75" customHeight="1">
      <c r="B205" s="334"/>
      <c r="E205" s="124"/>
      <c r="F205" s="124"/>
      <c r="G205" s="124"/>
      <c r="H205" s="124"/>
      <c r="I205" s="124"/>
      <c r="J205" s="124"/>
      <c r="K205" s="124"/>
    </row>
    <row r="206" ht="15.75" customHeight="1">
      <c r="B206" s="334"/>
      <c r="E206" s="124"/>
      <c r="F206" s="124"/>
      <c r="G206" s="124"/>
      <c r="H206" s="124"/>
      <c r="I206" s="124"/>
      <c r="J206" s="124"/>
      <c r="K206" s="124"/>
    </row>
    <row r="207" ht="15.75" customHeight="1">
      <c r="B207" s="334"/>
      <c r="E207" s="124"/>
      <c r="F207" s="124"/>
      <c r="G207" s="124"/>
      <c r="H207" s="124"/>
      <c r="I207" s="124"/>
      <c r="J207" s="124"/>
      <c r="K207" s="124"/>
    </row>
    <row r="208" ht="15.75" customHeight="1">
      <c r="B208" s="334"/>
      <c r="E208" s="124"/>
      <c r="F208" s="124"/>
      <c r="G208" s="124"/>
      <c r="H208" s="124"/>
      <c r="I208" s="124"/>
      <c r="J208" s="124"/>
      <c r="K208" s="124"/>
    </row>
    <row r="209" ht="15.75" customHeight="1">
      <c r="B209" s="334"/>
      <c r="E209" s="124"/>
      <c r="F209" s="124"/>
      <c r="G209" s="124"/>
      <c r="H209" s="124"/>
      <c r="I209" s="124"/>
      <c r="J209" s="124"/>
      <c r="K209" s="124"/>
    </row>
    <row r="210" ht="15.75" customHeight="1">
      <c r="B210" s="334"/>
      <c r="E210" s="124"/>
      <c r="F210" s="124"/>
      <c r="G210" s="124"/>
      <c r="H210" s="124"/>
      <c r="I210" s="124"/>
      <c r="J210" s="124"/>
      <c r="K210" s="124"/>
    </row>
    <row r="211" ht="15.75" customHeight="1">
      <c r="B211" s="334"/>
      <c r="E211" s="124"/>
      <c r="F211" s="124"/>
      <c r="G211" s="124"/>
      <c r="H211" s="124"/>
      <c r="I211" s="124"/>
      <c r="J211" s="124"/>
      <c r="K211" s="124"/>
    </row>
    <row r="212" ht="15.75" customHeight="1">
      <c r="B212" s="334"/>
      <c r="E212" s="124"/>
      <c r="F212" s="124"/>
      <c r="G212" s="124"/>
      <c r="H212" s="124"/>
      <c r="I212" s="124"/>
      <c r="J212" s="124"/>
      <c r="K212" s="124"/>
    </row>
    <row r="213" ht="15.75" customHeight="1">
      <c r="B213" s="334"/>
      <c r="E213" s="124"/>
      <c r="F213" s="124"/>
      <c r="G213" s="124"/>
      <c r="H213" s="124"/>
      <c r="I213" s="124"/>
      <c r="J213" s="124"/>
      <c r="K213" s="124"/>
    </row>
    <row r="214" ht="15.75" customHeight="1">
      <c r="B214" s="334"/>
      <c r="E214" s="124"/>
      <c r="F214" s="124"/>
      <c r="G214" s="124"/>
      <c r="H214" s="124"/>
      <c r="I214" s="124"/>
      <c r="J214" s="124"/>
      <c r="K214" s="124"/>
    </row>
    <row r="215" ht="15.75" customHeight="1">
      <c r="B215" s="334"/>
      <c r="E215" s="124"/>
      <c r="F215" s="124"/>
      <c r="G215" s="124"/>
      <c r="H215" s="124"/>
      <c r="I215" s="124"/>
      <c r="J215" s="124"/>
      <c r="K215" s="124"/>
    </row>
    <row r="216" ht="15.75" customHeight="1">
      <c r="B216" s="334"/>
      <c r="E216" s="124"/>
      <c r="F216" s="124"/>
      <c r="G216" s="124"/>
      <c r="H216" s="124"/>
      <c r="I216" s="124"/>
      <c r="J216" s="124"/>
      <c r="K216" s="124"/>
    </row>
    <row r="217" ht="15.75" customHeight="1">
      <c r="B217" s="334"/>
      <c r="E217" s="124"/>
      <c r="F217" s="124"/>
      <c r="G217" s="124"/>
      <c r="H217" s="124"/>
      <c r="I217" s="124"/>
      <c r="J217" s="124"/>
      <c r="K217" s="124"/>
    </row>
    <row r="218" ht="15.75" customHeight="1">
      <c r="B218" s="334"/>
      <c r="E218" s="124"/>
      <c r="F218" s="124"/>
      <c r="G218" s="124"/>
      <c r="H218" s="124"/>
      <c r="I218" s="124"/>
      <c r="J218" s="124"/>
      <c r="K218" s="124"/>
    </row>
    <row r="219" ht="15.75" customHeight="1">
      <c r="B219" s="334"/>
      <c r="E219" s="124"/>
      <c r="F219" s="124"/>
      <c r="G219" s="124"/>
      <c r="H219" s="124"/>
      <c r="I219" s="124"/>
      <c r="J219" s="124"/>
      <c r="K219" s="124"/>
    </row>
    <row r="220" ht="15.75" customHeight="1">
      <c r="B220" s="334"/>
      <c r="E220" s="124"/>
      <c r="F220" s="124"/>
      <c r="G220" s="124"/>
      <c r="H220" s="124"/>
      <c r="I220" s="124"/>
      <c r="J220" s="124"/>
      <c r="K220" s="124"/>
    </row>
    <row r="221" ht="15.75" customHeight="1">
      <c r="B221" s="334"/>
      <c r="E221" s="124"/>
      <c r="F221" s="124"/>
      <c r="G221" s="124"/>
      <c r="H221" s="124"/>
      <c r="I221" s="124"/>
      <c r="J221" s="124"/>
      <c r="K221" s="124"/>
    </row>
    <row r="222" ht="15.75" customHeight="1">
      <c r="B222" s="334"/>
      <c r="E222" s="124"/>
      <c r="F222" s="124"/>
      <c r="G222" s="124"/>
      <c r="H222" s="124"/>
      <c r="I222" s="124"/>
      <c r="J222" s="124"/>
      <c r="K222" s="124"/>
    </row>
    <row r="223" ht="15.75" customHeight="1">
      <c r="B223" s="334"/>
      <c r="E223" s="124"/>
      <c r="F223" s="124"/>
      <c r="G223" s="124"/>
      <c r="H223" s="124"/>
      <c r="I223" s="124"/>
      <c r="J223" s="124"/>
      <c r="K223" s="124"/>
    </row>
    <row r="224" ht="15.75" customHeight="1">
      <c r="B224" s="334"/>
      <c r="E224" s="124"/>
      <c r="F224" s="124"/>
      <c r="G224" s="124"/>
      <c r="H224" s="124"/>
      <c r="I224" s="124"/>
      <c r="J224" s="124"/>
      <c r="K224" s="124"/>
    </row>
    <row r="225" ht="15.75" customHeight="1">
      <c r="B225" s="334"/>
      <c r="E225" s="124"/>
      <c r="F225" s="124"/>
      <c r="G225" s="124"/>
      <c r="H225" s="124"/>
      <c r="I225" s="124"/>
      <c r="J225" s="124"/>
      <c r="K225" s="124"/>
    </row>
    <row r="226" ht="15.75" customHeight="1">
      <c r="B226" s="334"/>
      <c r="E226" s="124"/>
      <c r="F226" s="124"/>
      <c r="G226" s="124"/>
      <c r="H226" s="124"/>
      <c r="I226" s="124"/>
      <c r="J226" s="124"/>
      <c r="K226" s="124"/>
    </row>
    <row r="227" ht="15.75" customHeight="1">
      <c r="B227" s="334"/>
      <c r="E227" s="124"/>
      <c r="F227" s="124"/>
      <c r="G227" s="124"/>
      <c r="H227" s="124"/>
      <c r="I227" s="124"/>
      <c r="J227" s="124"/>
      <c r="K227" s="124"/>
    </row>
    <row r="228" ht="15.75" customHeight="1">
      <c r="B228" s="334"/>
      <c r="E228" s="124"/>
      <c r="F228" s="124"/>
      <c r="G228" s="124"/>
      <c r="H228" s="124"/>
      <c r="I228" s="124"/>
      <c r="J228" s="124"/>
      <c r="K228" s="124"/>
    </row>
    <row r="229" ht="15.75" customHeight="1">
      <c r="B229" s="334"/>
      <c r="E229" s="124"/>
      <c r="F229" s="124"/>
      <c r="G229" s="124"/>
      <c r="H229" s="124"/>
      <c r="I229" s="124"/>
      <c r="J229" s="124"/>
      <c r="K229" s="124"/>
    </row>
    <row r="230" ht="15.75" customHeight="1">
      <c r="B230" s="334"/>
      <c r="E230" s="124"/>
      <c r="F230" s="124"/>
      <c r="G230" s="124"/>
      <c r="H230" s="124"/>
      <c r="I230" s="124"/>
      <c r="J230" s="124"/>
      <c r="K230" s="124"/>
    </row>
    <row r="231" ht="15.75" customHeight="1">
      <c r="B231" s="334"/>
      <c r="E231" s="124"/>
      <c r="F231" s="124"/>
      <c r="G231" s="124"/>
      <c r="H231" s="124"/>
      <c r="I231" s="124"/>
      <c r="J231" s="124"/>
      <c r="K231" s="124"/>
    </row>
    <row r="232" ht="15.75" customHeight="1">
      <c r="B232" s="334"/>
      <c r="E232" s="124"/>
      <c r="F232" s="124"/>
      <c r="G232" s="124"/>
      <c r="H232" s="124"/>
      <c r="I232" s="124"/>
      <c r="J232" s="124"/>
      <c r="K232" s="124"/>
    </row>
    <row r="233" ht="15.75" customHeight="1">
      <c r="B233" s="334"/>
      <c r="E233" s="124"/>
      <c r="F233" s="124"/>
      <c r="G233" s="124"/>
      <c r="H233" s="124"/>
      <c r="I233" s="124"/>
      <c r="J233" s="124"/>
      <c r="K233" s="124"/>
    </row>
    <row r="234" ht="15.75" customHeight="1">
      <c r="B234" s="334"/>
      <c r="E234" s="124"/>
      <c r="F234" s="124"/>
      <c r="G234" s="124"/>
      <c r="H234" s="124"/>
      <c r="I234" s="124"/>
      <c r="J234" s="124"/>
      <c r="K234" s="124"/>
    </row>
    <row r="235" ht="15.75" customHeight="1">
      <c r="B235" s="334"/>
      <c r="E235" s="124"/>
      <c r="F235" s="124"/>
      <c r="G235" s="124"/>
      <c r="H235" s="124"/>
      <c r="I235" s="124"/>
      <c r="J235" s="124"/>
      <c r="K235" s="124"/>
    </row>
    <row r="236" ht="15.75" customHeight="1">
      <c r="B236" s="334"/>
      <c r="E236" s="124"/>
      <c r="F236" s="124"/>
      <c r="G236" s="124"/>
      <c r="H236" s="124"/>
      <c r="I236" s="124"/>
      <c r="J236" s="124"/>
      <c r="K236" s="124"/>
    </row>
    <row r="237" ht="15.75" customHeight="1">
      <c r="B237" s="334"/>
      <c r="E237" s="124"/>
      <c r="F237" s="124"/>
      <c r="G237" s="124"/>
      <c r="H237" s="124"/>
      <c r="I237" s="124"/>
      <c r="J237" s="124"/>
      <c r="K237" s="124"/>
    </row>
    <row r="238" ht="15.75" customHeight="1">
      <c r="B238" s="334"/>
      <c r="E238" s="124"/>
      <c r="F238" s="124"/>
      <c r="G238" s="124"/>
      <c r="H238" s="124"/>
      <c r="I238" s="124"/>
      <c r="J238" s="124"/>
      <c r="K238" s="124"/>
    </row>
    <row r="239" ht="15.75" customHeight="1">
      <c r="B239" s="334"/>
      <c r="E239" s="124"/>
      <c r="F239" s="124"/>
      <c r="G239" s="124"/>
      <c r="H239" s="124"/>
      <c r="I239" s="124"/>
      <c r="J239" s="124"/>
      <c r="K239" s="124"/>
    </row>
    <row r="240" ht="15.75" customHeight="1">
      <c r="B240" s="334"/>
      <c r="E240" s="124"/>
      <c r="F240" s="124"/>
      <c r="G240" s="124"/>
      <c r="H240" s="124"/>
      <c r="I240" s="124"/>
      <c r="J240" s="124"/>
      <c r="K240" s="124"/>
    </row>
    <row r="241" ht="15.75" customHeight="1">
      <c r="B241" s="334"/>
      <c r="E241" s="124"/>
      <c r="F241" s="124"/>
      <c r="G241" s="124"/>
      <c r="H241" s="124"/>
      <c r="I241" s="124"/>
      <c r="J241" s="124"/>
      <c r="K241" s="124"/>
    </row>
    <row r="242" ht="15.75" customHeight="1">
      <c r="B242" s="334"/>
      <c r="E242" s="124"/>
      <c r="F242" s="124"/>
      <c r="G242" s="124"/>
      <c r="H242" s="124"/>
      <c r="I242" s="124"/>
      <c r="J242" s="124"/>
      <c r="K242" s="124"/>
    </row>
    <row r="243" ht="15.75" customHeight="1">
      <c r="B243" s="334"/>
      <c r="E243" s="124"/>
      <c r="F243" s="124"/>
      <c r="G243" s="124"/>
      <c r="H243" s="124"/>
      <c r="I243" s="124"/>
      <c r="J243" s="124"/>
      <c r="K243" s="124"/>
    </row>
    <row r="244" ht="15.75" customHeight="1">
      <c r="B244" s="334"/>
      <c r="E244" s="124"/>
      <c r="F244" s="124"/>
      <c r="G244" s="124"/>
      <c r="H244" s="124"/>
      <c r="I244" s="124"/>
      <c r="J244" s="124"/>
      <c r="K244" s="124"/>
    </row>
    <row r="245" ht="15.75" customHeight="1">
      <c r="B245" s="334"/>
      <c r="E245" s="124"/>
      <c r="F245" s="124"/>
      <c r="G245" s="124"/>
      <c r="H245" s="124"/>
      <c r="I245" s="124"/>
      <c r="J245" s="124"/>
      <c r="K245" s="124"/>
    </row>
    <row r="246" ht="15.75" customHeight="1">
      <c r="B246" s="334"/>
      <c r="E246" s="124"/>
      <c r="F246" s="124"/>
      <c r="G246" s="124"/>
      <c r="H246" s="124"/>
      <c r="I246" s="124"/>
      <c r="J246" s="124"/>
      <c r="K246" s="124"/>
    </row>
    <row r="247" ht="15.75" customHeight="1">
      <c r="B247" s="334"/>
      <c r="E247" s="124"/>
      <c r="F247" s="124"/>
      <c r="G247" s="124"/>
      <c r="H247" s="124"/>
      <c r="I247" s="124"/>
      <c r="J247" s="124"/>
      <c r="K247" s="124"/>
    </row>
    <row r="248" ht="15.75" customHeight="1">
      <c r="B248" s="334"/>
      <c r="E248" s="124"/>
      <c r="F248" s="124"/>
      <c r="G248" s="124"/>
      <c r="H248" s="124"/>
      <c r="I248" s="124"/>
      <c r="J248" s="124"/>
      <c r="K248" s="124"/>
    </row>
    <row r="249" ht="15.75" customHeight="1">
      <c r="B249" s="334"/>
      <c r="E249" s="124"/>
      <c r="F249" s="124"/>
      <c r="G249" s="124"/>
      <c r="H249" s="124"/>
      <c r="I249" s="124"/>
      <c r="J249" s="124"/>
      <c r="K249" s="124"/>
    </row>
    <row r="250" ht="15.75" customHeight="1">
      <c r="B250" s="334"/>
      <c r="E250" s="124"/>
      <c r="F250" s="124"/>
      <c r="G250" s="124"/>
      <c r="H250" s="124"/>
      <c r="I250" s="124"/>
      <c r="J250" s="124"/>
      <c r="K250" s="124"/>
    </row>
    <row r="251" ht="15.75" customHeight="1">
      <c r="B251" s="334"/>
      <c r="E251" s="124"/>
      <c r="F251" s="124"/>
      <c r="G251" s="124"/>
      <c r="H251" s="124"/>
      <c r="I251" s="124"/>
      <c r="J251" s="124"/>
      <c r="K251" s="124"/>
    </row>
    <row r="252" ht="15.75" customHeight="1">
      <c r="B252" s="334"/>
      <c r="E252" s="124"/>
      <c r="F252" s="124"/>
      <c r="G252" s="124"/>
      <c r="H252" s="124"/>
      <c r="I252" s="124"/>
      <c r="J252" s="124"/>
      <c r="K252" s="124"/>
    </row>
    <row r="253" ht="15.75" customHeight="1">
      <c r="B253" s="334"/>
      <c r="E253" s="124"/>
      <c r="F253" s="124"/>
      <c r="G253" s="124"/>
      <c r="H253" s="124"/>
      <c r="I253" s="124"/>
      <c r="J253" s="124"/>
      <c r="K253" s="124"/>
    </row>
    <row r="254" ht="15.75" customHeight="1">
      <c r="B254" s="334"/>
      <c r="E254" s="124"/>
      <c r="F254" s="124"/>
      <c r="G254" s="124"/>
      <c r="H254" s="124"/>
      <c r="I254" s="124"/>
      <c r="J254" s="124"/>
      <c r="K254" s="124"/>
    </row>
    <row r="255" ht="15.75" customHeight="1">
      <c r="B255" s="334"/>
      <c r="E255" s="124"/>
      <c r="F255" s="124"/>
      <c r="G255" s="124"/>
      <c r="H255" s="124"/>
      <c r="I255" s="124"/>
      <c r="J255" s="124"/>
      <c r="K255" s="124"/>
    </row>
    <row r="256" ht="15.75" customHeight="1">
      <c r="B256" s="334"/>
      <c r="E256" s="124"/>
      <c r="F256" s="124"/>
      <c r="G256" s="124"/>
      <c r="H256" s="124"/>
      <c r="I256" s="124"/>
      <c r="J256" s="124"/>
      <c r="K256" s="124"/>
    </row>
    <row r="257" ht="15.75" customHeight="1">
      <c r="B257" s="334"/>
      <c r="E257" s="124"/>
      <c r="F257" s="124"/>
      <c r="G257" s="124"/>
      <c r="H257" s="124"/>
      <c r="I257" s="124"/>
      <c r="J257" s="124"/>
      <c r="K257" s="124"/>
    </row>
    <row r="258" ht="15.75" customHeight="1">
      <c r="B258" s="334"/>
      <c r="E258" s="124"/>
      <c r="F258" s="124"/>
      <c r="G258" s="124"/>
      <c r="H258" s="124"/>
      <c r="I258" s="124"/>
      <c r="J258" s="124"/>
      <c r="K258" s="124"/>
    </row>
    <row r="259" ht="15.75" customHeight="1">
      <c r="B259" s="334"/>
      <c r="E259" s="124"/>
      <c r="F259" s="124"/>
      <c r="G259" s="124"/>
      <c r="H259" s="124"/>
      <c r="I259" s="124"/>
      <c r="J259" s="124"/>
      <c r="K259" s="124"/>
    </row>
    <row r="260" ht="15.75" customHeight="1">
      <c r="B260" s="334"/>
      <c r="E260" s="124"/>
      <c r="F260" s="124"/>
      <c r="G260" s="124"/>
      <c r="H260" s="124"/>
      <c r="I260" s="124"/>
      <c r="J260" s="124"/>
      <c r="K260" s="124"/>
    </row>
    <row r="261" ht="15.75" customHeight="1">
      <c r="B261" s="334"/>
      <c r="E261" s="124"/>
      <c r="F261" s="124"/>
      <c r="G261" s="124"/>
      <c r="H261" s="124"/>
      <c r="I261" s="124"/>
      <c r="J261" s="124"/>
      <c r="K261" s="124"/>
    </row>
    <row r="262" ht="15.75" customHeight="1">
      <c r="B262" s="334"/>
      <c r="E262" s="124"/>
      <c r="F262" s="124"/>
      <c r="G262" s="124"/>
      <c r="H262" s="124"/>
      <c r="I262" s="124"/>
      <c r="J262" s="124"/>
      <c r="K262" s="124"/>
    </row>
    <row r="263" ht="15.75" customHeight="1">
      <c r="B263" s="334"/>
      <c r="E263" s="124"/>
      <c r="F263" s="124"/>
      <c r="G263" s="124"/>
      <c r="H263" s="124"/>
      <c r="I263" s="124"/>
      <c r="J263" s="124"/>
      <c r="K263" s="124"/>
    </row>
    <row r="264" ht="15.75" customHeight="1">
      <c r="B264" s="334"/>
      <c r="E264" s="124"/>
      <c r="F264" s="124"/>
      <c r="G264" s="124"/>
      <c r="H264" s="124"/>
      <c r="I264" s="124"/>
      <c r="J264" s="124"/>
      <c r="K264" s="124"/>
    </row>
    <row r="265" ht="15.75" customHeight="1">
      <c r="B265" s="334"/>
      <c r="E265" s="124"/>
      <c r="F265" s="124"/>
      <c r="G265" s="124"/>
      <c r="H265" s="124"/>
      <c r="I265" s="124"/>
      <c r="J265" s="124"/>
      <c r="K265" s="124"/>
    </row>
    <row r="266" ht="15.75" customHeight="1">
      <c r="B266" s="334"/>
      <c r="E266" s="124"/>
      <c r="F266" s="124"/>
      <c r="G266" s="124"/>
      <c r="H266" s="124"/>
      <c r="I266" s="124"/>
      <c r="J266" s="124"/>
      <c r="K266" s="124"/>
    </row>
    <row r="267" ht="15.75" customHeight="1">
      <c r="B267" s="334"/>
      <c r="E267" s="124"/>
      <c r="F267" s="124"/>
      <c r="G267" s="124"/>
      <c r="H267" s="124"/>
      <c r="I267" s="124"/>
      <c r="J267" s="124"/>
      <c r="K267" s="124"/>
    </row>
    <row r="268" ht="15.75" customHeight="1">
      <c r="B268" s="334"/>
      <c r="E268" s="124"/>
      <c r="F268" s="124"/>
      <c r="G268" s="124"/>
      <c r="H268" s="124"/>
      <c r="I268" s="124"/>
      <c r="J268" s="124"/>
      <c r="K268" s="124"/>
    </row>
    <row r="269" ht="15.75" customHeight="1">
      <c r="B269" s="334"/>
      <c r="E269" s="124"/>
      <c r="F269" s="124"/>
      <c r="G269" s="124"/>
      <c r="H269" s="124"/>
      <c r="I269" s="124"/>
      <c r="J269" s="124"/>
      <c r="K269" s="124"/>
    </row>
    <row r="270" ht="15.75" customHeight="1">
      <c r="B270" s="334"/>
      <c r="E270" s="124"/>
      <c r="F270" s="124"/>
      <c r="G270" s="124"/>
      <c r="H270" s="124"/>
      <c r="I270" s="124"/>
      <c r="J270" s="124"/>
      <c r="K270" s="124"/>
    </row>
    <row r="271" ht="15.75" customHeight="1">
      <c r="B271" s="334"/>
      <c r="E271" s="124"/>
      <c r="F271" s="124"/>
      <c r="G271" s="124"/>
      <c r="H271" s="124"/>
      <c r="I271" s="124"/>
      <c r="J271" s="124"/>
      <c r="K271" s="124"/>
    </row>
    <row r="272" ht="15.75" customHeight="1">
      <c r="B272" s="334"/>
      <c r="E272" s="124"/>
      <c r="F272" s="124"/>
      <c r="G272" s="124"/>
      <c r="H272" s="124"/>
      <c r="I272" s="124"/>
      <c r="J272" s="124"/>
      <c r="K272" s="124"/>
    </row>
    <row r="273" ht="15.75" customHeight="1">
      <c r="B273" s="334"/>
      <c r="E273" s="124"/>
      <c r="F273" s="124"/>
      <c r="G273" s="124"/>
      <c r="H273" s="124"/>
      <c r="I273" s="124"/>
      <c r="J273" s="124"/>
      <c r="K273" s="124"/>
    </row>
    <row r="274" ht="15.75" customHeight="1">
      <c r="B274" s="334"/>
      <c r="E274" s="124"/>
      <c r="F274" s="124"/>
      <c r="G274" s="124"/>
      <c r="H274" s="124"/>
      <c r="I274" s="124"/>
      <c r="J274" s="124"/>
      <c r="K274" s="124"/>
    </row>
    <row r="275" ht="15.75" customHeight="1">
      <c r="B275" s="334"/>
      <c r="E275" s="124"/>
      <c r="F275" s="124"/>
      <c r="G275" s="124"/>
      <c r="H275" s="124"/>
      <c r="I275" s="124"/>
      <c r="J275" s="124"/>
      <c r="K275" s="124"/>
    </row>
    <row r="276" ht="15.75" customHeight="1">
      <c r="B276" s="334"/>
      <c r="E276" s="124"/>
      <c r="F276" s="124"/>
      <c r="G276" s="124"/>
      <c r="H276" s="124"/>
      <c r="I276" s="124"/>
      <c r="J276" s="124"/>
      <c r="K276" s="124"/>
    </row>
    <row r="277" ht="15.75" customHeight="1">
      <c r="B277" s="334"/>
      <c r="E277" s="124"/>
      <c r="F277" s="124"/>
      <c r="G277" s="124"/>
      <c r="H277" s="124"/>
      <c r="I277" s="124"/>
      <c r="J277" s="124"/>
      <c r="K277" s="124"/>
    </row>
    <row r="278" ht="15.75" customHeight="1">
      <c r="B278" s="334"/>
      <c r="E278" s="124"/>
      <c r="F278" s="124"/>
      <c r="G278" s="124"/>
      <c r="H278" s="124"/>
      <c r="I278" s="124"/>
      <c r="J278" s="124"/>
      <c r="K278" s="124"/>
    </row>
    <row r="279" ht="15.75" customHeight="1">
      <c r="B279" s="334"/>
      <c r="E279" s="124"/>
      <c r="F279" s="124"/>
      <c r="G279" s="124"/>
      <c r="H279" s="124"/>
      <c r="I279" s="124"/>
      <c r="J279" s="124"/>
      <c r="K279" s="124"/>
    </row>
    <row r="280" ht="15.75" customHeight="1">
      <c r="B280" s="334"/>
      <c r="E280" s="124"/>
      <c r="F280" s="124"/>
      <c r="G280" s="124"/>
      <c r="H280" s="124"/>
      <c r="I280" s="124"/>
      <c r="J280" s="124"/>
      <c r="K280" s="124"/>
    </row>
    <row r="281" ht="15.75" customHeight="1">
      <c r="B281" s="334"/>
      <c r="E281" s="124"/>
      <c r="F281" s="124"/>
      <c r="G281" s="124"/>
      <c r="H281" s="124"/>
      <c r="I281" s="124"/>
      <c r="J281" s="124"/>
      <c r="K281" s="124"/>
    </row>
    <row r="282" ht="15.75" customHeight="1">
      <c r="B282" s="334"/>
      <c r="E282" s="124"/>
      <c r="F282" s="124"/>
      <c r="G282" s="124"/>
      <c r="H282" s="124"/>
      <c r="I282" s="124"/>
      <c r="J282" s="124"/>
      <c r="K282" s="124"/>
    </row>
    <row r="283" ht="15.75" customHeight="1">
      <c r="B283" s="334"/>
      <c r="E283" s="124"/>
      <c r="F283" s="124"/>
      <c r="G283" s="124"/>
      <c r="H283" s="124"/>
      <c r="I283" s="124"/>
      <c r="J283" s="124"/>
      <c r="K283" s="124"/>
    </row>
    <row r="284" ht="15.75" customHeight="1">
      <c r="B284" s="334"/>
      <c r="E284" s="124"/>
      <c r="F284" s="124"/>
      <c r="G284" s="124"/>
      <c r="H284" s="124"/>
      <c r="I284" s="124"/>
      <c r="J284" s="124"/>
      <c r="K284" s="124"/>
    </row>
    <row r="285" ht="15.75" customHeight="1">
      <c r="B285" s="334"/>
      <c r="E285" s="124"/>
      <c r="F285" s="124"/>
      <c r="G285" s="124"/>
      <c r="H285" s="124"/>
      <c r="I285" s="124"/>
      <c r="J285" s="124"/>
      <c r="K285" s="124"/>
    </row>
    <row r="286" ht="15.75" customHeight="1">
      <c r="B286" s="334"/>
      <c r="E286" s="124"/>
      <c r="F286" s="124"/>
      <c r="G286" s="124"/>
      <c r="H286" s="124"/>
      <c r="I286" s="124"/>
      <c r="J286" s="124"/>
      <c r="K286" s="124"/>
    </row>
    <row r="287" ht="15.75" customHeight="1">
      <c r="B287" s="334"/>
      <c r="E287" s="124"/>
      <c r="F287" s="124"/>
      <c r="G287" s="124"/>
      <c r="H287" s="124"/>
      <c r="I287" s="124"/>
      <c r="J287" s="124"/>
      <c r="K287" s="124"/>
    </row>
    <row r="288" ht="15.75" customHeight="1">
      <c r="B288" s="334"/>
      <c r="E288" s="124"/>
      <c r="F288" s="124"/>
      <c r="G288" s="124"/>
      <c r="H288" s="124"/>
      <c r="I288" s="124"/>
      <c r="J288" s="124"/>
      <c r="K288" s="124"/>
    </row>
    <row r="289" ht="15.75" customHeight="1">
      <c r="B289" s="334"/>
      <c r="E289" s="124"/>
      <c r="F289" s="124"/>
      <c r="G289" s="124"/>
      <c r="H289" s="124"/>
      <c r="I289" s="124"/>
      <c r="J289" s="124"/>
      <c r="K289" s="124"/>
    </row>
    <row r="290" ht="15.75" customHeight="1">
      <c r="B290" s="334"/>
      <c r="E290" s="124"/>
      <c r="F290" s="124"/>
      <c r="G290" s="124"/>
      <c r="H290" s="124"/>
      <c r="I290" s="124"/>
      <c r="J290" s="124"/>
      <c r="K290" s="124"/>
    </row>
    <row r="291" ht="15.75" customHeight="1">
      <c r="B291" s="334"/>
      <c r="E291" s="124"/>
      <c r="F291" s="124"/>
      <c r="G291" s="124"/>
      <c r="H291" s="124"/>
      <c r="I291" s="124"/>
      <c r="J291" s="124"/>
      <c r="K291" s="124"/>
    </row>
    <row r="292" ht="15.75" customHeight="1">
      <c r="B292" s="334"/>
      <c r="E292" s="124"/>
      <c r="F292" s="124"/>
      <c r="G292" s="124"/>
      <c r="H292" s="124"/>
      <c r="I292" s="124"/>
      <c r="J292" s="124"/>
      <c r="K292" s="124"/>
    </row>
    <row r="293" ht="15.75" customHeight="1">
      <c r="B293" s="334"/>
      <c r="E293" s="124"/>
      <c r="F293" s="124"/>
      <c r="G293" s="124"/>
      <c r="H293" s="124"/>
      <c r="I293" s="124"/>
      <c r="J293" s="124"/>
      <c r="K293" s="124"/>
    </row>
    <row r="294" ht="15.75" customHeight="1">
      <c r="B294" s="334"/>
      <c r="E294" s="124"/>
      <c r="F294" s="124"/>
      <c r="G294" s="124"/>
      <c r="H294" s="124"/>
      <c r="I294" s="124"/>
      <c r="J294" s="124"/>
      <c r="K294" s="124"/>
    </row>
    <row r="295" ht="15.75" customHeight="1">
      <c r="B295" s="334"/>
      <c r="E295" s="124"/>
      <c r="F295" s="124"/>
      <c r="G295" s="124"/>
      <c r="H295" s="124"/>
      <c r="I295" s="124"/>
      <c r="J295" s="124"/>
      <c r="K295" s="124"/>
    </row>
    <row r="296" ht="15.75" customHeight="1">
      <c r="B296" s="334"/>
      <c r="E296" s="124"/>
      <c r="F296" s="124"/>
      <c r="G296" s="124"/>
      <c r="H296" s="124"/>
      <c r="I296" s="124"/>
      <c r="J296" s="124"/>
      <c r="K296" s="124"/>
    </row>
    <row r="297" ht="15.75" customHeight="1">
      <c r="B297" s="334"/>
      <c r="E297" s="124"/>
      <c r="F297" s="124"/>
      <c r="G297" s="124"/>
      <c r="H297" s="124"/>
      <c r="I297" s="124"/>
      <c r="J297" s="124"/>
      <c r="K297" s="124"/>
    </row>
    <row r="298" ht="15.75" customHeight="1">
      <c r="B298" s="334"/>
      <c r="E298" s="124"/>
      <c r="F298" s="124"/>
      <c r="G298" s="124"/>
      <c r="H298" s="124"/>
      <c r="I298" s="124"/>
      <c r="J298" s="124"/>
      <c r="K298" s="124"/>
    </row>
    <row r="299" ht="15.75" customHeight="1">
      <c r="B299" s="334"/>
      <c r="E299" s="124"/>
      <c r="F299" s="124"/>
      <c r="G299" s="124"/>
      <c r="H299" s="124"/>
      <c r="I299" s="124"/>
      <c r="J299" s="124"/>
      <c r="K299" s="124"/>
    </row>
    <row r="300" ht="15.75" customHeight="1">
      <c r="B300" s="334"/>
      <c r="E300" s="124"/>
      <c r="F300" s="124"/>
      <c r="G300" s="124"/>
      <c r="H300" s="124"/>
      <c r="I300" s="124"/>
      <c r="J300" s="124"/>
      <c r="K300" s="124"/>
    </row>
    <row r="301" ht="15.75" customHeight="1">
      <c r="B301" s="334"/>
      <c r="E301" s="124"/>
      <c r="F301" s="124"/>
      <c r="G301" s="124"/>
      <c r="H301" s="124"/>
      <c r="I301" s="124"/>
      <c r="J301" s="124"/>
      <c r="K301" s="124"/>
    </row>
    <row r="302" ht="15.75" customHeight="1">
      <c r="B302" s="334"/>
      <c r="E302" s="124"/>
      <c r="F302" s="124"/>
      <c r="G302" s="124"/>
      <c r="H302" s="124"/>
      <c r="I302" s="124"/>
      <c r="J302" s="124"/>
      <c r="K302" s="124"/>
    </row>
    <row r="303" ht="15.75" customHeight="1">
      <c r="B303" s="334"/>
      <c r="E303" s="124"/>
      <c r="F303" s="124"/>
      <c r="G303" s="124"/>
      <c r="H303" s="124"/>
      <c r="I303" s="124"/>
      <c r="J303" s="124"/>
      <c r="K303" s="124"/>
    </row>
    <row r="304" ht="15.75" customHeight="1">
      <c r="B304" s="334"/>
      <c r="E304" s="124"/>
      <c r="F304" s="124"/>
      <c r="G304" s="124"/>
      <c r="H304" s="124"/>
      <c r="I304" s="124"/>
      <c r="J304" s="124"/>
      <c r="K304" s="124"/>
    </row>
    <row r="305" ht="15.75" customHeight="1">
      <c r="B305" s="334"/>
      <c r="E305" s="124"/>
      <c r="F305" s="124"/>
      <c r="G305" s="124"/>
      <c r="H305" s="124"/>
      <c r="I305" s="124"/>
      <c r="J305" s="124"/>
      <c r="K305" s="124"/>
    </row>
    <row r="306" ht="15.75" customHeight="1">
      <c r="B306" s="334"/>
      <c r="E306" s="124"/>
      <c r="F306" s="124"/>
      <c r="G306" s="124"/>
      <c r="H306" s="124"/>
      <c r="I306" s="124"/>
      <c r="J306" s="124"/>
      <c r="K306" s="124"/>
    </row>
    <row r="307" ht="15.75" customHeight="1">
      <c r="B307" s="334"/>
      <c r="E307" s="124"/>
      <c r="F307" s="124"/>
      <c r="G307" s="124"/>
      <c r="H307" s="124"/>
      <c r="I307" s="124"/>
      <c r="J307" s="124"/>
      <c r="K307" s="124"/>
    </row>
    <row r="308" ht="15.75" customHeight="1">
      <c r="B308" s="334"/>
      <c r="E308" s="124"/>
      <c r="F308" s="124"/>
      <c r="G308" s="124"/>
      <c r="H308" s="124"/>
      <c r="I308" s="124"/>
      <c r="J308" s="124"/>
      <c r="K308" s="124"/>
    </row>
    <row r="309" ht="15.75" customHeight="1">
      <c r="B309" s="334"/>
      <c r="E309" s="124"/>
      <c r="F309" s="124"/>
      <c r="G309" s="124"/>
      <c r="H309" s="124"/>
      <c r="I309" s="124"/>
      <c r="J309" s="124"/>
      <c r="K309" s="124"/>
    </row>
    <row r="310" ht="15.75" customHeight="1">
      <c r="B310" s="334"/>
      <c r="E310" s="124"/>
      <c r="F310" s="124"/>
      <c r="G310" s="124"/>
      <c r="H310" s="124"/>
      <c r="I310" s="124"/>
      <c r="J310" s="124"/>
      <c r="K310" s="124"/>
    </row>
    <row r="311" ht="15.75" customHeight="1">
      <c r="B311" s="334"/>
      <c r="E311" s="124"/>
      <c r="F311" s="124"/>
      <c r="G311" s="124"/>
      <c r="H311" s="124"/>
      <c r="I311" s="124"/>
      <c r="J311" s="124"/>
      <c r="K311" s="124"/>
    </row>
    <row r="312" ht="15.75" customHeight="1">
      <c r="B312" s="334"/>
      <c r="E312" s="124"/>
      <c r="F312" s="124"/>
      <c r="G312" s="124"/>
      <c r="H312" s="124"/>
      <c r="I312" s="124"/>
      <c r="J312" s="124"/>
      <c r="K312" s="124"/>
    </row>
    <row r="313" ht="15.75" customHeight="1">
      <c r="B313" s="334"/>
      <c r="E313" s="124"/>
      <c r="F313" s="124"/>
      <c r="G313" s="124"/>
      <c r="H313" s="124"/>
      <c r="I313" s="124"/>
      <c r="J313" s="124"/>
      <c r="K313" s="124"/>
    </row>
    <row r="314" ht="15.75" customHeight="1">
      <c r="B314" s="334"/>
      <c r="E314" s="124"/>
      <c r="F314" s="124"/>
      <c r="G314" s="124"/>
      <c r="H314" s="124"/>
      <c r="I314" s="124"/>
      <c r="J314" s="124"/>
      <c r="K314" s="124"/>
    </row>
    <row r="315" ht="15.75" customHeight="1">
      <c r="B315" s="334"/>
      <c r="E315" s="124"/>
      <c r="F315" s="124"/>
      <c r="G315" s="124"/>
      <c r="H315" s="124"/>
      <c r="I315" s="124"/>
      <c r="J315" s="124"/>
      <c r="K315" s="124"/>
    </row>
    <row r="316" ht="15.75" customHeight="1">
      <c r="B316" s="334"/>
      <c r="E316" s="124"/>
      <c r="F316" s="124"/>
      <c r="G316" s="124"/>
      <c r="H316" s="124"/>
      <c r="I316" s="124"/>
      <c r="J316" s="124"/>
      <c r="K316" s="124"/>
    </row>
    <row r="317" ht="15.75" customHeight="1">
      <c r="B317" s="334"/>
      <c r="E317" s="124"/>
      <c r="F317" s="124"/>
      <c r="G317" s="124"/>
      <c r="H317" s="124"/>
      <c r="I317" s="124"/>
      <c r="J317" s="124"/>
      <c r="K317" s="124"/>
    </row>
    <row r="318" ht="15.75" customHeight="1">
      <c r="B318" s="334"/>
      <c r="E318" s="124"/>
      <c r="F318" s="124"/>
      <c r="G318" s="124"/>
      <c r="H318" s="124"/>
      <c r="I318" s="124"/>
      <c r="J318" s="124"/>
      <c r="K318" s="124"/>
    </row>
    <row r="319" ht="15.75" customHeight="1">
      <c r="B319" s="334"/>
      <c r="E319" s="124"/>
      <c r="F319" s="124"/>
      <c r="G319" s="124"/>
      <c r="H319" s="124"/>
      <c r="I319" s="124"/>
      <c r="J319" s="124"/>
      <c r="K319" s="124"/>
    </row>
    <row r="320" ht="15.75" customHeight="1">
      <c r="B320" s="334"/>
      <c r="E320" s="124"/>
      <c r="F320" s="124"/>
      <c r="G320" s="124"/>
      <c r="H320" s="124"/>
      <c r="I320" s="124"/>
      <c r="J320" s="124"/>
      <c r="K320" s="124"/>
    </row>
    <row r="321" ht="15.75" customHeight="1">
      <c r="B321" s="334"/>
      <c r="E321" s="124"/>
      <c r="F321" s="124"/>
      <c r="G321" s="124"/>
      <c r="H321" s="124"/>
      <c r="I321" s="124"/>
      <c r="J321" s="124"/>
      <c r="K321" s="124"/>
    </row>
    <row r="322" ht="15.75" customHeight="1">
      <c r="B322" s="334"/>
      <c r="E322" s="124"/>
      <c r="F322" s="124"/>
      <c r="G322" s="124"/>
      <c r="H322" s="124"/>
      <c r="I322" s="124"/>
      <c r="J322" s="124"/>
      <c r="K322" s="124"/>
    </row>
    <row r="323" ht="15.75" customHeight="1">
      <c r="B323" s="334"/>
      <c r="E323" s="124"/>
      <c r="F323" s="124"/>
      <c r="G323" s="124"/>
      <c r="H323" s="124"/>
      <c r="I323" s="124"/>
      <c r="J323" s="124"/>
      <c r="K323" s="124"/>
    </row>
    <row r="324" ht="15.75" customHeight="1">
      <c r="B324" s="334"/>
      <c r="E324" s="124"/>
      <c r="F324" s="124"/>
      <c r="G324" s="124"/>
      <c r="H324" s="124"/>
      <c r="I324" s="124"/>
      <c r="J324" s="124"/>
      <c r="K324" s="124"/>
    </row>
    <row r="325" ht="15.75" customHeight="1">
      <c r="B325" s="334"/>
      <c r="E325" s="124"/>
      <c r="F325" s="124"/>
      <c r="G325" s="124"/>
      <c r="H325" s="124"/>
      <c r="I325" s="124"/>
      <c r="J325" s="124"/>
      <c r="K325" s="124"/>
    </row>
    <row r="326" ht="15.75" customHeight="1">
      <c r="B326" s="334"/>
      <c r="E326" s="124"/>
      <c r="F326" s="124"/>
      <c r="G326" s="124"/>
      <c r="H326" s="124"/>
      <c r="I326" s="124"/>
      <c r="J326" s="124"/>
      <c r="K326" s="124"/>
    </row>
    <row r="327" ht="15.75" customHeight="1">
      <c r="B327" s="334"/>
      <c r="E327" s="124"/>
      <c r="F327" s="124"/>
      <c r="G327" s="124"/>
      <c r="H327" s="124"/>
      <c r="I327" s="124"/>
      <c r="J327" s="124"/>
      <c r="K327" s="124"/>
    </row>
    <row r="328" ht="15.75" customHeight="1">
      <c r="B328" s="334"/>
      <c r="E328" s="124"/>
      <c r="F328" s="124"/>
      <c r="G328" s="124"/>
      <c r="H328" s="124"/>
      <c r="I328" s="124"/>
      <c r="J328" s="124"/>
      <c r="K328" s="124"/>
    </row>
    <row r="329" ht="15.75" customHeight="1">
      <c r="B329" s="334"/>
      <c r="E329" s="124"/>
      <c r="F329" s="124"/>
      <c r="G329" s="124"/>
      <c r="H329" s="124"/>
      <c r="I329" s="124"/>
      <c r="J329" s="124"/>
      <c r="K329" s="124"/>
    </row>
    <row r="330" ht="15.75" customHeight="1">
      <c r="B330" s="334"/>
      <c r="E330" s="124"/>
      <c r="F330" s="124"/>
      <c r="G330" s="124"/>
      <c r="H330" s="124"/>
      <c r="I330" s="124"/>
      <c r="J330" s="124"/>
      <c r="K330" s="124"/>
    </row>
    <row r="331" ht="15.75" customHeight="1">
      <c r="B331" s="334"/>
      <c r="E331" s="124"/>
      <c r="F331" s="124"/>
      <c r="G331" s="124"/>
      <c r="H331" s="124"/>
      <c r="I331" s="124"/>
      <c r="J331" s="124"/>
      <c r="K331" s="124"/>
    </row>
    <row r="332" ht="15.75" customHeight="1">
      <c r="B332" s="334"/>
      <c r="E332" s="124"/>
      <c r="F332" s="124"/>
      <c r="G332" s="124"/>
      <c r="H332" s="124"/>
      <c r="I332" s="124"/>
      <c r="J332" s="124"/>
      <c r="K332" s="124"/>
    </row>
    <row r="333" ht="15.75" customHeight="1">
      <c r="B333" s="334"/>
      <c r="E333" s="124"/>
      <c r="F333" s="124"/>
      <c r="G333" s="124"/>
      <c r="H333" s="124"/>
      <c r="I333" s="124"/>
      <c r="J333" s="124"/>
      <c r="K333" s="124"/>
    </row>
    <row r="334" ht="15.75" customHeight="1">
      <c r="B334" s="334"/>
      <c r="E334" s="124"/>
      <c r="F334" s="124"/>
      <c r="G334" s="124"/>
      <c r="H334" s="124"/>
      <c r="I334" s="124"/>
      <c r="J334" s="124"/>
      <c r="K334" s="124"/>
    </row>
    <row r="335" ht="15.75" customHeight="1">
      <c r="B335" s="334"/>
      <c r="E335" s="124"/>
      <c r="F335" s="124"/>
      <c r="G335" s="124"/>
      <c r="H335" s="124"/>
      <c r="I335" s="124"/>
      <c r="J335" s="124"/>
      <c r="K335" s="124"/>
    </row>
    <row r="336" ht="15.75" customHeight="1">
      <c r="B336" s="334"/>
      <c r="E336" s="124"/>
      <c r="F336" s="124"/>
      <c r="G336" s="124"/>
      <c r="H336" s="124"/>
      <c r="I336" s="124"/>
      <c r="J336" s="124"/>
      <c r="K336" s="124"/>
    </row>
    <row r="337" ht="15.75" customHeight="1">
      <c r="B337" s="334"/>
      <c r="E337" s="124"/>
      <c r="F337" s="124"/>
      <c r="G337" s="124"/>
      <c r="H337" s="124"/>
      <c r="I337" s="124"/>
      <c r="J337" s="124"/>
      <c r="K337" s="124"/>
    </row>
    <row r="338" ht="15.75" customHeight="1">
      <c r="B338" s="334"/>
      <c r="E338" s="124"/>
      <c r="F338" s="124"/>
      <c r="G338" s="124"/>
      <c r="H338" s="124"/>
      <c r="I338" s="124"/>
      <c r="J338" s="124"/>
      <c r="K338" s="124"/>
    </row>
    <row r="339" ht="15.75" customHeight="1">
      <c r="B339" s="334"/>
      <c r="E339" s="124"/>
      <c r="F339" s="124"/>
      <c r="G339" s="124"/>
      <c r="H339" s="124"/>
      <c r="I339" s="124"/>
      <c r="J339" s="124"/>
      <c r="K339" s="124"/>
    </row>
    <row r="340" ht="15.75" customHeight="1">
      <c r="B340" s="334"/>
      <c r="E340" s="124"/>
      <c r="F340" s="124"/>
      <c r="G340" s="124"/>
      <c r="H340" s="124"/>
      <c r="I340" s="124"/>
      <c r="J340" s="124"/>
      <c r="K340" s="124"/>
    </row>
    <row r="341" ht="15.75" customHeight="1">
      <c r="B341" s="334"/>
      <c r="E341" s="124"/>
      <c r="F341" s="124"/>
      <c r="G341" s="124"/>
      <c r="H341" s="124"/>
      <c r="I341" s="124"/>
      <c r="J341" s="124"/>
      <c r="K341" s="124"/>
    </row>
    <row r="342" ht="15.75" customHeight="1">
      <c r="B342" s="334"/>
      <c r="E342" s="124"/>
      <c r="F342" s="124"/>
      <c r="G342" s="124"/>
      <c r="H342" s="124"/>
      <c r="I342" s="124"/>
      <c r="J342" s="124"/>
      <c r="K342" s="124"/>
    </row>
    <row r="343" ht="15.75" customHeight="1">
      <c r="B343" s="334"/>
      <c r="E343" s="124"/>
      <c r="F343" s="124"/>
      <c r="G343" s="124"/>
      <c r="H343" s="124"/>
      <c r="I343" s="124"/>
      <c r="J343" s="124"/>
      <c r="K343" s="124"/>
    </row>
    <row r="344" ht="15.75" customHeight="1">
      <c r="B344" s="334"/>
      <c r="E344" s="124"/>
      <c r="F344" s="124"/>
      <c r="G344" s="124"/>
      <c r="H344" s="124"/>
      <c r="I344" s="124"/>
      <c r="J344" s="124"/>
      <c r="K344" s="124"/>
    </row>
    <row r="345" ht="15.75" customHeight="1">
      <c r="B345" s="334"/>
      <c r="E345" s="124"/>
      <c r="F345" s="124"/>
      <c r="G345" s="124"/>
      <c r="H345" s="124"/>
      <c r="I345" s="124"/>
      <c r="J345" s="124"/>
      <c r="K345" s="124"/>
    </row>
    <row r="346" ht="15.75" customHeight="1">
      <c r="B346" s="334"/>
      <c r="E346" s="124"/>
      <c r="F346" s="124"/>
      <c r="G346" s="124"/>
      <c r="H346" s="124"/>
      <c r="I346" s="124"/>
      <c r="J346" s="124"/>
      <c r="K346" s="124"/>
    </row>
    <row r="347" ht="15.75" customHeight="1">
      <c r="B347" s="334"/>
      <c r="E347" s="124"/>
      <c r="F347" s="124"/>
      <c r="G347" s="124"/>
      <c r="H347" s="124"/>
      <c r="I347" s="124"/>
      <c r="J347" s="124"/>
      <c r="K347" s="124"/>
    </row>
    <row r="348" ht="15.75" customHeight="1">
      <c r="B348" s="334"/>
      <c r="E348" s="124"/>
      <c r="F348" s="124"/>
      <c r="G348" s="124"/>
      <c r="H348" s="124"/>
      <c r="I348" s="124"/>
      <c r="J348" s="124"/>
      <c r="K348" s="124"/>
    </row>
    <row r="349" ht="15.75" customHeight="1">
      <c r="B349" s="334"/>
      <c r="E349" s="124"/>
      <c r="F349" s="124"/>
      <c r="G349" s="124"/>
      <c r="H349" s="124"/>
      <c r="I349" s="124"/>
      <c r="J349" s="124"/>
      <c r="K349" s="124"/>
    </row>
    <row r="350" ht="15.75" customHeight="1">
      <c r="B350" s="334"/>
      <c r="E350" s="124"/>
      <c r="F350" s="124"/>
      <c r="G350" s="124"/>
      <c r="H350" s="124"/>
      <c r="I350" s="124"/>
      <c r="J350" s="124"/>
      <c r="K350" s="124"/>
    </row>
    <row r="351" ht="15.75" customHeight="1">
      <c r="B351" s="334"/>
      <c r="E351" s="124"/>
      <c r="F351" s="124"/>
      <c r="G351" s="124"/>
      <c r="H351" s="124"/>
      <c r="I351" s="124"/>
      <c r="J351" s="124"/>
      <c r="K351" s="124"/>
    </row>
    <row r="352" ht="15.75" customHeight="1">
      <c r="B352" s="334"/>
      <c r="E352" s="124"/>
      <c r="F352" s="124"/>
      <c r="G352" s="124"/>
      <c r="H352" s="124"/>
      <c r="I352" s="124"/>
      <c r="J352" s="124"/>
      <c r="K352" s="124"/>
    </row>
    <row r="353" ht="15.75" customHeight="1">
      <c r="B353" s="334"/>
      <c r="E353" s="124"/>
      <c r="F353" s="124"/>
      <c r="G353" s="124"/>
      <c r="H353" s="124"/>
      <c r="I353" s="124"/>
      <c r="J353" s="124"/>
      <c r="K353" s="124"/>
    </row>
    <row r="354" ht="15.75" customHeight="1">
      <c r="B354" s="334"/>
      <c r="E354" s="124"/>
      <c r="F354" s="124"/>
      <c r="G354" s="124"/>
      <c r="H354" s="124"/>
      <c r="I354" s="124"/>
      <c r="J354" s="124"/>
      <c r="K354" s="124"/>
    </row>
    <row r="355" ht="15.75" customHeight="1">
      <c r="B355" s="334"/>
      <c r="E355" s="124"/>
      <c r="F355" s="124"/>
      <c r="G355" s="124"/>
      <c r="H355" s="124"/>
      <c r="I355" s="124"/>
      <c r="J355" s="124"/>
      <c r="K355" s="124"/>
    </row>
    <row r="356" ht="15.75" customHeight="1">
      <c r="B356" s="334"/>
      <c r="E356" s="124"/>
      <c r="F356" s="124"/>
      <c r="G356" s="124"/>
      <c r="H356" s="124"/>
      <c r="I356" s="124"/>
      <c r="J356" s="124"/>
      <c r="K356" s="124"/>
    </row>
    <row r="357" ht="15.75" customHeight="1">
      <c r="B357" s="334"/>
      <c r="E357" s="124"/>
      <c r="F357" s="124"/>
      <c r="G357" s="124"/>
      <c r="H357" s="124"/>
      <c r="I357" s="124"/>
      <c r="J357" s="124"/>
      <c r="K357" s="124"/>
    </row>
    <row r="358" ht="15.75" customHeight="1">
      <c r="B358" s="334"/>
      <c r="E358" s="124"/>
      <c r="F358" s="124"/>
      <c r="G358" s="124"/>
      <c r="H358" s="124"/>
      <c r="I358" s="124"/>
      <c r="J358" s="124"/>
      <c r="K358" s="124"/>
    </row>
    <row r="359" ht="15.75" customHeight="1">
      <c r="B359" s="334"/>
      <c r="E359" s="124"/>
      <c r="F359" s="124"/>
      <c r="G359" s="124"/>
      <c r="H359" s="124"/>
      <c r="I359" s="124"/>
      <c r="J359" s="124"/>
      <c r="K359" s="124"/>
    </row>
    <row r="360" ht="15.75" customHeight="1">
      <c r="B360" s="334"/>
      <c r="E360" s="124"/>
      <c r="F360" s="124"/>
      <c r="G360" s="124"/>
      <c r="H360" s="124"/>
      <c r="I360" s="124"/>
      <c r="J360" s="124"/>
      <c r="K360" s="124"/>
    </row>
    <row r="361" ht="15.75" customHeight="1">
      <c r="B361" s="334"/>
      <c r="E361" s="124"/>
      <c r="F361" s="124"/>
      <c r="G361" s="124"/>
      <c r="H361" s="124"/>
      <c r="I361" s="124"/>
      <c r="J361" s="124"/>
      <c r="K361" s="124"/>
    </row>
    <row r="362" ht="15.75" customHeight="1">
      <c r="B362" s="334"/>
      <c r="E362" s="124"/>
      <c r="F362" s="124"/>
      <c r="G362" s="124"/>
      <c r="H362" s="124"/>
      <c r="I362" s="124"/>
      <c r="J362" s="124"/>
      <c r="K362" s="124"/>
    </row>
    <row r="363" ht="15.75" customHeight="1">
      <c r="B363" s="334"/>
      <c r="E363" s="124"/>
      <c r="F363" s="124"/>
      <c r="G363" s="124"/>
      <c r="H363" s="124"/>
      <c r="I363" s="124"/>
      <c r="J363" s="124"/>
      <c r="K363" s="124"/>
    </row>
    <row r="364" ht="15.75" customHeight="1">
      <c r="B364" s="334"/>
      <c r="E364" s="124"/>
      <c r="F364" s="124"/>
      <c r="G364" s="124"/>
      <c r="H364" s="124"/>
      <c r="I364" s="124"/>
      <c r="J364" s="124"/>
      <c r="K364" s="124"/>
    </row>
    <row r="365" ht="15.75" customHeight="1">
      <c r="B365" s="334"/>
      <c r="E365" s="124"/>
      <c r="F365" s="124"/>
      <c r="G365" s="124"/>
      <c r="H365" s="124"/>
      <c r="I365" s="124"/>
      <c r="J365" s="124"/>
      <c r="K365" s="124"/>
    </row>
    <row r="366" ht="15.75" customHeight="1">
      <c r="B366" s="334"/>
      <c r="E366" s="124"/>
      <c r="F366" s="124"/>
      <c r="G366" s="124"/>
      <c r="H366" s="124"/>
      <c r="I366" s="124"/>
      <c r="J366" s="124"/>
      <c r="K366" s="124"/>
    </row>
    <row r="367" ht="15.75" customHeight="1">
      <c r="B367" s="334"/>
      <c r="E367" s="124"/>
      <c r="F367" s="124"/>
      <c r="G367" s="124"/>
      <c r="H367" s="124"/>
      <c r="I367" s="124"/>
      <c r="J367" s="124"/>
      <c r="K367" s="124"/>
    </row>
    <row r="368" ht="15.75" customHeight="1">
      <c r="B368" s="334"/>
      <c r="E368" s="124"/>
      <c r="F368" s="124"/>
      <c r="G368" s="124"/>
      <c r="H368" s="124"/>
      <c r="I368" s="124"/>
      <c r="J368" s="124"/>
      <c r="K368" s="124"/>
    </row>
    <row r="369" ht="15.75" customHeight="1">
      <c r="B369" s="334"/>
      <c r="E369" s="124"/>
      <c r="F369" s="124"/>
      <c r="G369" s="124"/>
      <c r="H369" s="124"/>
      <c r="I369" s="124"/>
      <c r="J369" s="124"/>
      <c r="K369" s="124"/>
    </row>
    <row r="370" ht="15.75" customHeight="1">
      <c r="B370" s="334"/>
      <c r="E370" s="124"/>
      <c r="F370" s="124"/>
      <c r="G370" s="124"/>
      <c r="H370" s="124"/>
      <c r="I370" s="124"/>
      <c r="J370" s="124"/>
      <c r="K370" s="124"/>
    </row>
    <row r="371" ht="15.75" customHeight="1">
      <c r="B371" s="334"/>
      <c r="E371" s="124"/>
      <c r="F371" s="124"/>
      <c r="G371" s="124"/>
      <c r="H371" s="124"/>
      <c r="I371" s="124"/>
      <c r="J371" s="124"/>
      <c r="K371" s="124"/>
    </row>
    <row r="372" ht="15.75" customHeight="1">
      <c r="B372" s="334"/>
      <c r="E372" s="124"/>
      <c r="F372" s="124"/>
      <c r="G372" s="124"/>
      <c r="H372" s="124"/>
      <c r="I372" s="124"/>
      <c r="J372" s="124"/>
      <c r="K372" s="124"/>
    </row>
    <row r="373" ht="15.75" customHeight="1">
      <c r="B373" s="334"/>
      <c r="E373" s="124"/>
      <c r="F373" s="124"/>
      <c r="G373" s="124"/>
      <c r="H373" s="124"/>
      <c r="I373" s="124"/>
      <c r="J373" s="124"/>
      <c r="K373" s="124"/>
    </row>
    <row r="374" ht="15.75" customHeight="1">
      <c r="B374" s="334"/>
      <c r="E374" s="124"/>
      <c r="F374" s="124"/>
      <c r="G374" s="124"/>
      <c r="H374" s="124"/>
      <c r="I374" s="124"/>
      <c r="J374" s="124"/>
      <c r="K374" s="124"/>
    </row>
    <row r="375" ht="15.75" customHeight="1">
      <c r="B375" s="334"/>
      <c r="E375" s="124"/>
      <c r="F375" s="124"/>
      <c r="G375" s="124"/>
      <c r="H375" s="124"/>
      <c r="I375" s="124"/>
      <c r="J375" s="124"/>
      <c r="K375" s="124"/>
    </row>
    <row r="376" ht="15.75" customHeight="1">
      <c r="B376" s="334"/>
      <c r="E376" s="124"/>
      <c r="F376" s="124"/>
      <c r="G376" s="124"/>
      <c r="H376" s="124"/>
      <c r="I376" s="124"/>
      <c r="J376" s="124"/>
      <c r="K376" s="124"/>
    </row>
    <row r="377" ht="15.75" customHeight="1">
      <c r="B377" s="334"/>
      <c r="E377" s="124"/>
      <c r="F377" s="124"/>
      <c r="G377" s="124"/>
      <c r="H377" s="124"/>
      <c r="I377" s="124"/>
      <c r="J377" s="124"/>
      <c r="K377" s="124"/>
    </row>
    <row r="378" ht="15.75" customHeight="1">
      <c r="B378" s="334"/>
      <c r="E378" s="124"/>
      <c r="F378" s="124"/>
      <c r="G378" s="124"/>
      <c r="H378" s="124"/>
      <c r="I378" s="124"/>
      <c r="J378" s="124"/>
      <c r="K378" s="124"/>
    </row>
    <row r="379" ht="15.75" customHeight="1">
      <c r="B379" s="334"/>
      <c r="E379" s="124"/>
      <c r="F379" s="124"/>
      <c r="G379" s="124"/>
      <c r="H379" s="124"/>
      <c r="I379" s="124"/>
      <c r="J379" s="124"/>
      <c r="K379" s="124"/>
    </row>
    <row r="380" ht="15.75" customHeight="1">
      <c r="B380" s="334"/>
      <c r="E380" s="124"/>
      <c r="F380" s="124"/>
      <c r="G380" s="124"/>
      <c r="H380" s="124"/>
      <c r="I380" s="124"/>
      <c r="J380" s="124"/>
      <c r="K380" s="124"/>
    </row>
    <row r="381" ht="15.75" customHeight="1">
      <c r="B381" s="334"/>
      <c r="E381" s="124"/>
      <c r="F381" s="124"/>
      <c r="G381" s="124"/>
      <c r="H381" s="124"/>
      <c r="I381" s="124"/>
      <c r="J381" s="124"/>
      <c r="K381" s="124"/>
    </row>
    <row r="382" ht="15.75" customHeight="1">
      <c r="B382" s="334"/>
      <c r="E382" s="124"/>
      <c r="F382" s="124"/>
      <c r="G382" s="124"/>
      <c r="H382" s="124"/>
      <c r="I382" s="124"/>
      <c r="J382" s="124"/>
      <c r="K382" s="124"/>
    </row>
    <row r="383" ht="15.75" customHeight="1">
      <c r="B383" s="334"/>
      <c r="E383" s="124"/>
      <c r="F383" s="124"/>
      <c r="G383" s="124"/>
      <c r="H383" s="124"/>
      <c r="I383" s="124"/>
      <c r="J383" s="124"/>
      <c r="K383" s="124"/>
    </row>
    <row r="384" ht="15.75" customHeight="1">
      <c r="B384" s="334"/>
      <c r="E384" s="124"/>
      <c r="F384" s="124"/>
      <c r="G384" s="124"/>
      <c r="H384" s="124"/>
      <c r="I384" s="124"/>
      <c r="J384" s="124"/>
      <c r="K384" s="124"/>
    </row>
    <row r="385" ht="15.75" customHeight="1">
      <c r="B385" s="334"/>
      <c r="E385" s="124"/>
      <c r="F385" s="124"/>
      <c r="G385" s="124"/>
      <c r="H385" s="124"/>
      <c r="I385" s="124"/>
      <c r="J385" s="124"/>
      <c r="K385" s="124"/>
    </row>
    <row r="386" ht="15.75" customHeight="1">
      <c r="B386" s="334"/>
      <c r="E386" s="124"/>
      <c r="F386" s="124"/>
      <c r="G386" s="124"/>
      <c r="H386" s="124"/>
      <c r="I386" s="124"/>
      <c r="J386" s="124"/>
      <c r="K386" s="124"/>
    </row>
    <row r="387" ht="15.75" customHeight="1">
      <c r="B387" s="334"/>
      <c r="E387" s="124"/>
      <c r="F387" s="124"/>
      <c r="G387" s="124"/>
      <c r="H387" s="124"/>
      <c r="I387" s="124"/>
      <c r="J387" s="124"/>
      <c r="K387" s="124"/>
    </row>
    <row r="388" ht="15.75" customHeight="1">
      <c r="B388" s="334"/>
      <c r="E388" s="124"/>
      <c r="F388" s="124"/>
      <c r="G388" s="124"/>
      <c r="H388" s="124"/>
      <c r="I388" s="124"/>
      <c r="J388" s="124"/>
      <c r="K388" s="124"/>
    </row>
    <row r="389" ht="15.75" customHeight="1">
      <c r="B389" s="334"/>
      <c r="E389" s="124"/>
      <c r="F389" s="124"/>
      <c r="G389" s="124"/>
      <c r="H389" s="124"/>
      <c r="I389" s="124"/>
      <c r="J389" s="124"/>
      <c r="K389" s="124"/>
    </row>
    <row r="390" ht="15.75" customHeight="1">
      <c r="B390" s="334"/>
      <c r="E390" s="124"/>
      <c r="F390" s="124"/>
      <c r="G390" s="124"/>
      <c r="H390" s="124"/>
      <c r="I390" s="124"/>
      <c r="J390" s="124"/>
      <c r="K390" s="124"/>
    </row>
    <row r="391" ht="15.75" customHeight="1">
      <c r="B391" s="334"/>
      <c r="E391" s="124"/>
      <c r="F391" s="124"/>
      <c r="G391" s="124"/>
      <c r="H391" s="124"/>
      <c r="I391" s="124"/>
      <c r="J391" s="124"/>
      <c r="K391" s="124"/>
    </row>
    <row r="392" ht="15.75" customHeight="1">
      <c r="B392" s="334"/>
      <c r="E392" s="124"/>
      <c r="F392" s="124"/>
      <c r="G392" s="124"/>
      <c r="H392" s="124"/>
      <c r="I392" s="124"/>
      <c r="J392" s="124"/>
      <c r="K392" s="124"/>
    </row>
    <row r="393" ht="15.75" customHeight="1">
      <c r="B393" s="334"/>
      <c r="E393" s="124"/>
      <c r="F393" s="124"/>
      <c r="G393" s="124"/>
      <c r="H393" s="124"/>
      <c r="I393" s="124"/>
      <c r="J393" s="124"/>
      <c r="K393" s="124"/>
    </row>
    <row r="394" ht="15.75" customHeight="1">
      <c r="B394" s="334"/>
      <c r="E394" s="124"/>
      <c r="F394" s="124"/>
      <c r="G394" s="124"/>
      <c r="H394" s="124"/>
      <c r="I394" s="124"/>
      <c r="J394" s="124"/>
      <c r="K394" s="124"/>
    </row>
    <row r="395" ht="15.75" customHeight="1">
      <c r="B395" s="334"/>
      <c r="E395" s="124"/>
      <c r="F395" s="124"/>
      <c r="G395" s="124"/>
      <c r="H395" s="124"/>
      <c r="I395" s="124"/>
      <c r="J395" s="124"/>
      <c r="K395" s="124"/>
    </row>
    <row r="396" ht="15.75" customHeight="1">
      <c r="B396" s="334"/>
      <c r="E396" s="124"/>
      <c r="F396" s="124"/>
      <c r="G396" s="124"/>
      <c r="H396" s="124"/>
      <c r="I396" s="124"/>
      <c r="J396" s="124"/>
      <c r="K396" s="124"/>
    </row>
    <row r="397" ht="15.75" customHeight="1">
      <c r="B397" s="334"/>
      <c r="E397" s="124"/>
      <c r="F397" s="124"/>
      <c r="G397" s="124"/>
      <c r="H397" s="124"/>
      <c r="I397" s="124"/>
      <c r="J397" s="124"/>
      <c r="K397" s="124"/>
    </row>
    <row r="398" ht="15.75" customHeight="1">
      <c r="B398" s="334"/>
      <c r="E398" s="124"/>
      <c r="F398" s="124"/>
      <c r="G398" s="124"/>
      <c r="H398" s="124"/>
      <c r="I398" s="124"/>
      <c r="J398" s="124"/>
      <c r="K398" s="124"/>
    </row>
    <row r="399" ht="15.75" customHeight="1">
      <c r="B399" s="334"/>
      <c r="E399" s="124"/>
      <c r="F399" s="124"/>
      <c r="G399" s="124"/>
      <c r="H399" s="124"/>
      <c r="I399" s="124"/>
      <c r="J399" s="124"/>
      <c r="K399" s="124"/>
    </row>
    <row r="400" ht="15.75" customHeight="1">
      <c r="B400" s="334"/>
      <c r="E400" s="124"/>
      <c r="F400" s="124"/>
      <c r="G400" s="124"/>
      <c r="H400" s="124"/>
      <c r="I400" s="124"/>
      <c r="J400" s="124"/>
      <c r="K400" s="124"/>
    </row>
    <row r="401" ht="15.75" customHeight="1">
      <c r="B401" s="334"/>
      <c r="E401" s="124"/>
      <c r="F401" s="124"/>
      <c r="G401" s="124"/>
      <c r="H401" s="124"/>
      <c r="I401" s="124"/>
      <c r="J401" s="124"/>
      <c r="K401" s="124"/>
    </row>
    <row r="402" ht="15.75" customHeight="1">
      <c r="B402" s="334"/>
      <c r="E402" s="124"/>
      <c r="F402" s="124"/>
      <c r="G402" s="124"/>
      <c r="H402" s="124"/>
      <c r="I402" s="124"/>
      <c r="J402" s="124"/>
      <c r="K402" s="124"/>
    </row>
    <row r="403" ht="15.75" customHeight="1">
      <c r="B403" s="334"/>
      <c r="E403" s="124"/>
      <c r="F403" s="124"/>
      <c r="G403" s="124"/>
      <c r="H403" s="124"/>
      <c r="I403" s="124"/>
      <c r="J403" s="124"/>
      <c r="K403" s="124"/>
    </row>
    <row r="404" ht="15.75" customHeight="1">
      <c r="B404" s="334"/>
      <c r="E404" s="124"/>
      <c r="F404" s="124"/>
      <c r="G404" s="124"/>
      <c r="H404" s="124"/>
      <c r="I404" s="124"/>
      <c r="J404" s="124"/>
      <c r="K404" s="124"/>
    </row>
    <row r="405" ht="15.75" customHeight="1">
      <c r="B405" s="334"/>
      <c r="E405" s="124"/>
      <c r="F405" s="124"/>
      <c r="G405" s="124"/>
      <c r="H405" s="124"/>
      <c r="I405" s="124"/>
      <c r="J405" s="124"/>
      <c r="K405" s="124"/>
    </row>
    <row r="406" ht="15.75" customHeight="1">
      <c r="B406" s="334"/>
      <c r="E406" s="124"/>
      <c r="F406" s="124"/>
      <c r="G406" s="124"/>
      <c r="H406" s="124"/>
      <c r="I406" s="124"/>
      <c r="J406" s="124"/>
      <c r="K406" s="124"/>
    </row>
    <row r="407" ht="15.75" customHeight="1">
      <c r="B407" s="334"/>
      <c r="E407" s="124"/>
      <c r="F407" s="124"/>
      <c r="G407" s="124"/>
      <c r="H407" s="124"/>
      <c r="I407" s="124"/>
      <c r="J407" s="124"/>
      <c r="K407" s="124"/>
    </row>
    <row r="408" ht="15.75" customHeight="1">
      <c r="B408" s="334"/>
      <c r="E408" s="124"/>
      <c r="F408" s="124"/>
      <c r="G408" s="124"/>
      <c r="H408" s="124"/>
      <c r="I408" s="124"/>
      <c r="J408" s="124"/>
      <c r="K408" s="124"/>
    </row>
    <row r="409" ht="15.75" customHeight="1">
      <c r="B409" s="334"/>
      <c r="E409" s="124"/>
      <c r="F409" s="124"/>
      <c r="G409" s="124"/>
      <c r="H409" s="124"/>
      <c r="I409" s="124"/>
      <c r="J409" s="124"/>
      <c r="K409" s="124"/>
    </row>
    <row r="410" ht="15.75" customHeight="1">
      <c r="B410" s="334"/>
      <c r="E410" s="124"/>
      <c r="F410" s="124"/>
      <c r="G410" s="124"/>
      <c r="H410" s="124"/>
      <c r="I410" s="124"/>
      <c r="J410" s="124"/>
      <c r="K410" s="124"/>
    </row>
    <row r="411" ht="15.75" customHeight="1">
      <c r="B411" s="334"/>
      <c r="E411" s="124"/>
      <c r="F411" s="124"/>
      <c r="G411" s="124"/>
      <c r="H411" s="124"/>
      <c r="I411" s="124"/>
      <c r="J411" s="124"/>
      <c r="K411" s="124"/>
    </row>
    <row r="412" ht="15.75" customHeight="1">
      <c r="B412" s="334"/>
      <c r="E412" s="124"/>
      <c r="F412" s="124"/>
      <c r="G412" s="124"/>
      <c r="H412" s="124"/>
      <c r="I412" s="124"/>
      <c r="J412" s="124"/>
      <c r="K412" s="124"/>
    </row>
    <row r="413" ht="15.75" customHeight="1">
      <c r="B413" s="334"/>
      <c r="E413" s="124"/>
      <c r="F413" s="124"/>
      <c r="G413" s="124"/>
      <c r="H413" s="124"/>
      <c r="I413" s="124"/>
      <c r="J413" s="124"/>
      <c r="K413" s="124"/>
    </row>
    <row r="414" ht="15.75" customHeight="1">
      <c r="B414" s="334"/>
      <c r="E414" s="124"/>
      <c r="F414" s="124"/>
      <c r="G414" s="124"/>
      <c r="H414" s="124"/>
      <c r="I414" s="124"/>
      <c r="J414" s="124"/>
      <c r="K414" s="124"/>
    </row>
    <row r="415" ht="15.75" customHeight="1">
      <c r="B415" s="334"/>
      <c r="E415" s="124"/>
      <c r="F415" s="124"/>
      <c r="G415" s="124"/>
      <c r="H415" s="124"/>
      <c r="I415" s="124"/>
      <c r="J415" s="124"/>
      <c r="K415" s="124"/>
    </row>
    <row r="416" ht="15.75" customHeight="1">
      <c r="B416" s="334"/>
      <c r="E416" s="124"/>
      <c r="F416" s="124"/>
      <c r="G416" s="124"/>
      <c r="H416" s="124"/>
      <c r="I416" s="124"/>
      <c r="J416" s="124"/>
      <c r="K416" s="124"/>
    </row>
    <row r="417" ht="15.75" customHeight="1">
      <c r="B417" s="334"/>
      <c r="E417" s="124"/>
      <c r="F417" s="124"/>
      <c r="G417" s="124"/>
      <c r="H417" s="124"/>
      <c r="I417" s="124"/>
      <c r="J417" s="124"/>
      <c r="K417" s="124"/>
    </row>
    <row r="418" ht="15.75" customHeight="1">
      <c r="B418" s="334"/>
      <c r="E418" s="124"/>
      <c r="F418" s="124"/>
      <c r="G418" s="124"/>
      <c r="H418" s="124"/>
      <c r="I418" s="124"/>
      <c r="J418" s="124"/>
      <c r="K418" s="124"/>
    </row>
    <row r="419" ht="15.75" customHeight="1">
      <c r="B419" s="334"/>
      <c r="E419" s="124"/>
      <c r="F419" s="124"/>
      <c r="G419" s="124"/>
      <c r="H419" s="124"/>
      <c r="I419" s="124"/>
      <c r="J419" s="124"/>
      <c r="K419" s="124"/>
    </row>
    <row r="420" ht="15.75" customHeight="1">
      <c r="B420" s="334"/>
      <c r="E420" s="124"/>
      <c r="F420" s="124"/>
      <c r="G420" s="124"/>
      <c r="H420" s="124"/>
      <c r="I420" s="124"/>
      <c r="J420" s="124"/>
      <c r="K420" s="124"/>
    </row>
    <row r="421" ht="15.75" customHeight="1">
      <c r="B421" s="334"/>
      <c r="E421" s="124"/>
      <c r="F421" s="124"/>
      <c r="G421" s="124"/>
      <c r="H421" s="124"/>
      <c r="I421" s="124"/>
      <c r="J421" s="124"/>
      <c r="K421" s="124"/>
    </row>
    <row r="422" ht="15.75" customHeight="1">
      <c r="B422" s="334"/>
      <c r="E422" s="124"/>
      <c r="F422" s="124"/>
      <c r="G422" s="124"/>
      <c r="H422" s="124"/>
      <c r="I422" s="124"/>
      <c r="J422" s="124"/>
      <c r="K422" s="124"/>
    </row>
    <row r="423" ht="15.75" customHeight="1">
      <c r="B423" s="334"/>
      <c r="E423" s="124"/>
      <c r="F423" s="124"/>
      <c r="G423" s="124"/>
      <c r="H423" s="124"/>
      <c r="I423" s="124"/>
      <c r="J423" s="124"/>
      <c r="K423" s="124"/>
    </row>
    <row r="424" ht="15.75" customHeight="1">
      <c r="B424" s="334"/>
      <c r="E424" s="124"/>
      <c r="F424" s="124"/>
      <c r="G424" s="124"/>
      <c r="H424" s="124"/>
      <c r="I424" s="124"/>
      <c r="J424" s="124"/>
      <c r="K424" s="124"/>
    </row>
    <row r="425" ht="15.75" customHeight="1">
      <c r="B425" s="334"/>
      <c r="E425" s="124"/>
      <c r="F425" s="124"/>
      <c r="G425" s="124"/>
      <c r="H425" s="124"/>
      <c r="I425" s="124"/>
      <c r="J425" s="124"/>
      <c r="K425" s="124"/>
    </row>
    <row r="426" ht="15.75" customHeight="1">
      <c r="B426" s="334"/>
      <c r="E426" s="124"/>
      <c r="F426" s="124"/>
      <c r="G426" s="124"/>
      <c r="H426" s="124"/>
      <c r="I426" s="124"/>
      <c r="J426" s="124"/>
      <c r="K426" s="124"/>
    </row>
    <row r="427" ht="15.75" customHeight="1">
      <c r="B427" s="334"/>
      <c r="E427" s="124"/>
      <c r="F427" s="124"/>
      <c r="G427" s="124"/>
      <c r="H427" s="124"/>
      <c r="I427" s="124"/>
      <c r="J427" s="124"/>
      <c r="K427" s="124"/>
    </row>
    <row r="428" ht="15.75" customHeight="1">
      <c r="B428" s="334"/>
      <c r="E428" s="124"/>
      <c r="F428" s="124"/>
      <c r="G428" s="124"/>
      <c r="H428" s="124"/>
      <c r="I428" s="124"/>
      <c r="J428" s="124"/>
      <c r="K428" s="124"/>
    </row>
    <row r="429" ht="15.75" customHeight="1">
      <c r="B429" s="334"/>
      <c r="E429" s="124"/>
      <c r="F429" s="124"/>
      <c r="G429" s="124"/>
      <c r="H429" s="124"/>
      <c r="I429" s="124"/>
      <c r="J429" s="124"/>
      <c r="K429" s="124"/>
    </row>
    <row r="430" ht="15.75" customHeight="1">
      <c r="B430" s="334"/>
      <c r="E430" s="124"/>
      <c r="F430" s="124"/>
      <c r="G430" s="124"/>
      <c r="H430" s="124"/>
      <c r="I430" s="124"/>
      <c r="J430" s="124"/>
      <c r="K430" s="124"/>
    </row>
    <row r="431" ht="15.75" customHeight="1">
      <c r="B431" s="334"/>
      <c r="E431" s="124"/>
      <c r="F431" s="124"/>
      <c r="G431" s="124"/>
      <c r="H431" s="124"/>
      <c r="I431" s="124"/>
      <c r="J431" s="124"/>
      <c r="K431" s="124"/>
    </row>
    <row r="432" ht="15.75" customHeight="1">
      <c r="B432" s="334"/>
      <c r="E432" s="124"/>
      <c r="F432" s="124"/>
      <c r="G432" s="124"/>
      <c r="H432" s="124"/>
      <c r="I432" s="124"/>
      <c r="J432" s="124"/>
      <c r="K432" s="124"/>
    </row>
    <row r="433" ht="15.75" customHeight="1">
      <c r="B433" s="334"/>
      <c r="E433" s="124"/>
      <c r="F433" s="124"/>
      <c r="G433" s="124"/>
      <c r="H433" s="124"/>
      <c r="I433" s="124"/>
      <c r="J433" s="124"/>
      <c r="K433" s="124"/>
    </row>
    <row r="434" ht="15.75" customHeight="1">
      <c r="B434" s="334"/>
      <c r="E434" s="124"/>
      <c r="F434" s="124"/>
      <c r="G434" s="124"/>
      <c r="H434" s="124"/>
      <c r="I434" s="124"/>
      <c r="J434" s="124"/>
      <c r="K434" s="124"/>
    </row>
    <row r="435" ht="15.75" customHeight="1">
      <c r="B435" s="334"/>
      <c r="E435" s="124"/>
      <c r="F435" s="124"/>
      <c r="G435" s="124"/>
      <c r="H435" s="124"/>
      <c r="I435" s="124"/>
      <c r="J435" s="124"/>
      <c r="K435" s="124"/>
    </row>
    <row r="436" ht="15.75" customHeight="1">
      <c r="B436" s="334"/>
      <c r="E436" s="124"/>
      <c r="F436" s="124"/>
      <c r="G436" s="124"/>
      <c r="H436" s="124"/>
      <c r="I436" s="124"/>
      <c r="J436" s="124"/>
      <c r="K436" s="124"/>
    </row>
    <row r="437" ht="15.75" customHeight="1">
      <c r="B437" s="334"/>
      <c r="E437" s="124"/>
      <c r="F437" s="124"/>
      <c r="G437" s="124"/>
      <c r="H437" s="124"/>
      <c r="I437" s="124"/>
      <c r="J437" s="124"/>
      <c r="K437" s="124"/>
    </row>
    <row r="438" ht="15.75" customHeight="1">
      <c r="B438" s="334"/>
      <c r="E438" s="124"/>
      <c r="F438" s="124"/>
      <c r="G438" s="124"/>
      <c r="H438" s="124"/>
      <c r="I438" s="124"/>
      <c r="J438" s="124"/>
      <c r="K438" s="124"/>
    </row>
    <row r="439" ht="15.75" customHeight="1">
      <c r="B439" s="334"/>
      <c r="E439" s="124"/>
      <c r="F439" s="124"/>
      <c r="G439" s="124"/>
      <c r="H439" s="124"/>
      <c r="I439" s="124"/>
      <c r="J439" s="124"/>
      <c r="K439" s="124"/>
    </row>
    <row r="440" ht="15.75" customHeight="1">
      <c r="B440" s="334"/>
      <c r="E440" s="124"/>
      <c r="F440" s="124"/>
      <c r="G440" s="124"/>
      <c r="H440" s="124"/>
      <c r="I440" s="124"/>
      <c r="J440" s="124"/>
      <c r="K440" s="124"/>
    </row>
    <row r="441" ht="15.75" customHeight="1">
      <c r="B441" s="334"/>
      <c r="E441" s="124"/>
      <c r="F441" s="124"/>
      <c r="G441" s="124"/>
      <c r="H441" s="124"/>
      <c r="I441" s="124"/>
      <c r="J441" s="124"/>
      <c r="K441" s="124"/>
    </row>
    <row r="442" ht="15.75" customHeight="1">
      <c r="B442" s="334"/>
      <c r="E442" s="124"/>
      <c r="F442" s="124"/>
      <c r="G442" s="124"/>
      <c r="H442" s="124"/>
      <c r="I442" s="124"/>
      <c r="J442" s="124"/>
      <c r="K442" s="124"/>
    </row>
    <row r="443" ht="15.75" customHeight="1">
      <c r="B443" s="334"/>
      <c r="E443" s="124"/>
      <c r="F443" s="124"/>
      <c r="G443" s="124"/>
      <c r="H443" s="124"/>
      <c r="I443" s="124"/>
      <c r="J443" s="124"/>
      <c r="K443" s="124"/>
    </row>
    <row r="444" ht="15.75" customHeight="1">
      <c r="B444" s="334"/>
      <c r="E444" s="124"/>
      <c r="F444" s="124"/>
      <c r="G444" s="124"/>
      <c r="H444" s="124"/>
      <c r="I444" s="124"/>
      <c r="J444" s="124"/>
      <c r="K444" s="124"/>
    </row>
    <row r="445" ht="15.75" customHeight="1">
      <c r="B445" s="334"/>
      <c r="E445" s="124"/>
      <c r="F445" s="124"/>
      <c r="G445" s="124"/>
      <c r="H445" s="124"/>
      <c r="I445" s="124"/>
      <c r="J445" s="124"/>
      <c r="K445" s="124"/>
    </row>
    <row r="446" ht="15.75" customHeight="1">
      <c r="B446" s="334"/>
      <c r="E446" s="124"/>
      <c r="F446" s="124"/>
      <c r="G446" s="124"/>
      <c r="H446" s="124"/>
      <c r="I446" s="124"/>
      <c r="J446" s="124"/>
      <c r="K446" s="124"/>
    </row>
    <row r="447" ht="15.75" customHeight="1">
      <c r="B447" s="334"/>
      <c r="E447" s="124"/>
      <c r="F447" s="124"/>
      <c r="G447" s="124"/>
      <c r="H447" s="124"/>
      <c r="I447" s="124"/>
      <c r="J447" s="124"/>
      <c r="K447" s="124"/>
    </row>
    <row r="448" ht="15.75" customHeight="1">
      <c r="B448" s="334"/>
      <c r="E448" s="124"/>
      <c r="F448" s="124"/>
      <c r="G448" s="124"/>
      <c r="H448" s="124"/>
      <c r="I448" s="124"/>
      <c r="J448" s="124"/>
      <c r="K448" s="124"/>
    </row>
    <row r="449" ht="15.75" customHeight="1">
      <c r="B449" s="334"/>
      <c r="E449" s="124"/>
      <c r="F449" s="124"/>
      <c r="G449" s="124"/>
      <c r="H449" s="124"/>
      <c r="I449" s="124"/>
      <c r="J449" s="124"/>
      <c r="K449" s="124"/>
    </row>
    <row r="450" ht="15.75" customHeight="1">
      <c r="B450" s="334"/>
      <c r="E450" s="124"/>
      <c r="F450" s="124"/>
      <c r="G450" s="124"/>
      <c r="H450" s="124"/>
      <c r="I450" s="124"/>
      <c r="J450" s="124"/>
      <c r="K450" s="124"/>
    </row>
    <row r="451" ht="15.75" customHeight="1">
      <c r="B451" s="334"/>
      <c r="E451" s="124"/>
      <c r="F451" s="124"/>
      <c r="G451" s="124"/>
      <c r="H451" s="124"/>
      <c r="I451" s="124"/>
      <c r="J451" s="124"/>
      <c r="K451" s="124"/>
    </row>
    <row r="452" ht="15.75" customHeight="1">
      <c r="B452" s="334"/>
      <c r="E452" s="124"/>
      <c r="F452" s="124"/>
      <c r="G452" s="124"/>
      <c r="H452" s="124"/>
      <c r="I452" s="124"/>
      <c r="J452" s="124"/>
      <c r="K452" s="124"/>
    </row>
    <row r="453" ht="15.75" customHeight="1">
      <c r="B453" s="334"/>
      <c r="E453" s="124"/>
      <c r="F453" s="124"/>
      <c r="G453" s="124"/>
      <c r="H453" s="124"/>
      <c r="I453" s="124"/>
      <c r="J453" s="124"/>
      <c r="K453" s="124"/>
    </row>
    <row r="454" ht="15.75" customHeight="1">
      <c r="B454" s="334"/>
      <c r="E454" s="124"/>
      <c r="F454" s="124"/>
      <c r="G454" s="124"/>
      <c r="H454" s="124"/>
      <c r="I454" s="124"/>
      <c r="J454" s="124"/>
      <c r="K454" s="124"/>
    </row>
    <row r="455" ht="15.75" customHeight="1">
      <c r="B455" s="334"/>
      <c r="E455" s="124"/>
      <c r="F455" s="124"/>
      <c r="G455" s="124"/>
      <c r="H455" s="124"/>
      <c r="I455" s="124"/>
      <c r="J455" s="124"/>
      <c r="K455" s="124"/>
    </row>
    <row r="456" ht="15.75" customHeight="1">
      <c r="B456" s="334"/>
      <c r="E456" s="124"/>
      <c r="F456" s="124"/>
      <c r="G456" s="124"/>
      <c r="H456" s="124"/>
      <c r="I456" s="124"/>
      <c r="J456" s="124"/>
      <c r="K456" s="124"/>
    </row>
    <row r="457" ht="15.75" customHeight="1">
      <c r="B457" s="334"/>
      <c r="E457" s="124"/>
      <c r="F457" s="124"/>
      <c r="G457" s="124"/>
      <c r="H457" s="124"/>
      <c r="I457" s="124"/>
      <c r="J457" s="124"/>
      <c r="K457" s="124"/>
    </row>
    <row r="458" ht="15.75" customHeight="1">
      <c r="B458" s="334"/>
      <c r="E458" s="124"/>
      <c r="F458" s="124"/>
      <c r="G458" s="124"/>
      <c r="H458" s="124"/>
      <c r="I458" s="124"/>
      <c r="J458" s="124"/>
      <c r="K458" s="124"/>
    </row>
    <row r="459" ht="15.75" customHeight="1">
      <c r="B459" s="334"/>
      <c r="E459" s="124"/>
      <c r="F459" s="124"/>
      <c r="G459" s="124"/>
      <c r="H459" s="124"/>
      <c r="I459" s="124"/>
      <c r="J459" s="124"/>
      <c r="K459" s="124"/>
    </row>
    <row r="460" ht="15.75" customHeight="1">
      <c r="B460" s="334"/>
      <c r="E460" s="124"/>
      <c r="F460" s="124"/>
      <c r="G460" s="124"/>
      <c r="H460" s="124"/>
      <c r="I460" s="124"/>
      <c r="J460" s="124"/>
      <c r="K460" s="124"/>
    </row>
    <row r="461" ht="15.75" customHeight="1">
      <c r="B461" s="334"/>
      <c r="E461" s="124"/>
      <c r="F461" s="124"/>
      <c r="G461" s="124"/>
      <c r="H461" s="124"/>
      <c r="I461" s="124"/>
      <c r="J461" s="124"/>
      <c r="K461" s="124"/>
    </row>
    <row r="462" ht="15.75" customHeight="1">
      <c r="B462" s="334"/>
      <c r="E462" s="124"/>
      <c r="F462" s="124"/>
      <c r="G462" s="124"/>
      <c r="H462" s="124"/>
      <c r="I462" s="124"/>
      <c r="J462" s="124"/>
      <c r="K462" s="124"/>
    </row>
    <row r="463" ht="15.75" customHeight="1">
      <c r="B463" s="334"/>
      <c r="E463" s="124"/>
      <c r="F463" s="124"/>
      <c r="G463" s="124"/>
      <c r="H463" s="124"/>
      <c r="I463" s="124"/>
      <c r="J463" s="124"/>
      <c r="K463" s="124"/>
    </row>
    <row r="464" ht="15.75" customHeight="1">
      <c r="B464" s="334"/>
      <c r="E464" s="124"/>
      <c r="F464" s="124"/>
      <c r="G464" s="124"/>
      <c r="H464" s="124"/>
      <c r="I464" s="124"/>
      <c r="J464" s="124"/>
      <c r="K464" s="124"/>
    </row>
    <row r="465" ht="15.75" customHeight="1">
      <c r="B465" s="334"/>
      <c r="E465" s="124"/>
      <c r="F465" s="124"/>
      <c r="G465" s="124"/>
      <c r="H465" s="124"/>
      <c r="I465" s="124"/>
      <c r="J465" s="124"/>
      <c r="K465" s="124"/>
    </row>
    <row r="466" ht="15.75" customHeight="1">
      <c r="B466" s="334"/>
      <c r="E466" s="124"/>
      <c r="F466" s="124"/>
      <c r="G466" s="124"/>
      <c r="H466" s="124"/>
      <c r="I466" s="124"/>
      <c r="J466" s="124"/>
      <c r="K466" s="124"/>
    </row>
    <row r="467" ht="15.75" customHeight="1">
      <c r="B467" s="334"/>
      <c r="E467" s="124"/>
      <c r="F467" s="124"/>
      <c r="G467" s="124"/>
      <c r="H467" s="124"/>
      <c r="I467" s="124"/>
      <c r="J467" s="124"/>
      <c r="K467" s="124"/>
    </row>
    <row r="468" ht="15.75" customHeight="1">
      <c r="B468" s="334"/>
      <c r="E468" s="124"/>
      <c r="F468" s="124"/>
      <c r="G468" s="124"/>
      <c r="H468" s="124"/>
      <c r="I468" s="124"/>
      <c r="J468" s="124"/>
      <c r="K468" s="124"/>
    </row>
    <row r="469" ht="15.75" customHeight="1">
      <c r="B469" s="334"/>
      <c r="E469" s="124"/>
      <c r="F469" s="124"/>
      <c r="G469" s="124"/>
      <c r="H469" s="124"/>
      <c r="I469" s="124"/>
      <c r="J469" s="124"/>
      <c r="K469" s="124"/>
    </row>
    <row r="470" ht="15.75" customHeight="1">
      <c r="B470" s="334"/>
      <c r="E470" s="124"/>
      <c r="F470" s="124"/>
      <c r="G470" s="124"/>
      <c r="H470" s="124"/>
      <c r="I470" s="124"/>
      <c r="J470" s="124"/>
      <c r="K470" s="124"/>
    </row>
    <row r="471" ht="15.75" customHeight="1">
      <c r="B471" s="334"/>
      <c r="E471" s="124"/>
      <c r="F471" s="124"/>
      <c r="G471" s="124"/>
      <c r="H471" s="124"/>
      <c r="I471" s="124"/>
      <c r="J471" s="124"/>
      <c r="K471" s="124"/>
    </row>
    <row r="472" ht="15.75" customHeight="1">
      <c r="B472" s="334"/>
      <c r="E472" s="124"/>
      <c r="F472" s="124"/>
      <c r="G472" s="124"/>
      <c r="H472" s="124"/>
      <c r="I472" s="124"/>
      <c r="J472" s="124"/>
      <c r="K472" s="124"/>
    </row>
    <row r="473" ht="15.75" customHeight="1">
      <c r="B473" s="334"/>
      <c r="E473" s="124"/>
      <c r="F473" s="124"/>
      <c r="G473" s="124"/>
      <c r="H473" s="124"/>
      <c r="I473" s="124"/>
      <c r="J473" s="124"/>
      <c r="K473" s="124"/>
    </row>
    <row r="474" ht="15.75" customHeight="1">
      <c r="B474" s="334"/>
      <c r="E474" s="124"/>
      <c r="F474" s="124"/>
      <c r="G474" s="124"/>
      <c r="H474" s="124"/>
      <c r="I474" s="124"/>
      <c r="J474" s="124"/>
      <c r="K474" s="124"/>
    </row>
    <row r="475" ht="15.75" customHeight="1">
      <c r="B475" s="334"/>
      <c r="E475" s="124"/>
      <c r="F475" s="124"/>
      <c r="G475" s="124"/>
      <c r="H475" s="124"/>
      <c r="I475" s="124"/>
      <c r="J475" s="124"/>
      <c r="K475" s="124"/>
    </row>
    <row r="476" ht="15.75" customHeight="1">
      <c r="B476" s="334"/>
      <c r="E476" s="124"/>
      <c r="F476" s="124"/>
      <c r="G476" s="124"/>
      <c r="H476" s="124"/>
      <c r="I476" s="124"/>
      <c r="J476" s="124"/>
      <c r="K476" s="124"/>
    </row>
    <row r="477" ht="15.75" customHeight="1">
      <c r="B477" s="334"/>
      <c r="E477" s="124"/>
      <c r="F477" s="124"/>
      <c r="G477" s="124"/>
      <c r="H477" s="124"/>
      <c r="I477" s="124"/>
      <c r="J477" s="124"/>
      <c r="K477" s="124"/>
    </row>
    <row r="478" ht="15.75" customHeight="1">
      <c r="B478" s="334"/>
      <c r="E478" s="124"/>
      <c r="F478" s="124"/>
      <c r="G478" s="124"/>
      <c r="H478" s="124"/>
      <c r="I478" s="124"/>
      <c r="J478" s="124"/>
      <c r="K478" s="124"/>
    </row>
    <row r="479" ht="15.75" customHeight="1">
      <c r="B479" s="334"/>
      <c r="E479" s="124"/>
      <c r="F479" s="124"/>
      <c r="G479" s="124"/>
      <c r="H479" s="124"/>
      <c r="I479" s="124"/>
      <c r="J479" s="124"/>
      <c r="K479" s="124"/>
    </row>
    <row r="480" ht="15.75" customHeight="1">
      <c r="B480" s="334"/>
      <c r="E480" s="124"/>
      <c r="F480" s="124"/>
      <c r="G480" s="124"/>
      <c r="H480" s="124"/>
      <c r="I480" s="124"/>
      <c r="J480" s="124"/>
      <c r="K480" s="124"/>
    </row>
    <row r="481" ht="15.75" customHeight="1">
      <c r="B481" s="334"/>
      <c r="E481" s="124"/>
      <c r="F481" s="124"/>
      <c r="G481" s="124"/>
      <c r="H481" s="124"/>
      <c r="I481" s="124"/>
      <c r="J481" s="124"/>
      <c r="K481" s="124"/>
    </row>
    <row r="482" ht="15.75" customHeight="1">
      <c r="B482" s="334"/>
      <c r="E482" s="124"/>
      <c r="F482" s="124"/>
      <c r="G482" s="124"/>
      <c r="H482" s="124"/>
      <c r="I482" s="124"/>
      <c r="J482" s="124"/>
      <c r="K482" s="124"/>
    </row>
    <row r="483" ht="15.75" customHeight="1">
      <c r="B483" s="334"/>
      <c r="E483" s="124"/>
      <c r="F483" s="124"/>
      <c r="G483" s="124"/>
      <c r="H483" s="124"/>
      <c r="I483" s="124"/>
      <c r="J483" s="124"/>
      <c r="K483" s="124"/>
    </row>
    <row r="484" ht="15.75" customHeight="1">
      <c r="B484" s="334"/>
      <c r="E484" s="124"/>
      <c r="F484" s="124"/>
      <c r="G484" s="124"/>
      <c r="H484" s="124"/>
      <c r="I484" s="124"/>
      <c r="J484" s="124"/>
      <c r="K484" s="124"/>
    </row>
    <row r="485" ht="15.75" customHeight="1">
      <c r="B485" s="334"/>
      <c r="E485" s="124"/>
      <c r="F485" s="124"/>
      <c r="G485" s="124"/>
      <c r="H485" s="124"/>
      <c r="I485" s="124"/>
      <c r="J485" s="124"/>
      <c r="K485" s="124"/>
    </row>
    <row r="486" ht="15.75" customHeight="1">
      <c r="B486" s="334"/>
      <c r="E486" s="124"/>
      <c r="F486" s="124"/>
      <c r="G486" s="124"/>
      <c r="H486" s="124"/>
      <c r="I486" s="124"/>
      <c r="J486" s="124"/>
      <c r="K486" s="124"/>
    </row>
    <row r="487" ht="15.75" customHeight="1">
      <c r="B487" s="334"/>
      <c r="E487" s="124"/>
      <c r="F487" s="124"/>
      <c r="G487" s="124"/>
      <c r="H487" s="124"/>
      <c r="I487" s="124"/>
      <c r="J487" s="124"/>
      <c r="K487" s="124"/>
    </row>
    <row r="488" ht="15.75" customHeight="1">
      <c r="B488" s="334"/>
      <c r="E488" s="124"/>
      <c r="F488" s="124"/>
      <c r="G488" s="124"/>
      <c r="H488" s="124"/>
      <c r="I488" s="124"/>
      <c r="J488" s="124"/>
      <c r="K488" s="124"/>
    </row>
    <row r="489" ht="15.75" customHeight="1">
      <c r="B489" s="334"/>
      <c r="E489" s="124"/>
      <c r="F489" s="124"/>
      <c r="G489" s="124"/>
      <c r="H489" s="124"/>
      <c r="I489" s="124"/>
      <c r="J489" s="124"/>
      <c r="K489" s="124"/>
    </row>
    <row r="490" ht="15.75" customHeight="1">
      <c r="B490" s="334"/>
      <c r="E490" s="124"/>
      <c r="F490" s="124"/>
      <c r="G490" s="124"/>
      <c r="H490" s="124"/>
      <c r="I490" s="124"/>
      <c r="J490" s="124"/>
      <c r="K490" s="124"/>
    </row>
    <row r="491" ht="15.75" customHeight="1">
      <c r="B491" s="334"/>
      <c r="E491" s="124"/>
      <c r="F491" s="124"/>
      <c r="G491" s="124"/>
      <c r="H491" s="124"/>
      <c r="I491" s="124"/>
      <c r="J491" s="124"/>
      <c r="K491" s="124"/>
    </row>
    <row r="492" ht="15.75" customHeight="1">
      <c r="B492" s="334"/>
      <c r="E492" s="124"/>
      <c r="F492" s="124"/>
      <c r="G492" s="124"/>
      <c r="H492" s="124"/>
      <c r="I492" s="124"/>
      <c r="J492" s="124"/>
      <c r="K492" s="124"/>
    </row>
    <row r="493" ht="15.75" customHeight="1">
      <c r="B493" s="334"/>
      <c r="E493" s="124"/>
      <c r="F493" s="124"/>
      <c r="G493" s="124"/>
      <c r="H493" s="124"/>
      <c r="I493" s="124"/>
      <c r="J493" s="124"/>
      <c r="K493" s="124"/>
    </row>
    <row r="494" ht="15.75" customHeight="1">
      <c r="B494" s="334"/>
      <c r="E494" s="124"/>
      <c r="F494" s="124"/>
      <c r="G494" s="124"/>
      <c r="H494" s="124"/>
      <c r="I494" s="124"/>
      <c r="J494" s="124"/>
      <c r="K494" s="124"/>
    </row>
    <row r="495" ht="15.75" customHeight="1">
      <c r="B495" s="334"/>
      <c r="E495" s="124"/>
      <c r="F495" s="124"/>
      <c r="G495" s="124"/>
      <c r="H495" s="124"/>
      <c r="I495" s="124"/>
      <c r="J495" s="124"/>
      <c r="K495" s="124"/>
    </row>
    <row r="496" ht="15.75" customHeight="1">
      <c r="B496" s="334"/>
      <c r="E496" s="124"/>
      <c r="F496" s="124"/>
      <c r="G496" s="124"/>
      <c r="H496" s="124"/>
      <c r="I496" s="124"/>
      <c r="J496" s="124"/>
      <c r="K496" s="124"/>
    </row>
    <row r="497" ht="15.75" customHeight="1">
      <c r="B497" s="334"/>
      <c r="E497" s="124"/>
      <c r="F497" s="124"/>
      <c r="G497" s="124"/>
      <c r="H497" s="124"/>
      <c r="I497" s="124"/>
      <c r="J497" s="124"/>
      <c r="K497" s="124"/>
    </row>
    <row r="498" ht="15.75" customHeight="1">
      <c r="B498" s="334"/>
      <c r="E498" s="124"/>
      <c r="F498" s="124"/>
      <c r="G498" s="124"/>
      <c r="H498" s="124"/>
      <c r="I498" s="124"/>
      <c r="J498" s="124"/>
      <c r="K498" s="124"/>
    </row>
    <row r="499" ht="15.75" customHeight="1">
      <c r="B499" s="334"/>
      <c r="E499" s="124"/>
      <c r="F499" s="124"/>
      <c r="G499" s="124"/>
      <c r="H499" s="124"/>
      <c r="I499" s="124"/>
      <c r="J499" s="124"/>
      <c r="K499" s="124"/>
    </row>
    <row r="500" ht="15.75" customHeight="1">
      <c r="B500" s="334"/>
      <c r="E500" s="124"/>
      <c r="F500" s="124"/>
      <c r="G500" s="124"/>
      <c r="H500" s="124"/>
      <c r="I500" s="124"/>
      <c r="J500" s="124"/>
      <c r="K500" s="124"/>
    </row>
    <row r="501" ht="15.75" customHeight="1">
      <c r="B501" s="334"/>
      <c r="E501" s="124"/>
      <c r="F501" s="124"/>
      <c r="G501" s="124"/>
      <c r="H501" s="124"/>
      <c r="I501" s="124"/>
      <c r="J501" s="124"/>
      <c r="K501" s="124"/>
    </row>
    <row r="502" ht="15.75" customHeight="1">
      <c r="B502" s="334"/>
      <c r="E502" s="124"/>
      <c r="F502" s="124"/>
      <c r="G502" s="124"/>
      <c r="H502" s="124"/>
      <c r="I502" s="124"/>
      <c r="J502" s="124"/>
      <c r="K502" s="124"/>
    </row>
    <row r="503" ht="15.75" customHeight="1">
      <c r="B503" s="334"/>
      <c r="E503" s="124"/>
      <c r="F503" s="124"/>
      <c r="G503" s="124"/>
      <c r="H503" s="124"/>
      <c r="I503" s="124"/>
      <c r="J503" s="124"/>
      <c r="K503" s="124"/>
    </row>
    <row r="504" ht="15.75" customHeight="1">
      <c r="B504" s="334"/>
      <c r="E504" s="124"/>
      <c r="F504" s="124"/>
      <c r="G504" s="124"/>
      <c r="H504" s="124"/>
      <c r="I504" s="124"/>
      <c r="J504" s="124"/>
      <c r="K504" s="124"/>
    </row>
    <row r="505" ht="15.75" customHeight="1">
      <c r="B505" s="334"/>
      <c r="E505" s="124"/>
      <c r="F505" s="124"/>
      <c r="G505" s="124"/>
      <c r="H505" s="124"/>
      <c r="I505" s="124"/>
      <c r="J505" s="124"/>
      <c r="K505" s="124"/>
    </row>
    <row r="506" ht="15.75" customHeight="1">
      <c r="B506" s="334"/>
      <c r="E506" s="124"/>
      <c r="F506" s="124"/>
      <c r="G506" s="124"/>
      <c r="H506" s="124"/>
      <c r="I506" s="124"/>
      <c r="J506" s="124"/>
      <c r="K506" s="124"/>
    </row>
    <row r="507" ht="15.75" customHeight="1">
      <c r="B507" s="334"/>
      <c r="E507" s="124"/>
      <c r="F507" s="124"/>
      <c r="G507" s="124"/>
      <c r="H507" s="124"/>
      <c r="I507" s="124"/>
      <c r="J507" s="124"/>
      <c r="K507" s="124"/>
    </row>
    <row r="508" ht="15.75" customHeight="1">
      <c r="B508" s="334"/>
      <c r="E508" s="124"/>
      <c r="F508" s="124"/>
      <c r="G508" s="124"/>
      <c r="H508" s="124"/>
      <c r="I508" s="124"/>
      <c r="J508" s="124"/>
      <c r="K508" s="124"/>
    </row>
    <row r="509" ht="15.75" customHeight="1">
      <c r="B509" s="334"/>
      <c r="E509" s="124"/>
      <c r="F509" s="124"/>
      <c r="G509" s="124"/>
      <c r="H509" s="124"/>
      <c r="I509" s="124"/>
      <c r="J509" s="124"/>
      <c r="K509" s="124"/>
    </row>
    <row r="510" ht="15.75" customHeight="1">
      <c r="B510" s="334"/>
      <c r="E510" s="124"/>
      <c r="F510" s="124"/>
      <c r="G510" s="124"/>
      <c r="H510" s="124"/>
      <c r="I510" s="124"/>
      <c r="J510" s="124"/>
      <c r="K510" s="124"/>
    </row>
    <row r="511" ht="15.75" customHeight="1">
      <c r="B511" s="334"/>
      <c r="E511" s="124"/>
      <c r="F511" s="124"/>
      <c r="G511" s="124"/>
      <c r="H511" s="124"/>
      <c r="I511" s="124"/>
      <c r="J511" s="124"/>
      <c r="K511" s="124"/>
    </row>
    <row r="512" ht="15.75" customHeight="1">
      <c r="B512" s="334"/>
      <c r="E512" s="124"/>
      <c r="F512" s="124"/>
      <c r="G512" s="124"/>
      <c r="H512" s="124"/>
      <c r="I512" s="124"/>
      <c r="J512" s="124"/>
      <c r="K512" s="124"/>
    </row>
    <row r="513" ht="15.75" customHeight="1">
      <c r="B513" s="334"/>
      <c r="E513" s="124"/>
      <c r="F513" s="124"/>
      <c r="G513" s="124"/>
      <c r="H513" s="124"/>
      <c r="I513" s="124"/>
      <c r="J513" s="124"/>
      <c r="K513" s="124"/>
    </row>
    <row r="514" ht="15.75" customHeight="1">
      <c r="B514" s="334"/>
      <c r="E514" s="124"/>
      <c r="F514" s="124"/>
      <c r="G514" s="124"/>
      <c r="H514" s="124"/>
      <c r="I514" s="124"/>
      <c r="J514" s="124"/>
      <c r="K514" s="124"/>
    </row>
    <row r="515" ht="15.75" customHeight="1">
      <c r="B515" s="334"/>
      <c r="E515" s="124"/>
      <c r="F515" s="124"/>
      <c r="G515" s="124"/>
      <c r="H515" s="124"/>
      <c r="I515" s="124"/>
      <c r="J515" s="124"/>
      <c r="K515" s="124"/>
    </row>
    <row r="516" ht="15.75" customHeight="1">
      <c r="B516" s="334"/>
      <c r="E516" s="124"/>
      <c r="F516" s="124"/>
      <c r="G516" s="124"/>
      <c r="H516" s="124"/>
      <c r="I516" s="124"/>
      <c r="J516" s="124"/>
      <c r="K516" s="124"/>
    </row>
    <row r="517" ht="15.75" customHeight="1">
      <c r="B517" s="334"/>
      <c r="E517" s="124"/>
      <c r="F517" s="124"/>
      <c r="G517" s="124"/>
      <c r="H517" s="124"/>
      <c r="I517" s="124"/>
      <c r="J517" s="124"/>
      <c r="K517" s="124"/>
    </row>
    <row r="518" ht="15.75" customHeight="1">
      <c r="B518" s="334"/>
      <c r="E518" s="124"/>
      <c r="F518" s="124"/>
      <c r="G518" s="124"/>
      <c r="H518" s="124"/>
      <c r="I518" s="124"/>
      <c r="J518" s="124"/>
      <c r="K518" s="124"/>
    </row>
    <row r="519" ht="15.75" customHeight="1">
      <c r="B519" s="334"/>
      <c r="E519" s="124"/>
      <c r="F519" s="124"/>
      <c r="G519" s="124"/>
      <c r="H519" s="124"/>
      <c r="I519" s="124"/>
      <c r="J519" s="124"/>
      <c r="K519" s="124"/>
    </row>
    <row r="520" ht="15.75" customHeight="1">
      <c r="B520" s="334"/>
      <c r="E520" s="124"/>
      <c r="F520" s="124"/>
      <c r="G520" s="124"/>
      <c r="H520" s="124"/>
      <c r="I520" s="124"/>
      <c r="J520" s="124"/>
      <c r="K520" s="124"/>
    </row>
    <row r="521" ht="15.75" customHeight="1">
      <c r="B521" s="334"/>
      <c r="E521" s="124"/>
      <c r="F521" s="124"/>
      <c r="G521" s="124"/>
      <c r="H521" s="124"/>
      <c r="I521" s="124"/>
      <c r="J521" s="124"/>
      <c r="K521" s="124"/>
    </row>
    <row r="522" ht="15.75" customHeight="1">
      <c r="B522" s="334"/>
      <c r="E522" s="124"/>
      <c r="F522" s="124"/>
      <c r="G522" s="124"/>
      <c r="H522" s="124"/>
      <c r="I522" s="124"/>
      <c r="J522" s="124"/>
      <c r="K522" s="124"/>
    </row>
    <row r="523" ht="15.75" customHeight="1">
      <c r="B523" s="334"/>
      <c r="E523" s="124"/>
      <c r="F523" s="124"/>
      <c r="G523" s="124"/>
      <c r="H523" s="124"/>
      <c r="I523" s="124"/>
      <c r="J523" s="124"/>
      <c r="K523" s="124"/>
    </row>
    <row r="524" ht="15.75" customHeight="1">
      <c r="B524" s="334"/>
      <c r="E524" s="124"/>
      <c r="F524" s="124"/>
      <c r="G524" s="124"/>
      <c r="H524" s="124"/>
      <c r="I524" s="124"/>
      <c r="J524" s="124"/>
      <c r="K524" s="124"/>
    </row>
    <row r="525" ht="15.75" customHeight="1">
      <c r="B525" s="334"/>
      <c r="E525" s="124"/>
      <c r="F525" s="124"/>
      <c r="G525" s="124"/>
      <c r="H525" s="124"/>
      <c r="I525" s="124"/>
      <c r="J525" s="124"/>
      <c r="K525" s="124"/>
    </row>
    <row r="526" ht="15.75" customHeight="1">
      <c r="B526" s="334"/>
      <c r="E526" s="124"/>
      <c r="F526" s="124"/>
      <c r="G526" s="124"/>
      <c r="H526" s="124"/>
      <c r="I526" s="124"/>
      <c r="J526" s="124"/>
      <c r="K526" s="124"/>
    </row>
    <row r="527" ht="15.75" customHeight="1">
      <c r="B527" s="334"/>
      <c r="E527" s="124"/>
      <c r="F527" s="124"/>
      <c r="G527" s="124"/>
      <c r="H527" s="124"/>
      <c r="I527" s="124"/>
      <c r="J527" s="124"/>
      <c r="K527" s="124"/>
    </row>
    <row r="528" ht="15.75" customHeight="1">
      <c r="B528" s="334"/>
      <c r="E528" s="124"/>
      <c r="F528" s="124"/>
      <c r="G528" s="124"/>
      <c r="H528" s="124"/>
      <c r="I528" s="124"/>
      <c r="J528" s="124"/>
      <c r="K528" s="124"/>
    </row>
    <row r="529" ht="15.75" customHeight="1">
      <c r="B529" s="334"/>
      <c r="E529" s="124"/>
      <c r="F529" s="124"/>
      <c r="G529" s="124"/>
      <c r="H529" s="124"/>
      <c r="I529" s="124"/>
      <c r="J529" s="124"/>
      <c r="K529" s="124"/>
    </row>
    <row r="530" ht="15.75" customHeight="1">
      <c r="B530" s="334"/>
      <c r="E530" s="124"/>
      <c r="F530" s="124"/>
      <c r="G530" s="124"/>
      <c r="H530" s="124"/>
      <c r="I530" s="124"/>
      <c r="J530" s="124"/>
      <c r="K530" s="124"/>
    </row>
    <row r="531" ht="15.75" customHeight="1">
      <c r="B531" s="334"/>
      <c r="E531" s="124"/>
      <c r="F531" s="124"/>
      <c r="G531" s="124"/>
      <c r="H531" s="124"/>
      <c r="I531" s="124"/>
      <c r="J531" s="124"/>
      <c r="K531" s="124"/>
    </row>
    <row r="532" ht="15.75" customHeight="1">
      <c r="B532" s="334"/>
      <c r="E532" s="124"/>
      <c r="F532" s="124"/>
      <c r="G532" s="124"/>
      <c r="H532" s="124"/>
      <c r="I532" s="124"/>
      <c r="J532" s="124"/>
      <c r="K532" s="124"/>
    </row>
    <row r="533" ht="15.75" customHeight="1">
      <c r="B533" s="334"/>
      <c r="E533" s="124"/>
      <c r="F533" s="124"/>
      <c r="G533" s="124"/>
      <c r="H533" s="124"/>
      <c r="I533" s="124"/>
      <c r="J533" s="124"/>
      <c r="K533" s="124"/>
    </row>
    <row r="534" ht="15.75" customHeight="1">
      <c r="B534" s="334"/>
      <c r="E534" s="124"/>
      <c r="F534" s="124"/>
      <c r="G534" s="124"/>
      <c r="H534" s="124"/>
      <c r="I534" s="124"/>
      <c r="J534" s="124"/>
      <c r="K534" s="124"/>
    </row>
    <row r="535" ht="15.75" customHeight="1">
      <c r="B535" s="334"/>
      <c r="E535" s="124"/>
      <c r="F535" s="124"/>
      <c r="G535" s="124"/>
      <c r="H535" s="124"/>
      <c r="I535" s="124"/>
      <c r="J535" s="124"/>
      <c r="K535" s="124"/>
    </row>
    <row r="536" ht="15.75" customHeight="1">
      <c r="B536" s="334"/>
      <c r="E536" s="124"/>
      <c r="F536" s="124"/>
      <c r="G536" s="124"/>
      <c r="H536" s="124"/>
      <c r="I536" s="124"/>
      <c r="J536" s="124"/>
      <c r="K536" s="124"/>
    </row>
    <row r="537" ht="15.75" customHeight="1">
      <c r="B537" s="334"/>
      <c r="E537" s="124"/>
      <c r="F537" s="124"/>
      <c r="G537" s="124"/>
      <c r="H537" s="124"/>
      <c r="I537" s="124"/>
      <c r="J537" s="124"/>
      <c r="K537" s="124"/>
    </row>
    <row r="538" ht="15.75" customHeight="1">
      <c r="B538" s="334"/>
      <c r="E538" s="124"/>
      <c r="F538" s="124"/>
      <c r="G538" s="124"/>
      <c r="H538" s="124"/>
      <c r="I538" s="124"/>
      <c r="J538" s="124"/>
      <c r="K538" s="124"/>
    </row>
    <row r="539" ht="15.75" customHeight="1">
      <c r="B539" s="334"/>
      <c r="E539" s="124"/>
      <c r="F539" s="124"/>
      <c r="G539" s="124"/>
      <c r="H539" s="124"/>
      <c r="I539" s="124"/>
      <c r="J539" s="124"/>
      <c r="K539" s="124"/>
    </row>
    <row r="540" ht="15.75" customHeight="1">
      <c r="B540" s="334"/>
      <c r="E540" s="124"/>
      <c r="F540" s="124"/>
      <c r="G540" s="124"/>
      <c r="H540" s="124"/>
      <c r="I540" s="124"/>
      <c r="J540" s="124"/>
      <c r="K540" s="124"/>
    </row>
    <row r="541" ht="15.75" customHeight="1">
      <c r="B541" s="334"/>
      <c r="E541" s="124"/>
      <c r="F541" s="124"/>
      <c r="G541" s="124"/>
      <c r="H541" s="124"/>
      <c r="I541" s="124"/>
      <c r="J541" s="124"/>
      <c r="K541" s="124"/>
    </row>
    <row r="542" ht="15.75" customHeight="1">
      <c r="B542" s="334"/>
      <c r="E542" s="124"/>
      <c r="F542" s="124"/>
      <c r="G542" s="124"/>
      <c r="H542" s="124"/>
      <c r="I542" s="124"/>
      <c r="J542" s="124"/>
      <c r="K542" s="124"/>
    </row>
    <row r="543" ht="15.75" customHeight="1">
      <c r="B543" s="334"/>
      <c r="E543" s="124"/>
      <c r="F543" s="124"/>
      <c r="G543" s="124"/>
      <c r="H543" s="124"/>
      <c r="I543" s="124"/>
      <c r="J543" s="124"/>
      <c r="K543" s="124"/>
    </row>
    <row r="544" ht="15.75" customHeight="1">
      <c r="B544" s="334"/>
      <c r="E544" s="124"/>
      <c r="F544" s="124"/>
      <c r="G544" s="124"/>
      <c r="H544" s="124"/>
      <c r="I544" s="124"/>
      <c r="J544" s="124"/>
      <c r="K544" s="124"/>
    </row>
    <row r="545" ht="15.75" customHeight="1">
      <c r="B545" s="334"/>
      <c r="E545" s="124"/>
      <c r="F545" s="124"/>
      <c r="G545" s="124"/>
      <c r="H545" s="124"/>
      <c r="I545" s="124"/>
      <c r="J545" s="124"/>
      <c r="K545" s="124"/>
    </row>
    <row r="546" ht="15.75" customHeight="1">
      <c r="B546" s="334"/>
      <c r="E546" s="124"/>
      <c r="F546" s="124"/>
      <c r="G546" s="124"/>
      <c r="H546" s="124"/>
      <c r="I546" s="124"/>
      <c r="J546" s="124"/>
      <c r="K546" s="124"/>
    </row>
    <row r="547" ht="15.75" customHeight="1">
      <c r="B547" s="334"/>
      <c r="E547" s="124"/>
      <c r="F547" s="124"/>
      <c r="G547" s="124"/>
      <c r="H547" s="124"/>
      <c r="I547" s="124"/>
      <c r="J547" s="124"/>
      <c r="K547" s="124"/>
    </row>
    <row r="548" ht="15.75" customHeight="1">
      <c r="B548" s="334"/>
      <c r="E548" s="124"/>
      <c r="F548" s="124"/>
      <c r="G548" s="124"/>
      <c r="H548" s="124"/>
      <c r="I548" s="124"/>
      <c r="J548" s="124"/>
      <c r="K548" s="124"/>
    </row>
    <row r="549" ht="15.75" customHeight="1">
      <c r="B549" s="334"/>
      <c r="E549" s="124"/>
      <c r="F549" s="124"/>
      <c r="G549" s="124"/>
      <c r="H549" s="124"/>
      <c r="I549" s="124"/>
      <c r="J549" s="124"/>
      <c r="K549" s="124"/>
    </row>
    <row r="550" ht="15.75" customHeight="1">
      <c r="B550" s="334"/>
      <c r="E550" s="124"/>
      <c r="F550" s="124"/>
      <c r="G550" s="124"/>
      <c r="H550" s="124"/>
      <c r="I550" s="124"/>
      <c r="J550" s="124"/>
      <c r="K550" s="124"/>
    </row>
    <row r="551" ht="15.75" customHeight="1">
      <c r="B551" s="334"/>
      <c r="E551" s="124"/>
      <c r="F551" s="124"/>
      <c r="G551" s="124"/>
      <c r="H551" s="124"/>
      <c r="I551" s="124"/>
      <c r="J551" s="124"/>
      <c r="K551" s="124"/>
    </row>
    <row r="552" ht="15.75" customHeight="1">
      <c r="B552" s="334"/>
      <c r="E552" s="124"/>
      <c r="F552" s="124"/>
      <c r="G552" s="124"/>
      <c r="H552" s="124"/>
      <c r="I552" s="124"/>
      <c r="J552" s="124"/>
      <c r="K552" s="124"/>
    </row>
    <row r="553" ht="15.75" customHeight="1">
      <c r="B553" s="334"/>
      <c r="E553" s="124"/>
      <c r="F553" s="124"/>
      <c r="G553" s="124"/>
      <c r="H553" s="124"/>
      <c r="I553" s="124"/>
      <c r="J553" s="124"/>
      <c r="K553" s="124"/>
    </row>
    <row r="554" ht="15.75" customHeight="1">
      <c r="B554" s="334"/>
      <c r="E554" s="124"/>
      <c r="F554" s="124"/>
      <c r="G554" s="124"/>
      <c r="H554" s="124"/>
      <c r="I554" s="124"/>
      <c r="J554" s="124"/>
      <c r="K554" s="124"/>
    </row>
    <row r="555" ht="15.75" customHeight="1">
      <c r="B555" s="334"/>
      <c r="E555" s="124"/>
      <c r="F555" s="124"/>
      <c r="G555" s="124"/>
      <c r="H555" s="124"/>
      <c r="I555" s="124"/>
      <c r="J555" s="124"/>
      <c r="K555" s="124"/>
    </row>
    <row r="556" ht="15.75" customHeight="1">
      <c r="B556" s="334"/>
      <c r="E556" s="124"/>
      <c r="F556" s="124"/>
      <c r="G556" s="124"/>
      <c r="H556" s="124"/>
      <c r="I556" s="124"/>
      <c r="J556" s="124"/>
      <c r="K556" s="124"/>
    </row>
    <row r="557" ht="15.75" customHeight="1">
      <c r="B557" s="334"/>
      <c r="E557" s="124"/>
      <c r="F557" s="124"/>
      <c r="G557" s="124"/>
      <c r="H557" s="124"/>
      <c r="I557" s="124"/>
      <c r="J557" s="124"/>
      <c r="K557" s="124"/>
    </row>
    <row r="558" ht="15.75" customHeight="1">
      <c r="B558" s="334"/>
      <c r="E558" s="124"/>
      <c r="F558" s="124"/>
      <c r="G558" s="124"/>
      <c r="H558" s="124"/>
      <c r="I558" s="124"/>
      <c r="J558" s="124"/>
      <c r="K558" s="124"/>
    </row>
    <row r="559" ht="15.75" customHeight="1">
      <c r="B559" s="334"/>
      <c r="E559" s="124"/>
      <c r="F559" s="124"/>
      <c r="G559" s="124"/>
      <c r="H559" s="124"/>
      <c r="I559" s="124"/>
      <c r="J559" s="124"/>
      <c r="K559" s="124"/>
    </row>
    <row r="560" ht="15.75" customHeight="1">
      <c r="B560" s="334"/>
      <c r="E560" s="124"/>
      <c r="F560" s="124"/>
      <c r="G560" s="124"/>
      <c r="H560" s="124"/>
      <c r="I560" s="124"/>
      <c r="J560" s="124"/>
      <c r="K560" s="124"/>
    </row>
    <row r="561" ht="15.75" customHeight="1">
      <c r="B561" s="334"/>
      <c r="E561" s="124"/>
      <c r="F561" s="124"/>
      <c r="G561" s="124"/>
      <c r="H561" s="124"/>
      <c r="I561" s="124"/>
      <c r="J561" s="124"/>
      <c r="K561" s="124"/>
    </row>
    <row r="562" ht="15.75" customHeight="1">
      <c r="B562" s="334"/>
      <c r="E562" s="124"/>
      <c r="F562" s="124"/>
      <c r="G562" s="124"/>
      <c r="H562" s="124"/>
      <c r="I562" s="124"/>
      <c r="J562" s="124"/>
      <c r="K562" s="124"/>
    </row>
    <row r="563" ht="15.75" customHeight="1">
      <c r="B563" s="334"/>
      <c r="E563" s="124"/>
      <c r="F563" s="124"/>
      <c r="G563" s="124"/>
      <c r="H563" s="124"/>
      <c r="I563" s="124"/>
      <c r="J563" s="124"/>
      <c r="K563" s="124"/>
    </row>
    <row r="564" ht="15.75" customHeight="1">
      <c r="B564" s="334"/>
      <c r="E564" s="124"/>
      <c r="F564" s="124"/>
      <c r="G564" s="124"/>
      <c r="H564" s="124"/>
      <c r="I564" s="124"/>
      <c r="J564" s="124"/>
      <c r="K564" s="124"/>
    </row>
    <row r="565" ht="15.75" customHeight="1">
      <c r="B565" s="334"/>
      <c r="E565" s="124"/>
      <c r="F565" s="124"/>
      <c r="G565" s="124"/>
      <c r="H565" s="124"/>
      <c r="I565" s="124"/>
      <c r="J565" s="124"/>
      <c r="K565" s="124"/>
    </row>
    <row r="566" ht="15.75" customHeight="1">
      <c r="B566" s="334"/>
      <c r="E566" s="124"/>
      <c r="F566" s="124"/>
      <c r="G566" s="124"/>
      <c r="H566" s="124"/>
      <c r="I566" s="124"/>
      <c r="J566" s="124"/>
      <c r="K566" s="124"/>
    </row>
    <row r="567" ht="15.75" customHeight="1">
      <c r="B567" s="334"/>
      <c r="E567" s="124"/>
      <c r="F567" s="124"/>
      <c r="G567" s="124"/>
      <c r="H567" s="124"/>
      <c r="I567" s="124"/>
      <c r="J567" s="124"/>
      <c r="K567" s="124"/>
    </row>
    <row r="568" ht="15.75" customHeight="1">
      <c r="B568" s="334"/>
      <c r="E568" s="124"/>
      <c r="F568" s="124"/>
      <c r="G568" s="124"/>
      <c r="H568" s="124"/>
      <c r="I568" s="124"/>
      <c r="J568" s="124"/>
      <c r="K568" s="124"/>
    </row>
    <row r="569" ht="15.75" customHeight="1">
      <c r="B569" s="334"/>
      <c r="E569" s="124"/>
      <c r="F569" s="124"/>
      <c r="G569" s="124"/>
      <c r="H569" s="124"/>
      <c r="I569" s="124"/>
      <c r="J569" s="124"/>
      <c r="K569" s="124"/>
    </row>
    <row r="570" ht="15.75" customHeight="1">
      <c r="B570" s="334"/>
      <c r="E570" s="124"/>
      <c r="F570" s="124"/>
      <c r="G570" s="124"/>
      <c r="H570" s="124"/>
      <c r="I570" s="124"/>
      <c r="J570" s="124"/>
      <c r="K570" s="124"/>
    </row>
    <row r="571" ht="15.75" customHeight="1">
      <c r="B571" s="334"/>
      <c r="E571" s="124"/>
      <c r="F571" s="124"/>
      <c r="G571" s="124"/>
      <c r="H571" s="124"/>
      <c r="I571" s="124"/>
      <c r="J571" s="124"/>
      <c r="K571" s="124"/>
    </row>
    <row r="572" ht="15.75" customHeight="1">
      <c r="B572" s="334"/>
      <c r="E572" s="124"/>
      <c r="F572" s="124"/>
      <c r="G572" s="124"/>
      <c r="H572" s="124"/>
      <c r="I572" s="124"/>
      <c r="J572" s="124"/>
      <c r="K572" s="124"/>
    </row>
    <row r="573" ht="15.75" customHeight="1">
      <c r="B573" s="334"/>
      <c r="E573" s="124"/>
      <c r="F573" s="124"/>
      <c r="G573" s="124"/>
      <c r="H573" s="124"/>
      <c r="I573" s="124"/>
      <c r="J573" s="124"/>
      <c r="K573" s="124"/>
    </row>
    <row r="574" ht="15.75" customHeight="1">
      <c r="B574" s="334"/>
      <c r="E574" s="124"/>
      <c r="F574" s="124"/>
      <c r="G574" s="124"/>
      <c r="H574" s="124"/>
      <c r="I574" s="124"/>
      <c r="J574" s="124"/>
      <c r="K574" s="124"/>
    </row>
    <row r="575" ht="15.75" customHeight="1">
      <c r="B575" s="334"/>
      <c r="E575" s="124"/>
      <c r="F575" s="124"/>
      <c r="G575" s="124"/>
      <c r="H575" s="124"/>
      <c r="I575" s="124"/>
      <c r="J575" s="124"/>
      <c r="K575" s="124"/>
    </row>
    <row r="576" ht="15.75" customHeight="1">
      <c r="B576" s="334"/>
      <c r="E576" s="124"/>
      <c r="F576" s="124"/>
      <c r="G576" s="124"/>
      <c r="H576" s="124"/>
      <c r="I576" s="124"/>
      <c r="J576" s="124"/>
      <c r="K576" s="124"/>
    </row>
    <row r="577" ht="15.75" customHeight="1">
      <c r="B577" s="334"/>
      <c r="E577" s="124"/>
      <c r="F577" s="124"/>
      <c r="G577" s="124"/>
      <c r="H577" s="124"/>
      <c r="I577" s="124"/>
      <c r="J577" s="124"/>
      <c r="K577" s="124"/>
    </row>
    <row r="578" ht="15.75" customHeight="1">
      <c r="B578" s="334"/>
      <c r="E578" s="124"/>
      <c r="F578" s="124"/>
      <c r="G578" s="124"/>
      <c r="H578" s="124"/>
      <c r="I578" s="124"/>
      <c r="J578" s="124"/>
      <c r="K578" s="124"/>
    </row>
    <row r="579" ht="15.75" customHeight="1">
      <c r="B579" s="334"/>
      <c r="E579" s="124"/>
      <c r="F579" s="124"/>
      <c r="G579" s="124"/>
      <c r="H579" s="124"/>
      <c r="I579" s="124"/>
      <c r="J579" s="124"/>
      <c r="K579" s="124"/>
    </row>
    <row r="580" ht="15.75" customHeight="1">
      <c r="B580" s="334"/>
      <c r="E580" s="124"/>
      <c r="F580" s="124"/>
      <c r="G580" s="124"/>
      <c r="H580" s="124"/>
      <c r="I580" s="124"/>
      <c r="J580" s="124"/>
      <c r="K580" s="124"/>
    </row>
    <row r="581" ht="15.75" customHeight="1">
      <c r="B581" s="334"/>
      <c r="E581" s="124"/>
      <c r="F581" s="124"/>
      <c r="G581" s="124"/>
      <c r="H581" s="124"/>
      <c r="I581" s="124"/>
      <c r="J581" s="124"/>
      <c r="K581" s="124"/>
    </row>
    <row r="582" ht="15.75" customHeight="1">
      <c r="B582" s="334"/>
      <c r="E582" s="124"/>
      <c r="F582" s="124"/>
      <c r="G582" s="124"/>
      <c r="H582" s="124"/>
      <c r="I582" s="124"/>
      <c r="J582" s="124"/>
      <c r="K582" s="124"/>
    </row>
    <row r="583" ht="15.75" customHeight="1">
      <c r="B583" s="334"/>
      <c r="E583" s="124"/>
      <c r="F583" s="124"/>
      <c r="G583" s="124"/>
      <c r="H583" s="124"/>
      <c r="I583" s="124"/>
      <c r="J583" s="124"/>
      <c r="K583" s="124"/>
    </row>
    <row r="584" ht="15.75" customHeight="1">
      <c r="B584" s="334"/>
      <c r="E584" s="124"/>
      <c r="F584" s="124"/>
      <c r="G584" s="124"/>
      <c r="H584" s="124"/>
      <c r="I584" s="124"/>
      <c r="J584" s="124"/>
      <c r="K584" s="124"/>
    </row>
    <row r="585" ht="15.75" customHeight="1">
      <c r="B585" s="334"/>
      <c r="E585" s="124"/>
      <c r="F585" s="124"/>
      <c r="G585" s="124"/>
      <c r="H585" s="124"/>
      <c r="I585" s="124"/>
      <c r="J585" s="124"/>
      <c r="K585" s="124"/>
    </row>
    <row r="586" ht="15.75" customHeight="1">
      <c r="B586" s="334"/>
      <c r="E586" s="124"/>
      <c r="F586" s="124"/>
      <c r="G586" s="124"/>
      <c r="H586" s="124"/>
      <c r="I586" s="124"/>
      <c r="J586" s="124"/>
      <c r="K586" s="124"/>
    </row>
    <row r="587" ht="15.75" customHeight="1">
      <c r="B587" s="334"/>
      <c r="E587" s="124"/>
      <c r="F587" s="124"/>
      <c r="G587" s="124"/>
      <c r="H587" s="124"/>
      <c r="I587" s="124"/>
      <c r="J587" s="124"/>
      <c r="K587" s="124"/>
    </row>
    <row r="588" ht="15.75" customHeight="1">
      <c r="B588" s="334"/>
      <c r="E588" s="124"/>
      <c r="F588" s="124"/>
      <c r="G588" s="124"/>
      <c r="H588" s="124"/>
      <c r="I588" s="124"/>
      <c r="J588" s="124"/>
      <c r="K588" s="124"/>
    </row>
    <row r="589" ht="15.75" customHeight="1">
      <c r="B589" s="334"/>
      <c r="E589" s="124"/>
      <c r="F589" s="124"/>
      <c r="G589" s="124"/>
      <c r="H589" s="124"/>
      <c r="I589" s="124"/>
      <c r="J589" s="124"/>
      <c r="K589" s="124"/>
    </row>
    <row r="590" ht="15.75" customHeight="1">
      <c r="B590" s="334"/>
      <c r="E590" s="124"/>
      <c r="F590" s="124"/>
      <c r="G590" s="124"/>
      <c r="H590" s="124"/>
      <c r="I590" s="124"/>
      <c r="J590" s="124"/>
      <c r="K590" s="124"/>
    </row>
    <row r="591" ht="15.75" customHeight="1">
      <c r="B591" s="334"/>
      <c r="E591" s="124"/>
      <c r="F591" s="124"/>
      <c r="G591" s="124"/>
      <c r="H591" s="124"/>
      <c r="I591" s="124"/>
      <c r="J591" s="124"/>
      <c r="K591" s="124"/>
    </row>
    <row r="592" ht="15.75" customHeight="1">
      <c r="B592" s="334"/>
      <c r="E592" s="124"/>
      <c r="F592" s="124"/>
      <c r="G592" s="124"/>
      <c r="H592" s="124"/>
      <c r="I592" s="124"/>
      <c r="J592" s="124"/>
      <c r="K592" s="124"/>
    </row>
    <row r="593" ht="15.75" customHeight="1">
      <c r="B593" s="334"/>
      <c r="E593" s="124"/>
      <c r="F593" s="124"/>
      <c r="G593" s="124"/>
      <c r="H593" s="124"/>
      <c r="I593" s="124"/>
      <c r="J593" s="124"/>
      <c r="K593" s="124"/>
    </row>
    <row r="594" ht="15.75" customHeight="1">
      <c r="B594" s="334"/>
      <c r="E594" s="124"/>
      <c r="F594" s="124"/>
      <c r="G594" s="124"/>
      <c r="H594" s="124"/>
      <c r="I594" s="124"/>
      <c r="J594" s="124"/>
      <c r="K594" s="124"/>
    </row>
    <row r="595" ht="15.75" customHeight="1">
      <c r="B595" s="334"/>
      <c r="E595" s="124"/>
      <c r="F595" s="124"/>
      <c r="G595" s="124"/>
      <c r="H595" s="124"/>
      <c r="I595" s="124"/>
      <c r="J595" s="124"/>
      <c r="K595" s="124"/>
    </row>
    <row r="596" ht="15.75" customHeight="1">
      <c r="B596" s="334"/>
      <c r="E596" s="124"/>
      <c r="F596" s="124"/>
      <c r="G596" s="124"/>
      <c r="H596" s="124"/>
      <c r="I596" s="124"/>
      <c r="J596" s="124"/>
      <c r="K596" s="124"/>
    </row>
    <row r="597" ht="15.75" customHeight="1">
      <c r="B597" s="334"/>
      <c r="E597" s="124"/>
      <c r="F597" s="124"/>
      <c r="G597" s="124"/>
      <c r="H597" s="124"/>
      <c r="I597" s="124"/>
      <c r="J597" s="124"/>
      <c r="K597" s="124"/>
    </row>
    <row r="598" ht="15.75" customHeight="1">
      <c r="B598" s="334"/>
      <c r="E598" s="124"/>
      <c r="F598" s="124"/>
      <c r="G598" s="124"/>
      <c r="H598" s="124"/>
      <c r="I598" s="124"/>
      <c r="J598" s="124"/>
      <c r="K598" s="124"/>
    </row>
    <row r="599" ht="15.75" customHeight="1">
      <c r="B599" s="334"/>
      <c r="E599" s="124"/>
      <c r="F599" s="124"/>
      <c r="G599" s="124"/>
      <c r="H599" s="124"/>
      <c r="I599" s="124"/>
      <c r="J599" s="124"/>
      <c r="K599" s="124"/>
    </row>
    <row r="600" ht="15.75" customHeight="1">
      <c r="B600" s="334"/>
      <c r="E600" s="124"/>
      <c r="F600" s="124"/>
      <c r="G600" s="124"/>
      <c r="H600" s="124"/>
      <c r="I600" s="124"/>
      <c r="J600" s="124"/>
      <c r="K600" s="124"/>
    </row>
    <row r="601" ht="15.75" customHeight="1">
      <c r="B601" s="334"/>
      <c r="E601" s="124"/>
      <c r="F601" s="124"/>
      <c r="G601" s="124"/>
      <c r="H601" s="124"/>
      <c r="I601" s="124"/>
      <c r="J601" s="124"/>
      <c r="K601" s="124"/>
    </row>
    <row r="602" ht="15.75" customHeight="1">
      <c r="B602" s="334"/>
      <c r="E602" s="124"/>
      <c r="F602" s="124"/>
      <c r="G602" s="124"/>
      <c r="H602" s="124"/>
      <c r="I602" s="124"/>
      <c r="J602" s="124"/>
      <c r="K602" s="124"/>
    </row>
    <row r="603" ht="15.75" customHeight="1">
      <c r="B603" s="334"/>
      <c r="E603" s="124"/>
      <c r="F603" s="124"/>
      <c r="G603" s="124"/>
      <c r="H603" s="124"/>
      <c r="I603" s="124"/>
      <c r="J603" s="124"/>
      <c r="K603" s="124"/>
    </row>
    <row r="604" ht="15.75" customHeight="1">
      <c r="B604" s="334"/>
      <c r="E604" s="124"/>
      <c r="F604" s="124"/>
      <c r="G604" s="124"/>
      <c r="H604" s="124"/>
      <c r="I604" s="124"/>
      <c r="J604" s="124"/>
      <c r="K604" s="124"/>
    </row>
    <row r="605" ht="15.75" customHeight="1">
      <c r="B605" s="334"/>
      <c r="E605" s="124"/>
      <c r="F605" s="124"/>
      <c r="G605" s="124"/>
      <c r="H605" s="124"/>
      <c r="I605" s="124"/>
      <c r="J605" s="124"/>
      <c r="K605" s="124"/>
    </row>
    <row r="606" ht="15.75" customHeight="1">
      <c r="B606" s="334"/>
      <c r="E606" s="124"/>
      <c r="F606" s="124"/>
      <c r="G606" s="124"/>
      <c r="H606" s="124"/>
      <c r="I606" s="124"/>
      <c r="J606" s="124"/>
      <c r="K606" s="124"/>
    </row>
    <row r="607" ht="15.75" customHeight="1">
      <c r="B607" s="334"/>
      <c r="E607" s="124"/>
      <c r="F607" s="124"/>
      <c r="G607" s="124"/>
      <c r="H607" s="124"/>
      <c r="I607" s="124"/>
      <c r="J607" s="124"/>
      <c r="K607" s="124"/>
    </row>
    <row r="608" ht="15.75" customHeight="1">
      <c r="B608" s="334"/>
      <c r="E608" s="124"/>
      <c r="F608" s="124"/>
      <c r="G608" s="124"/>
      <c r="H608" s="124"/>
      <c r="I608" s="124"/>
      <c r="J608" s="124"/>
      <c r="K608" s="124"/>
    </row>
    <row r="609" ht="15.75" customHeight="1">
      <c r="B609" s="334"/>
      <c r="E609" s="124"/>
      <c r="F609" s="124"/>
      <c r="G609" s="124"/>
      <c r="H609" s="124"/>
      <c r="I609" s="124"/>
      <c r="J609" s="124"/>
      <c r="K609" s="124"/>
    </row>
    <row r="610" ht="15.75" customHeight="1">
      <c r="B610" s="334"/>
      <c r="E610" s="124"/>
      <c r="F610" s="124"/>
      <c r="G610" s="124"/>
      <c r="H610" s="124"/>
      <c r="I610" s="124"/>
      <c r="J610" s="124"/>
      <c r="K610" s="124"/>
    </row>
    <row r="611" ht="15.75" customHeight="1">
      <c r="B611" s="334"/>
      <c r="E611" s="124"/>
      <c r="F611" s="124"/>
      <c r="G611" s="124"/>
      <c r="H611" s="124"/>
      <c r="I611" s="124"/>
      <c r="J611" s="124"/>
      <c r="K611" s="124"/>
    </row>
    <row r="612" ht="15.75" customHeight="1">
      <c r="B612" s="334"/>
      <c r="E612" s="124"/>
      <c r="F612" s="124"/>
      <c r="G612" s="124"/>
      <c r="H612" s="124"/>
      <c r="I612" s="124"/>
      <c r="J612" s="124"/>
      <c r="K612" s="124"/>
    </row>
    <row r="613" ht="15.75" customHeight="1">
      <c r="B613" s="334"/>
      <c r="E613" s="124"/>
      <c r="F613" s="124"/>
      <c r="G613" s="124"/>
      <c r="H613" s="124"/>
      <c r="I613" s="124"/>
      <c r="J613" s="124"/>
      <c r="K613" s="124"/>
    </row>
    <row r="614" ht="15.75" customHeight="1">
      <c r="B614" s="334"/>
      <c r="E614" s="124"/>
      <c r="F614" s="124"/>
      <c r="G614" s="124"/>
      <c r="H614" s="124"/>
      <c r="I614" s="124"/>
      <c r="J614" s="124"/>
      <c r="K614" s="124"/>
    </row>
    <row r="615" ht="15.75" customHeight="1">
      <c r="B615" s="334"/>
      <c r="E615" s="124"/>
      <c r="F615" s="124"/>
      <c r="G615" s="124"/>
      <c r="H615" s="124"/>
      <c r="I615" s="124"/>
      <c r="J615" s="124"/>
      <c r="K615" s="124"/>
    </row>
    <row r="616" ht="15.75" customHeight="1">
      <c r="B616" s="334"/>
      <c r="E616" s="124"/>
      <c r="F616" s="124"/>
      <c r="G616" s="124"/>
      <c r="H616" s="124"/>
      <c r="I616" s="124"/>
      <c r="J616" s="124"/>
      <c r="K616" s="124"/>
    </row>
    <row r="617" ht="15.75" customHeight="1">
      <c r="B617" s="334"/>
      <c r="E617" s="124"/>
      <c r="F617" s="124"/>
      <c r="G617" s="124"/>
      <c r="H617" s="124"/>
      <c r="I617" s="124"/>
      <c r="J617" s="124"/>
      <c r="K617" s="124"/>
    </row>
    <row r="618" ht="15.75" customHeight="1">
      <c r="B618" s="334"/>
      <c r="E618" s="124"/>
      <c r="F618" s="124"/>
      <c r="G618" s="124"/>
      <c r="H618" s="124"/>
      <c r="I618" s="124"/>
      <c r="J618" s="124"/>
      <c r="K618" s="124"/>
    </row>
    <row r="619" ht="15.75" customHeight="1">
      <c r="B619" s="334"/>
      <c r="E619" s="124"/>
      <c r="F619" s="124"/>
      <c r="G619" s="124"/>
      <c r="H619" s="124"/>
      <c r="I619" s="124"/>
      <c r="J619" s="124"/>
      <c r="K619" s="124"/>
    </row>
    <row r="620" ht="15.75" customHeight="1">
      <c r="B620" s="334"/>
      <c r="E620" s="124"/>
      <c r="F620" s="124"/>
      <c r="G620" s="124"/>
      <c r="H620" s="124"/>
      <c r="I620" s="124"/>
      <c r="J620" s="124"/>
      <c r="K620" s="124"/>
    </row>
    <row r="621" ht="15.75" customHeight="1">
      <c r="B621" s="334"/>
      <c r="E621" s="124"/>
      <c r="F621" s="124"/>
      <c r="G621" s="124"/>
      <c r="H621" s="124"/>
      <c r="I621" s="124"/>
      <c r="J621" s="124"/>
      <c r="K621" s="124"/>
    </row>
    <row r="622" ht="15.75" customHeight="1">
      <c r="B622" s="334"/>
      <c r="E622" s="124"/>
      <c r="F622" s="124"/>
      <c r="G622" s="124"/>
      <c r="H622" s="124"/>
      <c r="I622" s="124"/>
      <c r="J622" s="124"/>
      <c r="K622" s="124"/>
    </row>
    <row r="623" ht="15.75" customHeight="1">
      <c r="B623" s="334"/>
      <c r="E623" s="124"/>
      <c r="F623" s="124"/>
      <c r="G623" s="124"/>
      <c r="H623" s="124"/>
      <c r="I623" s="124"/>
      <c r="J623" s="124"/>
      <c r="K623" s="124"/>
    </row>
    <row r="624" ht="15.75" customHeight="1">
      <c r="B624" s="334"/>
      <c r="E624" s="124"/>
      <c r="F624" s="124"/>
      <c r="G624" s="124"/>
      <c r="H624" s="124"/>
      <c r="I624" s="124"/>
      <c r="J624" s="124"/>
      <c r="K624" s="124"/>
    </row>
    <row r="625" ht="15.75" customHeight="1">
      <c r="B625" s="334"/>
      <c r="E625" s="124"/>
      <c r="F625" s="124"/>
      <c r="G625" s="124"/>
      <c r="H625" s="124"/>
      <c r="I625" s="124"/>
      <c r="J625" s="124"/>
      <c r="K625" s="124"/>
    </row>
    <row r="626" ht="15.75" customHeight="1">
      <c r="B626" s="334"/>
      <c r="E626" s="124"/>
      <c r="F626" s="124"/>
      <c r="G626" s="124"/>
      <c r="H626" s="124"/>
      <c r="I626" s="124"/>
      <c r="J626" s="124"/>
      <c r="K626" s="124"/>
    </row>
    <row r="627" ht="15.75" customHeight="1">
      <c r="B627" s="334"/>
      <c r="E627" s="124"/>
      <c r="F627" s="124"/>
      <c r="G627" s="124"/>
      <c r="H627" s="124"/>
      <c r="I627" s="124"/>
      <c r="J627" s="124"/>
      <c r="K627" s="124"/>
    </row>
    <row r="628" ht="15.75" customHeight="1">
      <c r="B628" s="334"/>
      <c r="E628" s="124"/>
      <c r="F628" s="124"/>
      <c r="G628" s="124"/>
      <c r="H628" s="124"/>
      <c r="I628" s="124"/>
      <c r="J628" s="124"/>
      <c r="K628" s="124"/>
    </row>
    <row r="629" ht="15.75" customHeight="1">
      <c r="B629" s="334"/>
      <c r="E629" s="124"/>
      <c r="F629" s="124"/>
      <c r="G629" s="124"/>
      <c r="H629" s="124"/>
      <c r="I629" s="124"/>
      <c r="J629" s="124"/>
      <c r="K629" s="124"/>
    </row>
    <row r="630" ht="15.75" customHeight="1">
      <c r="B630" s="334"/>
      <c r="E630" s="124"/>
      <c r="F630" s="124"/>
      <c r="G630" s="124"/>
      <c r="H630" s="124"/>
      <c r="I630" s="124"/>
      <c r="J630" s="124"/>
      <c r="K630" s="124"/>
    </row>
    <row r="631" ht="15.75" customHeight="1">
      <c r="B631" s="334"/>
      <c r="E631" s="124"/>
      <c r="F631" s="124"/>
      <c r="G631" s="124"/>
      <c r="H631" s="124"/>
      <c r="I631" s="124"/>
      <c r="J631" s="124"/>
      <c r="K631" s="124"/>
    </row>
    <row r="632" ht="15.75" customHeight="1">
      <c r="B632" s="334"/>
      <c r="E632" s="124"/>
      <c r="F632" s="124"/>
      <c r="G632" s="124"/>
      <c r="H632" s="124"/>
      <c r="I632" s="124"/>
      <c r="J632" s="124"/>
      <c r="K632" s="124"/>
    </row>
    <row r="633" ht="15.75" customHeight="1">
      <c r="B633" s="334"/>
      <c r="E633" s="124"/>
      <c r="F633" s="124"/>
      <c r="G633" s="124"/>
      <c r="H633" s="124"/>
      <c r="I633" s="124"/>
      <c r="J633" s="124"/>
      <c r="K633" s="124"/>
    </row>
    <row r="634" ht="15.75" customHeight="1">
      <c r="B634" s="334"/>
      <c r="E634" s="124"/>
      <c r="F634" s="124"/>
      <c r="G634" s="124"/>
      <c r="H634" s="124"/>
      <c r="I634" s="124"/>
      <c r="J634" s="124"/>
      <c r="K634" s="124"/>
    </row>
    <row r="635" ht="15.75" customHeight="1">
      <c r="B635" s="334"/>
      <c r="E635" s="124"/>
      <c r="F635" s="124"/>
      <c r="G635" s="124"/>
      <c r="H635" s="124"/>
      <c r="I635" s="124"/>
      <c r="J635" s="124"/>
      <c r="K635" s="124"/>
    </row>
    <row r="636" ht="15.75" customHeight="1">
      <c r="B636" s="334"/>
      <c r="E636" s="124"/>
      <c r="F636" s="124"/>
      <c r="G636" s="124"/>
      <c r="H636" s="124"/>
      <c r="I636" s="124"/>
      <c r="J636" s="124"/>
      <c r="K636" s="124"/>
    </row>
    <row r="637" ht="15.75" customHeight="1">
      <c r="B637" s="334"/>
      <c r="E637" s="124"/>
      <c r="F637" s="124"/>
      <c r="G637" s="124"/>
      <c r="H637" s="124"/>
      <c r="I637" s="124"/>
      <c r="J637" s="124"/>
      <c r="K637" s="124"/>
    </row>
    <row r="638" ht="15.75" customHeight="1">
      <c r="B638" s="334"/>
      <c r="E638" s="124"/>
      <c r="F638" s="124"/>
      <c r="G638" s="124"/>
      <c r="H638" s="124"/>
      <c r="I638" s="124"/>
      <c r="J638" s="124"/>
      <c r="K638" s="124"/>
    </row>
    <row r="639" ht="15.75" customHeight="1">
      <c r="B639" s="334"/>
      <c r="E639" s="124"/>
      <c r="F639" s="124"/>
      <c r="G639" s="124"/>
      <c r="H639" s="124"/>
      <c r="I639" s="124"/>
      <c r="J639" s="124"/>
      <c r="K639" s="124"/>
    </row>
    <row r="640" ht="15.75" customHeight="1">
      <c r="B640" s="334"/>
      <c r="E640" s="124"/>
      <c r="F640" s="124"/>
      <c r="G640" s="124"/>
      <c r="H640" s="124"/>
      <c r="I640" s="124"/>
      <c r="J640" s="124"/>
      <c r="K640" s="124"/>
    </row>
    <row r="641" ht="15.75" customHeight="1">
      <c r="B641" s="334"/>
      <c r="E641" s="124"/>
      <c r="F641" s="124"/>
      <c r="G641" s="124"/>
      <c r="H641" s="124"/>
      <c r="I641" s="124"/>
      <c r="J641" s="124"/>
      <c r="K641" s="124"/>
    </row>
    <row r="642" ht="15.75" customHeight="1">
      <c r="B642" s="334"/>
      <c r="E642" s="124"/>
      <c r="F642" s="124"/>
      <c r="G642" s="124"/>
      <c r="H642" s="124"/>
      <c r="I642" s="124"/>
      <c r="J642" s="124"/>
      <c r="K642" s="124"/>
    </row>
    <row r="643" ht="15.75" customHeight="1">
      <c r="B643" s="334"/>
      <c r="E643" s="124"/>
      <c r="F643" s="124"/>
      <c r="G643" s="124"/>
      <c r="H643" s="124"/>
      <c r="I643" s="124"/>
      <c r="J643" s="124"/>
      <c r="K643" s="124"/>
    </row>
    <row r="644" ht="15.75" customHeight="1">
      <c r="B644" s="334"/>
      <c r="E644" s="124"/>
      <c r="F644" s="124"/>
      <c r="G644" s="124"/>
      <c r="H644" s="124"/>
      <c r="I644" s="124"/>
      <c r="J644" s="124"/>
      <c r="K644" s="124"/>
    </row>
    <row r="645" ht="15.75" customHeight="1">
      <c r="B645" s="334"/>
      <c r="E645" s="124"/>
      <c r="F645" s="124"/>
      <c r="G645" s="124"/>
      <c r="H645" s="124"/>
      <c r="I645" s="124"/>
      <c r="J645" s="124"/>
      <c r="K645" s="124"/>
    </row>
    <row r="646" ht="15.75" customHeight="1">
      <c r="B646" s="334"/>
      <c r="E646" s="124"/>
      <c r="F646" s="124"/>
      <c r="G646" s="124"/>
      <c r="H646" s="124"/>
      <c r="I646" s="124"/>
      <c r="J646" s="124"/>
      <c r="K646" s="124"/>
    </row>
    <row r="647" ht="15.75" customHeight="1">
      <c r="B647" s="334"/>
      <c r="E647" s="124"/>
      <c r="F647" s="124"/>
      <c r="G647" s="124"/>
      <c r="H647" s="124"/>
      <c r="I647" s="124"/>
      <c r="J647" s="124"/>
      <c r="K647" s="124"/>
    </row>
    <row r="648" ht="15.75" customHeight="1">
      <c r="B648" s="334"/>
      <c r="E648" s="124"/>
      <c r="F648" s="124"/>
      <c r="G648" s="124"/>
      <c r="H648" s="124"/>
      <c r="I648" s="124"/>
      <c r="J648" s="124"/>
      <c r="K648" s="124"/>
    </row>
    <row r="649" ht="15.75" customHeight="1">
      <c r="B649" s="334"/>
      <c r="E649" s="124"/>
      <c r="F649" s="124"/>
      <c r="G649" s="124"/>
      <c r="H649" s="124"/>
      <c r="I649" s="124"/>
      <c r="J649" s="124"/>
      <c r="K649" s="124"/>
    </row>
    <row r="650" ht="15.75" customHeight="1">
      <c r="B650" s="334"/>
      <c r="E650" s="124"/>
      <c r="F650" s="124"/>
      <c r="G650" s="124"/>
      <c r="H650" s="124"/>
      <c r="I650" s="124"/>
      <c r="J650" s="124"/>
      <c r="K650" s="124"/>
    </row>
    <row r="651" ht="15.75" customHeight="1">
      <c r="B651" s="334"/>
      <c r="E651" s="124"/>
      <c r="F651" s="124"/>
      <c r="G651" s="124"/>
      <c r="H651" s="124"/>
      <c r="I651" s="124"/>
      <c r="J651" s="124"/>
      <c r="K651" s="124"/>
    </row>
    <row r="652" ht="15.75" customHeight="1">
      <c r="B652" s="334"/>
      <c r="E652" s="124"/>
      <c r="F652" s="124"/>
      <c r="G652" s="124"/>
      <c r="H652" s="124"/>
      <c r="I652" s="124"/>
      <c r="J652" s="124"/>
      <c r="K652" s="124"/>
    </row>
    <row r="653" ht="15.75" customHeight="1">
      <c r="B653" s="334"/>
      <c r="E653" s="124"/>
      <c r="F653" s="124"/>
      <c r="G653" s="124"/>
      <c r="H653" s="124"/>
      <c r="I653" s="124"/>
      <c r="J653" s="124"/>
      <c r="K653" s="124"/>
    </row>
    <row r="654" ht="15.75" customHeight="1">
      <c r="B654" s="334"/>
      <c r="E654" s="124"/>
      <c r="F654" s="124"/>
      <c r="G654" s="124"/>
      <c r="H654" s="124"/>
      <c r="I654" s="124"/>
      <c r="J654" s="124"/>
      <c r="K654" s="124"/>
    </row>
    <row r="655" ht="15.75" customHeight="1">
      <c r="B655" s="334"/>
      <c r="E655" s="124"/>
      <c r="F655" s="124"/>
      <c r="G655" s="124"/>
      <c r="H655" s="124"/>
      <c r="I655" s="124"/>
      <c r="J655" s="124"/>
      <c r="K655" s="124"/>
    </row>
    <row r="656" ht="15.75" customHeight="1">
      <c r="B656" s="334"/>
      <c r="E656" s="124"/>
      <c r="F656" s="124"/>
      <c r="G656" s="124"/>
      <c r="H656" s="124"/>
      <c r="I656" s="124"/>
      <c r="J656" s="124"/>
      <c r="K656" s="124"/>
    </row>
    <row r="657" ht="15.75" customHeight="1">
      <c r="B657" s="334"/>
      <c r="E657" s="124"/>
      <c r="F657" s="124"/>
      <c r="G657" s="124"/>
      <c r="H657" s="124"/>
      <c r="I657" s="124"/>
      <c r="J657" s="124"/>
      <c r="K657" s="124"/>
    </row>
    <row r="658" ht="15.75" customHeight="1">
      <c r="B658" s="334"/>
      <c r="E658" s="124"/>
      <c r="F658" s="124"/>
      <c r="G658" s="124"/>
      <c r="H658" s="124"/>
      <c r="I658" s="124"/>
      <c r="J658" s="124"/>
      <c r="K658" s="124"/>
    </row>
    <row r="659" ht="15.75" customHeight="1">
      <c r="B659" s="334"/>
      <c r="E659" s="124"/>
      <c r="F659" s="124"/>
      <c r="G659" s="124"/>
      <c r="H659" s="124"/>
      <c r="I659" s="124"/>
      <c r="J659" s="124"/>
      <c r="K659" s="124"/>
    </row>
    <row r="660" ht="15.75" customHeight="1">
      <c r="B660" s="334"/>
      <c r="E660" s="124"/>
      <c r="F660" s="124"/>
      <c r="G660" s="124"/>
      <c r="H660" s="124"/>
      <c r="I660" s="124"/>
      <c r="J660" s="124"/>
      <c r="K660" s="124"/>
    </row>
    <row r="661" ht="15.75" customHeight="1">
      <c r="B661" s="334"/>
      <c r="E661" s="124"/>
      <c r="F661" s="124"/>
      <c r="G661" s="124"/>
      <c r="H661" s="124"/>
      <c r="I661" s="124"/>
      <c r="J661" s="124"/>
      <c r="K661" s="124"/>
    </row>
    <row r="662" ht="15.75" customHeight="1">
      <c r="B662" s="334"/>
      <c r="E662" s="124"/>
      <c r="F662" s="124"/>
      <c r="G662" s="124"/>
      <c r="H662" s="124"/>
      <c r="I662" s="124"/>
      <c r="J662" s="124"/>
      <c r="K662" s="124"/>
    </row>
    <row r="663" ht="15.75" customHeight="1">
      <c r="B663" s="334"/>
      <c r="E663" s="124"/>
      <c r="F663" s="124"/>
      <c r="G663" s="124"/>
      <c r="H663" s="124"/>
      <c r="I663" s="124"/>
      <c r="J663" s="124"/>
      <c r="K663" s="124"/>
    </row>
    <row r="664" ht="15.75" customHeight="1">
      <c r="B664" s="334"/>
      <c r="E664" s="124"/>
      <c r="F664" s="124"/>
      <c r="G664" s="124"/>
      <c r="H664" s="124"/>
      <c r="I664" s="124"/>
      <c r="J664" s="124"/>
      <c r="K664" s="124"/>
    </row>
    <row r="665" ht="15.75" customHeight="1">
      <c r="B665" s="334"/>
      <c r="E665" s="124"/>
      <c r="F665" s="124"/>
      <c r="G665" s="124"/>
      <c r="H665" s="124"/>
      <c r="I665" s="124"/>
      <c r="J665" s="124"/>
      <c r="K665" s="124"/>
    </row>
    <row r="666" ht="15.75" customHeight="1">
      <c r="B666" s="334"/>
      <c r="E666" s="124"/>
      <c r="F666" s="124"/>
      <c r="G666" s="124"/>
      <c r="H666" s="124"/>
      <c r="I666" s="124"/>
      <c r="J666" s="124"/>
      <c r="K666" s="124"/>
    </row>
    <row r="667" ht="15.75" customHeight="1">
      <c r="B667" s="334"/>
      <c r="E667" s="124"/>
      <c r="F667" s="124"/>
      <c r="G667" s="124"/>
      <c r="H667" s="124"/>
      <c r="I667" s="124"/>
      <c r="J667" s="124"/>
      <c r="K667" s="124"/>
    </row>
    <row r="668" ht="15.75" customHeight="1">
      <c r="B668" s="334"/>
      <c r="E668" s="124"/>
      <c r="F668" s="124"/>
      <c r="G668" s="124"/>
      <c r="H668" s="124"/>
      <c r="I668" s="124"/>
      <c r="J668" s="124"/>
      <c r="K668" s="124"/>
    </row>
    <row r="669" ht="15.75" customHeight="1">
      <c r="B669" s="334"/>
      <c r="E669" s="124"/>
      <c r="F669" s="124"/>
      <c r="G669" s="124"/>
      <c r="H669" s="124"/>
      <c r="I669" s="124"/>
      <c r="J669" s="124"/>
      <c r="K669" s="124"/>
    </row>
    <row r="670" ht="15.75" customHeight="1">
      <c r="B670" s="334"/>
      <c r="E670" s="124"/>
      <c r="F670" s="124"/>
      <c r="G670" s="124"/>
      <c r="H670" s="124"/>
      <c r="I670" s="124"/>
      <c r="J670" s="124"/>
      <c r="K670" s="124"/>
    </row>
    <row r="671" ht="15.75" customHeight="1">
      <c r="B671" s="334"/>
      <c r="E671" s="124"/>
      <c r="F671" s="124"/>
      <c r="G671" s="124"/>
      <c r="H671" s="124"/>
      <c r="I671" s="124"/>
      <c r="J671" s="124"/>
      <c r="K671" s="124"/>
    </row>
    <row r="672" ht="15.75" customHeight="1">
      <c r="B672" s="334"/>
      <c r="E672" s="124"/>
      <c r="F672" s="124"/>
      <c r="G672" s="124"/>
      <c r="H672" s="124"/>
      <c r="I672" s="124"/>
      <c r="J672" s="124"/>
      <c r="K672" s="124"/>
    </row>
    <row r="673" ht="15.75" customHeight="1">
      <c r="B673" s="334"/>
      <c r="E673" s="124"/>
      <c r="F673" s="124"/>
      <c r="G673" s="124"/>
      <c r="H673" s="124"/>
      <c r="I673" s="124"/>
      <c r="J673" s="124"/>
      <c r="K673" s="124"/>
    </row>
    <row r="674" ht="15.75" customHeight="1">
      <c r="B674" s="334"/>
      <c r="E674" s="124"/>
      <c r="F674" s="124"/>
      <c r="G674" s="124"/>
      <c r="H674" s="124"/>
      <c r="I674" s="124"/>
      <c r="J674" s="124"/>
      <c r="K674" s="124"/>
    </row>
    <row r="675" ht="15.75" customHeight="1">
      <c r="B675" s="334"/>
      <c r="E675" s="124"/>
      <c r="F675" s="124"/>
      <c r="G675" s="124"/>
      <c r="H675" s="124"/>
      <c r="I675" s="124"/>
      <c r="J675" s="124"/>
      <c r="K675" s="124"/>
    </row>
    <row r="676" ht="15.75" customHeight="1">
      <c r="B676" s="334"/>
      <c r="E676" s="124"/>
      <c r="F676" s="124"/>
      <c r="G676" s="124"/>
      <c r="H676" s="124"/>
      <c r="I676" s="124"/>
      <c r="J676" s="124"/>
      <c r="K676" s="124"/>
    </row>
    <row r="677" ht="15.75" customHeight="1">
      <c r="B677" s="334"/>
      <c r="E677" s="124"/>
      <c r="F677" s="124"/>
      <c r="G677" s="124"/>
      <c r="H677" s="124"/>
      <c r="I677" s="124"/>
      <c r="J677" s="124"/>
      <c r="K677" s="124"/>
    </row>
    <row r="678" ht="15.75" customHeight="1">
      <c r="B678" s="334"/>
      <c r="E678" s="124"/>
      <c r="F678" s="124"/>
      <c r="G678" s="124"/>
      <c r="H678" s="124"/>
      <c r="I678" s="124"/>
      <c r="J678" s="124"/>
      <c r="K678" s="124"/>
    </row>
    <row r="679" ht="15.75" customHeight="1">
      <c r="B679" s="334"/>
      <c r="E679" s="124"/>
      <c r="F679" s="124"/>
      <c r="G679" s="124"/>
      <c r="H679" s="124"/>
      <c r="I679" s="124"/>
      <c r="J679" s="124"/>
      <c r="K679" s="124"/>
    </row>
    <row r="680" ht="15.75" customHeight="1">
      <c r="B680" s="334"/>
      <c r="E680" s="124"/>
      <c r="F680" s="124"/>
      <c r="G680" s="124"/>
      <c r="H680" s="124"/>
      <c r="I680" s="124"/>
      <c r="J680" s="124"/>
      <c r="K680" s="124"/>
    </row>
    <row r="681" ht="15.75" customHeight="1">
      <c r="B681" s="334"/>
      <c r="E681" s="124"/>
      <c r="F681" s="124"/>
      <c r="G681" s="124"/>
      <c r="H681" s="124"/>
      <c r="I681" s="124"/>
      <c r="J681" s="124"/>
      <c r="K681" s="124"/>
    </row>
    <row r="682" ht="15.75" customHeight="1">
      <c r="B682" s="334"/>
      <c r="E682" s="124"/>
      <c r="F682" s="124"/>
      <c r="G682" s="124"/>
      <c r="H682" s="124"/>
      <c r="I682" s="124"/>
      <c r="J682" s="124"/>
      <c r="K682" s="124"/>
    </row>
    <row r="683" ht="15.75" customHeight="1">
      <c r="B683" s="334"/>
      <c r="E683" s="124"/>
      <c r="F683" s="124"/>
      <c r="G683" s="124"/>
      <c r="H683" s="124"/>
      <c r="I683" s="124"/>
      <c r="J683" s="124"/>
      <c r="K683" s="124"/>
    </row>
    <row r="684" ht="15.75" customHeight="1">
      <c r="B684" s="334"/>
      <c r="E684" s="124"/>
      <c r="F684" s="124"/>
      <c r="G684" s="124"/>
      <c r="H684" s="124"/>
      <c r="I684" s="124"/>
      <c r="J684" s="124"/>
      <c r="K684" s="124"/>
    </row>
    <row r="685" ht="15.75" customHeight="1">
      <c r="B685" s="334"/>
      <c r="E685" s="124"/>
      <c r="F685" s="124"/>
      <c r="G685" s="124"/>
      <c r="H685" s="124"/>
      <c r="I685" s="124"/>
      <c r="J685" s="124"/>
      <c r="K685" s="124"/>
    </row>
    <row r="686" ht="15.75" customHeight="1">
      <c r="B686" s="334"/>
      <c r="E686" s="124"/>
      <c r="F686" s="124"/>
      <c r="G686" s="124"/>
      <c r="H686" s="124"/>
      <c r="I686" s="124"/>
      <c r="J686" s="124"/>
      <c r="K686" s="124"/>
    </row>
    <row r="687" ht="15.75" customHeight="1">
      <c r="B687" s="334"/>
      <c r="E687" s="124"/>
      <c r="F687" s="124"/>
      <c r="G687" s="124"/>
      <c r="H687" s="124"/>
      <c r="I687" s="124"/>
      <c r="J687" s="124"/>
      <c r="K687" s="124"/>
    </row>
    <row r="688" ht="15.75" customHeight="1">
      <c r="B688" s="334"/>
      <c r="E688" s="124"/>
      <c r="F688" s="124"/>
      <c r="G688" s="124"/>
      <c r="H688" s="124"/>
      <c r="I688" s="124"/>
      <c r="J688" s="124"/>
      <c r="K688" s="124"/>
    </row>
    <row r="689" ht="15.75" customHeight="1">
      <c r="B689" s="334"/>
      <c r="E689" s="124"/>
      <c r="F689" s="124"/>
      <c r="G689" s="124"/>
      <c r="H689" s="124"/>
      <c r="I689" s="124"/>
      <c r="J689" s="124"/>
      <c r="K689" s="124"/>
    </row>
    <row r="690" ht="15.75" customHeight="1">
      <c r="B690" s="334"/>
      <c r="E690" s="124"/>
      <c r="F690" s="124"/>
      <c r="G690" s="124"/>
      <c r="H690" s="124"/>
      <c r="I690" s="124"/>
      <c r="J690" s="124"/>
      <c r="K690" s="124"/>
    </row>
    <row r="691" ht="15.75" customHeight="1">
      <c r="B691" s="334"/>
      <c r="E691" s="124"/>
      <c r="F691" s="124"/>
      <c r="G691" s="124"/>
      <c r="H691" s="124"/>
      <c r="I691" s="124"/>
      <c r="J691" s="124"/>
      <c r="K691" s="124"/>
    </row>
    <row r="692" ht="15.75" customHeight="1">
      <c r="B692" s="334"/>
      <c r="E692" s="124"/>
      <c r="F692" s="124"/>
      <c r="G692" s="124"/>
      <c r="H692" s="124"/>
      <c r="I692" s="124"/>
      <c r="J692" s="124"/>
      <c r="K692" s="124"/>
    </row>
    <row r="693" ht="15.75" customHeight="1">
      <c r="B693" s="334"/>
      <c r="E693" s="124"/>
      <c r="F693" s="124"/>
      <c r="G693" s="124"/>
      <c r="H693" s="124"/>
      <c r="I693" s="124"/>
      <c r="J693" s="124"/>
      <c r="K693" s="124"/>
    </row>
    <row r="694" ht="15.75" customHeight="1">
      <c r="B694" s="334"/>
      <c r="E694" s="124"/>
      <c r="F694" s="124"/>
      <c r="G694" s="124"/>
      <c r="H694" s="124"/>
      <c r="I694" s="124"/>
      <c r="J694" s="124"/>
      <c r="K694" s="124"/>
    </row>
    <row r="695" ht="15.75" customHeight="1">
      <c r="B695" s="334"/>
      <c r="E695" s="124"/>
      <c r="F695" s="124"/>
      <c r="G695" s="124"/>
      <c r="H695" s="124"/>
      <c r="I695" s="124"/>
      <c r="J695" s="124"/>
      <c r="K695" s="124"/>
    </row>
    <row r="696" ht="15.75" customHeight="1">
      <c r="B696" s="334"/>
      <c r="E696" s="124"/>
      <c r="F696" s="124"/>
      <c r="G696" s="124"/>
      <c r="H696" s="124"/>
      <c r="I696" s="124"/>
      <c r="J696" s="124"/>
      <c r="K696" s="124"/>
    </row>
    <row r="697" ht="15.75" customHeight="1">
      <c r="B697" s="334"/>
      <c r="E697" s="124"/>
      <c r="F697" s="124"/>
      <c r="G697" s="124"/>
      <c r="H697" s="124"/>
      <c r="I697" s="124"/>
      <c r="J697" s="124"/>
      <c r="K697" s="124"/>
    </row>
    <row r="698" ht="15.75" customHeight="1">
      <c r="B698" s="334"/>
      <c r="E698" s="124"/>
      <c r="F698" s="124"/>
      <c r="G698" s="124"/>
      <c r="H698" s="124"/>
      <c r="I698" s="124"/>
      <c r="J698" s="124"/>
      <c r="K698" s="124"/>
    </row>
    <row r="699" ht="15.75" customHeight="1">
      <c r="B699" s="334"/>
      <c r="E699" s="124"/>
      <c r="F699" s="124"/>
      <c r="G699" s="124"/>
      <c r="H699" s="124"/>
      <c r="I699" s="124"/>
      <c r="J699" s="124"/>
      <c r="K699" s="124"/>
    </row>
    <row r="700" ht="15.75" customHeight="1">
      <c r="B700" s="334"/>
      <c r="E700" s="124"/>
      <c r="F700" s="124"/>
      <c r="G700" s="124"/>
      <c r="H700" s="124"/>
      <c r="I700" s="124"/>
      <c r="J700" s="124"/>
      <c r="K700" s="124"/>
    </row>
    <row r="701" ht="15.75" customHeight="1">
      <c r="B701" s="334"/>
      <c r="E701" s="124"/>
      <c r="F701" s="124"/>
      <c r="G701" s="124"/>
      <c r="H701" s="124"/>
      <c r="I701" s="124"/>
      <c r="J701" s="124"/>
      <c r="K701" s="124"/>
    </row>
    <row r="702" ht="15.75" customHeight="1">
      <c r="B702" s="334"/>
      <c r="E702" s="124"/>
      <c r="F702" s="124"/>
      <c r="G702" s="124"/>
      <c r="H702" s="124"/>
      <c r="I702" s="124"/>
      <c r="J702" s="124"/>
      <c r="K702" s="124"/>
    </row>
    <row r="703" ht="15.75" customHeight="1">
      <c r="B703" s="334"/>
      <c r="E703" s="124"/>
      <c r="F703" s="124"/>
      <c r="G703" s="124"/>
      <c r="H703" s="124"/>
      <c r="I703" s="124"/>
      <c r="J703" s="124"/>
      <c r="K703" s="124"/>
    </row>
    <row r="704" ht="15.75" customHeight="1">
      <c r="B704" s="334"/>
      <c r="E704" s="124"/>
      <c r="F704" s="124"/>
      <c r="G704" s="124"/>
      <c r="H704" s="124"/>
      <c r="I704" s="124"/>
      <c r="J704" s="124"/>
      <c r="K704" s="124"/>
    </row>
    <row r="705" ht="15.75" customHeight="1">
      <c r="B705" s="334"/>
      <c r="E705" s="124"/>
      <c r="F705" s="124"/>
      <c r="G705" s="124"/>
      <c r="H705" s="124"/>
      <c r="I705" s="124"/>
      <c r="J705" s="124"/>
      <c r="K705" s="124"/>
    </row>
    <row r="706" ht="15.75" customHeight="1">
      <c r="B706" s="334"/>
      <c r="E706" s="124"/>
      <c r="F706" s="124"/>
      <c r="G706" s="124"/>
      <c r="H706" s="124"/>
      <c r="I706" s="124"/>
      <c r="J706" s="124"/>
      <c r="K706" s="124"/>
    </row>
    <row r="707" ht="15.75" customHeight="1">
      <c r="B707" s="334"/>
      <c r="E707" s="124"/>
      <c r="F707" s="124"/>
      <c r="G707" s="124"/>
      <c r="H707" s="124"/>
      <c r="I707" s="124"/>
      <c r="J707" s="124"/>
      <c r="K707" s="124"/>
    </row>
    <row r="708" ht="15.75" customHeight="1">
      <c r="B708" s="334"/>
      <c r="E708" s="124"/>
      <c r="F708" s="124"/>
      <c r="G708" s="124"/>
      <c r="H708" s="124"/>
      <c r="I708" s="124"/>
      <c r="J708" s="124"/>
      <c r="K708" s="124"/>
    </row>
    <row r="709" ht="15.75" customHeight="1">
      <c r="B709" s="334"/>
      <c r="E709" s="124"/>
      <c r="F709" s="124"/>
      <c r="G709" s="124"/>
      <c r="H709" s="124"/>
      <c r="I709" s="124"/>
      <c r="J709" s="124"/>
      <c r="K709" s="124"/>
    </row>
    <row r="710" ht="15.75" customHeight="1">
      <c r="B710" s="334"/>
      <c r="E710" s="124"/>
      <c r="F710" s="124"/>
      <c r="G710" s="124"/>
      <c r="H710" s="124"/>
      <c r="I710" s="124"/>
      <c r="J710" s="124"/>
      <c r="K710" s="124"/>
    </row>
    <row r="711" ht="15.75" customHeight="1">
      <c r="B711" s="334"/>
      <c r="E711" s="124"/>
      <c r="F711" s="124"/>
      <c r="G711" s="124"/>
      <c r="H711" s="124"/>
      <c r="I711" s="124"/>
      <c r="J711" s="124"/>
      <c r="K711" s="124"/>
    </row>
    <row r="712" ht="15.75" customHeight="1">
      <c r="B712" s="334"/>
      <c r="E712" s="124"/>
      <c r="F712" s="124"/>
      <c r="G712" s="124"/>
      <c r="H712" s="124"/>
      <c r="I712" s="124"/>
      <c r="J712" s="124"/>
      <c r="K712" s="124"/>
    </row>
    <row r="713" ht="15.75" customHeight="1">
      <c r="B713" s="334"/>
      <c r="E713" s="124"/>
      <c r="F713" s="124"/>
      <c r="G713" s="124"/>
      <c r="H713" s="124"/>
      <c r="I713" s="124"/>
      <c r="J713" s="124"/>
      <c r="K713" s="124"/>
    </row>
    <row r="714" ht="15.75" customHeight="1">
      <c r="B714" s="334"/>
      <c r="E714" s="124"/>
      <c r="F714" s="124"/>
      <c r="G714" s="124"/>
      <c r="H714" s="124"/>
      <c r="I714" s="124"/>
      <c r="J714" s="124"/>
      <c r="K714" s="124"/>
    </row>
    <row r="715" ht="15.75" customHeight="1">
      <c r="B715" s="334"/>
      <c r="E715" s="124"/>
      <c r="F715" s="124"/>
      <c r="G715" s="124"/>
      <c r="H715" s="124"/>
      <c r="I715" s="124"/>
      <c r="J715" s="124"/>
      <c r="K715" s="124"/>
    </row>
    <row r="716" ht="15.75" customHeight="1">
      <c r="B716" s="334"/>
      <c r="E716" s="124"/>
      <c r="F716" s="124"/>
      <c r="G716" s="124"/>
      <c r="H716" s="124"/>
      <c r="I716" s="124"/>
      <c r="J716" s="124"/>
      <c r="K716" s="124"/>
    </row>
    <row r="717" ht="15.75" customHeight="1">
      <c r="B717" s="334"/>
      <c r="E717" s="124"/>
      <c r="F717" s="124"/>
      <c r="G717" s="124"/>
      <c r="H717" s="124"/>
      <c r="I717" s="124"/>
      <c r="J717" s="124"/>
      <c r="K717" s="124"/>
    </row>
    <row r="718" ht="15.75" customHeight="1">
      <c r="B718" s="334"/>
      <c r="E718" s="124"/>
      <c r="F718" s="124"/>
      <c r="G718" s="124"/>
      <c r="H718" s="124"/>
      <c r="I718" s="124"/>
      <c r="J718" s="124"/>
      <c r="K718" s="124"/>
    </row>
    <row r="719" ht="15.75" customHeight="1">
      <c r="B719" s="334"/>
      <c r="E719" s="124"/>
      <c r="F719" s="124"/>
      <c r="G719" s="124"/>
      <c r="H719" s="124"/>
      <c r="I719" s="124"/>
      <c r="J719" s="124"/>
      <c r="K719" s="124"/>
    </row>
    <row r="720" ht="15.75" customHeight="1">
      <c r="B720" s="334"/>
      <c r="E720" s="124"/>
      <c r="F720" s="124"/>
      <c r="G720" s="124"/>
      <c r="H720" s="124"/>
      <c r="I720" s="124"/>
      <c r="J720" s="124"/>
      <c r="K720" s="124"/>
    </row>
    <row r="721" ht="15.75" customHeight="1">
      <c r="B721" s="334"/>
      <c r="E721" s="124"/>
      <c r="F721" s="124"/>
      <c r="G721" s="124"/>
      <c r="H721" s="124"/>
      <c r="I721" s="124"/>
      <c r="J721" s="124"/>
      <c r="K721" s="124"/>
    </row>
    <row r="722" ht="15.75" customHeight="1">
      <c r="B722" s="334"/>
      <c r="E722" s="124"/>
      <c r="F722" s="124"/>
      <c r="G722" s="124"/>
      <c r="H722" s="124"/>
      <c r="I722" s="124"/>
      <c r="J722" s="124"/>
      <c r="K722" s="124"/>
    </row>
    <row r="723" ht="15.75" customHeight="1">
      <c r="B723" s="334"/>
      <c r="E723" s="124"/>
      <c r="F723" s="124"/>
      <c r="G723" s="124"/>
      <c r="H723" s="124"/>
      <c r="I723" s="124"/>
      <c r="J723" s="124"/>
      <c r="K723" s="124"/>
    </row>
    <row r="724" ht="15.75" customHeight="1">
      <c r="B724" s="334"/>
      <c r="E724" s="124"/>
      <c r="F724" s="124"/>
      <c r="G724" s="124"/>
      <c r="H724" s="124"/>
      <c r="I724" s="124"/>
      <c r="J724" s="124"/>
      <c r="K724" s="124"/>
    </row>
    <row r="725" ht="15.75" customHeight="1">
      <c r="B725" s="334"/>
      <c r="E725" s="124"/>
      <c r="F725" s="124"/>
      <c r="G725" s="124"/>
      <c r="H725" s="124"/>
      <c r="I725" s="124"/>
      <c r="J725" s="124"/>
      <c r="K725" s="124"/>
    </row>
    <row r="726" ht="15.75" customHeight="1">
      <c r="B726" s="334"/>
      <c r="E726" s="124"/>
      <c r="F726" s="124"/>
      <c r="G726" s="124"/>
      <c r="H726" s="124"/>
      <c r="I726" s="124"/>
      <c r="J726" s="124"/>
      <c r="K726" s="124"/>
    </row>
    <row r="727" ht="15.75" customHeight="1">
      <c r="B727" s="334"/>
      <c r="E727" s="124"/>
      <c r="F727" s="124"/>
      <c r="G727" s="124"/>
      <c r="H727" s="124"/>
      <c r="I727" s="124"/>
      <c r="J727" s="124"/>
      <c r="K727" s="124"/>
    </row>
    <row r="728" ht="15.75" customHeight="1">
      <c r="B728" s="334"/>
      <c r="E728" s="124"/>
      <c r="F728" s="124"/>
      <c r="G728" s="124"/>
      <c r="H728" s="124"/>
      <c r="I728" s="124"/>
      <c r="J728" s="124"/>
      <c r="K728" s="124"/>
    </row>
    <row r="729" ht="15.75" customHeight="1">
      <c r="B729" s="334"/>
      <c r="E729" s="124"/>
      <c r="F729" s="124"/>
      <c r="G729" s="124"/>
      <c r="H729" s="124"/>
      <c r="I729" s="124"/>
      <c r="J729" s="124"/>
      <c r="K729" s="124"/>
    </row>
    <row r="730" ht="15.75" customHeight="1">
      <c r="B730" s="334"/>
      <c r="E730" s="124"/>
      <c r="F730" s="124"/>
      <c r="G730" s="124"/>
      <c r="H730" s="124"/>
      <c r="I730" s="124"/>
      <c r="J730" s="124"/>
      <c r="K730" s="124"/>
    </row>
    <row r="731" ht="15.75" customHeight="1">
      <c r="B731" s="334"/>
      <c r="E731" s="124"/>
      <c r="F731" s="124"/>
      <c r="G731" s="124"/>
      <c r="H731" s="124"/>
      <c r="I731" s="124"/>
      <c r="J731" s="124"/>
      <c r="K731" s="124"/>
    </row>
    <row r="732" ht="15.75" customHeight="1">
      <c r="B732" s="334"/>
      <c r="E732" s="124"/>
      <c r="F732" s="124"/>
      <c r="G732" s="124"/>
      <c r="H732" s="124"/>
      <c r="I732" s="124"/>
      <c r="J732" s="124"/>
      <c r="K732" s="124"/>
    </row>
    <row r="733" ht="15.75" customHeight="1">
      <c r="B733" s="334"/>
      <c r="E733" s="124"/>
      <c r="F733" s="124"/>
      <c r="G733" s="124"/>
      <c r="H733" s="124"/>
      <c r="I733" s="124"/>
      <c r="J733" s="124"/>
      <c r="K733" s="124"/>
    </row>
    <row r="734" ht="15.75" customHeight="1">
      <c r="B734" s="334"/>
      <c r="E734" s="124"/>
      <c r="F734" s="124"/>
      <c r="G734" s="124"/>
      <c r="H734" s="124"/>
      <c r="I734" s="124"/>
      <c r="J734" s="124"/>
      <c r="K734" s="124"/>
    </row>
    <row r="735" ht="15.75" customHeight="1">
      <c r="B735" s="334"/>
      <c r="E735" s="124"/>
      <c r="F735" s="124"/>
      <c r="G735" s="124"/>
      <c r="H735" s="124"/>
      <c r="I735" s="124"/>
      <c r="J735" s="124"/>
      <c r="K735" s="124"/>
    </row>
    <row r="736" ht="15.75" customHeight="1">
      <c r="B736" s="334"/>
      <c r="E736" s="124"/>
      <c r="F736" s="124"/>
      <c r="G736" s="124"/>
      <c r="H736" s="124"/>
      <c r="I736" s="124"/>
      <c r="J736" s="124"/>
      <c r="K736" s="124"/>
    </row>
    <row r="737" ht="15.75" customHeight="1">
      <c r="B737" s="334"/>
      <c r="E737" s="124"/>
      <c r="F737" s="124"/>
      <c r="G737" s="124"/>
      <c r="H737" s="124"/>
      <c r="I737" s="124"/>
      <c r="J737" s="124"/>
      <c r="K737" s="124"/>
    </row>
    <row r="738" ht="15.75" customHeight="1">
      <c r="B738" s="334"/>
      <c r="E738" s="124"/>
      <c r="F738" s="124"/>
      <c r="G738" s="124"/>
      <c r="H738" s="124"/>
      <c r="I738" s="124"/>
      <c r="J738" s="124"/>
      <c r="K738" s="124"/>
    </row>
    <row r="739" ht="15.75" customHeight="1">
      <c r="B739" s="334"/>
      <c r="E739" s="124"/>
      <c r="F739" s="124"/>
      <c r="G739" s="124"/>
      <c r="H739" s="124"/>
      <c r="I739" s="124"/>
      <c r="J739" s="124"/>
      <c r="K739" s="124"/>
    </row>
    <row r="740" ht="15.75" customHeight="1">
      <c r="B740" s="334"/>
      <c r="E740" s="124"/>
      <c r="F740" s="124"/>
      <c r="G740" s="124"/>
      <c r="H740" s="124"/>
      <c r="I740" s="124"/>
      <c r="J740" s="124"/>
      <c r="K740" s="124"/>
    </row>
    <row r="741" ht="15.75" customHeight="1">
      <c r="B741" s="334"/>
      <c r="E741" s="124"/>
      <c r="F741" s="124"/>
      <c r="G741" s="124"/>
      <c r="H741" s="124"/>
      <c r="I741" s="124"/>
      <c r="J741" s="124"/>
      <c r="K741" s="124"/>
    </row>
    <row r="742" ht="15.75" customHeight="1">
      <c r="B742" s="334"/>
      <c r="E742" s="124"/>
      <c r="F742" s="124"/>
      <c r="G742" s="124"/>
      <c r="H742" s="124"/>
      <c r="I742" s="124"/>
      <c r="J742" s="124"/>
      <c r="K742" s="124"/>
    </row>
    <row r="743" ht="15.75" customHeight="1">
      <c r="B743" s="334"/>
      <c r="E743" s="124"/>
      <c r="F743" s="124"/>
      <c r="G743" s="124"/>
      <c r="H743" s="124"/>
      <c r="I743" s="124"/>
      <c r="J743" s="124"/>
      <c r="K743" s="124"/>
    </row>
    <row r="744" ht="15.75" customHeight="1">
      <c r="B744" s="334"/>
      <c r="E744" s="124"/>
      <c r="F744" s="124"/>
      <c r="G744" s="124"/>
      <c r="H744" s="124"/>
      <c r="I744" s="124"/>
      <c r="J744" s="124"/>
      <c r="K744" s="124"/>
    </row>
    <row r="745" ht="15.75" customHeight="1">
      <c r="B745" s="334"/>
      <c r="E745" s="124"/>
      <c r="F745" s="124"/>
      <c r="G745" s="124"/>
      <c r="H745" s="124"/>
      <c r="I745" s="124"/>
      <c r="J745" s="124"/>
      <c r="K745" s="124"/>
    </row>
    <row r="746" ht="15.75" customHeight="1">
      <c r="B746" s="334"/>
      <c r="E746" s="124"/>
      <c r="F746" s="124"/>
      <c r="G746" s="124"/>
      <c r="H746" s="124"/>
      <c r="I746" s="124"/>
      <c r="J746" s="124"/>
      <c r="K746" s="124"/>
    </row>
    <row r="747" ht="15.75" customHeight="1">
      <c r="B747" s="334"/>
      <c r="E747" s="124"/>
      <c r="F747" s="124"/>
      <c r="G747" s="124"/>
      <c r="H747" s="124"/>
      <c r="I747" s="124"/>
      <c r="J747" s="124"/>
      <c r="K747" s="124"/>
    </row>
    <row r="748" ht="15.75" customHeight="1">
      <c r="B748" s="334"/>
      <c r="E748" s="124"/>
      <c r="F748" s="124"/>
      <c r="G748" s="124"/>
      <c r="H748" s="124"/>
      <c r="I748" s="124"/>
      <c r="J748" s="124"/>
      <c r="K748" s="124"/>
    </row>
    <row r="749" ht="15.75" customHeight="1">
      <c r="B749" s="334"/>
      <c r="E749" s="124"/>
      <c r="F749" s="124"/>
      <c r="G749" s="124"/>
      <c r="H749" s="124"/>
      <c r="I749" s="124"/>
      <c r="J749" s="124"/>
      <c r="K749" s="124"/>
    </row>
    <row r="750" ht="15.75" customHeight="1">
      <c r="B750" s="334"/>
      <c r="E750" s="124"/>
      <c r="F750" s="124"/>
      <c r="G750" s="124"/>
      <c r="H750" s="124"/>
      <c r="I750" s="124"/>
      <c r="J750" s="124"/>
      <c r="K750" s="124"/>
    </row>
    <row r="751" ht="15.75" customHeight="1">
      <c r="B751" s="334"/>
      <c r="E751" s="124"/>
      <c r="F751" s="124"/>
      <c r="G751" s="124"/>
      <c r="H751" s="124"/>
      <c r="I751" s="124"/>
      <c r="J751" s="124"/>
      <c r="K751" s="124"/>
    </row>
    <row r="752" ht="15.75" customHeight="1">
      <c r="B752" s="334"/>
      <c r="E752" s="124"/>
      <c r="F752" s="124"/>
      <c r="G752" s="124"/>
      <c r="H752" s="124"/>
      <c r="I752" s="124"/>
      <c r="J752" s="124"/>
      <c r="K752" s="124"/>
    </row>
    <row r="753" ht="15.75" customHeight="1">
      <c r="B753" s="334"/>
      <c r="E753" s="124"/>
      <c r="F753" s="124"/>
      <c r="G753" s="124"/>
      <c r="H753" s="124"/>
      <c r="I753" s="124"/>
      <c r="J753" s="124"/>
      <c r="K753" s="124"/>
    </row>
    <row r="754" ht="15.75" customHeight="1">
      <c r="B754" s="334"/>
      <c r="E754" s="124"/>
      <c r="F754" s="124"/>
      <c r="G754" s="124"/>
      <c r="H754" s="124"/>
      <c r="I754" s="124"/>
      <c r="J754" s="124"/>
      <c r="K754" s="124"/>
    </row>
    <row r="755" ht="15.75" customHeight="1">
      <c r="B755" s="334"/>
      <c r="E755" s="124"/>
      <c r="F755" s="124"/>
      <c r="G755" s="124"/>
      <c r="H755" s="124"/>
      <c r="I755" s="124"/>
      <c r="J755" s="124"/>
      <c r="K755" s="124"/>
    </row>
    <row r="756" ht="15.75" customHeight="1">
      <c r="B756" s="334"/>
      <c r="E756" s="124"/>
      <c r="F756" s="124"/>
      <c r="G756" s="124"/>
      <c r="H756" s="124"/>
      <c r="I756" s="124"/>
      <c r="J756" s="124"/>
      <c r="K756" s="124"/>
    </row>
    <row r="757" ht="15.75" customHeight="1">
      <c r="B757" s="334"/>
      <c r="E757" s="124"/>
      <c r="F757" s="124"/>
      <c r="G757" s="124"/>
      <c r="H757" s="124"/>
      <c r="I757" s="124"/>
      <c r="J757" s="124"/>
      <c r="K757" s="124"/>
    </row>
    <row r="758" ht="15.75" customHeight="1">
      <c r="B758" s="334"/>
      <c r="E758" s="124"/>
      <c r="F758" s="124"/>
      <c r="G758" s="124"/>
      <c r="H758" s="124"/>
      <c r="I758" s="124"/>
      <c r="J758" s="124"/>
      <c r="K758" s="124"/>
    </row>
    <row r="759" ht="15.75" customHeight="1">
      <c r="B759" s="334"/>
      <c r="E759" s="124"/>
      <c r="F759" s="124"/>
      <c r="G759" s="124"/>
      <c r="H759" s="124"/>
      <c r="I759" s="124"/>
      <c r="J759" s="124"/>
      <c r="K759" s="124"/>
    </row>
    <row r="760" ht="15.75" customHeight="1">
      <c r="B760" s="334"/>
      <c r="E760" s="124"/>
      <c r="F760" s="124"/>
      <c r="G760" s="124"/>
      <c r="H760" s="124"/>
      <c r="I760" s="124"/>
      <c r="J760" s="124"/>
      <c r="K760" s="124"/>
    </row>
    <row r="761" ht="15.75" customHeight="1">
      <c r="B761" s="334"/>
      <c r="E761" s="124"/>
      <c r="F761" s="124"/>
      <c r="G761" s="124"/>
      <c r="H761" s="124"/>
      <c r="I761" s="124"/>
      <c r="J761" s="124"/>
      <c r="K761" s="124"/>
    </row>
    <row r="762" ht="15.75" customHeight="1">
      <c r="B762" s="334"/>
      <c r="E762" s="124"/>
      <c r="F762" s="124"/>
      <c r="G762" s="124"/>
      <c r="H762" s="124"/>
      <c r="I762" s="124"/>
      <c r="J762" s="124"/>
      <c r="K762" s="124"/>
    </row>
    <row r="763" ht="15.75" customHeight="1">
      <c r="B763" s="334"/>
      <c r="E763" s="124"/>
      <c r="F763" s="124"/>
      <c r="G763" s="124"/>
      <c r="H763" s="124"/>
      <c r="I763" s="124"/>
      <c r="J763" s="124"/>
      <c r="K763" s="124"/>
    </row>
    <row r="764" ht="15.75" customHeight="1">
      <c r="B764" s="334"/>
      <c r="E764" s="124"/>
      <c r="F764" s="124"/>
      <c r="G764" s="124"/>
      <c r="H764" s="124"/>
      <c r="I764" s="124"/>
      <c r="J764" s="124"/>
      <c r="K764" s="124"/>
    </row>
    <row r="765" ht="15.75" customHeight="1">
      <c r="B765" s="334"/>
      <c r="E765" s="124"/>
      <c r="F765" s="124"/>
      <c r="G765" s="124"/>
      <c r="H765" s="124"/>
      <c r="I765" s="124"/>
      <c r="J765" s="124"/>
      <c r="K765" s="124"/>
    </row>
    <row r="766" ht="15.75" customHeight="1">
      <c r="B766" s="334"/>
      <c r="E766" s="124"/>
      <c r="F766" s="124"/>
      <c r="G766" s="124"/>
      <c r="H766" s="124"/>
      <c r="I766" s="124"/>
      <c r="J766" s="124"/>
      <c r="K766" s="124"/>
    </row>
    <row r="767" ht="15.75" customHeight="1">
      <c r="B767" s="334"/>
      <c r="E767" s="124"/>
      <c r="F767" s="124"/>
      <c r="G767" s="124"/>
      <c r="H767" s="124"/>
      <c r="I767" s="124"/>
      <c r="J767" s="124"/>
      <c r="K767" s="124"/>
    </row>
    <row r="768" ht="15.75" customHeight="1">
      <c r="B768" s="334"/>
      <c r="E768" s="124"/>
      <c r="F768" s="124"/>
      <c r="G768" s="124"/>
      <c r="H768" s="124"/>
      <c r="I768" s="124"/>
      <c r="J768" s="124"/>
      <c r="K768" s="124"/>
    </row>
    <row r="769" ht="15.75" customHeight="1">
      <c r="B769" s="334"/>
      <c r="E769" s="124"/>
      <c r="F769" s="124"/>
      <c r="G769" s="124"/>
      <c r="H769" s="124"/>
      <c r="I769" s="124"/>
      <c r="J769" s="124"/>
      <c r="K769" s="124"/>
    </row>
    <row r="770" ht="15.75" customHeight="1">
      <c r="B770" s="334"/>
      <c r="E770" s="124"/>
      <c r="F770" s="124"/>
      <c r="G770" s="124"/>
      <c r="H770" s="124"/>
      <c r="I770" s="124"/>
      <c r="J770" s="124"/>
      <c r="K770" s="124"/>
    </row>
    <row r="771" ht="15.75" customHeight="1">
      <c r="B771" s="334"/>
      <c r="E771" s="124"/>
      <c r="F771" s="124"/>
      <c r="G771" s="124"/>
      <c r="H771" s="124"/>
      <c r="I771" s="124"/>
      <c r="J771" s="124"/>
      <c r="K771" s="124"/>
    </row>
    <row r="772" ht="15.75" customHeight="1">
      <c r="B772" s="334"/>
      <c r="E772" s="124"/>
      <c r="F772" s="124"/>
      <c r="G772" s="124"/>
      <c r="H772" s="124"/>
      <c r="I772" s="124"/>
      <c r="J772" s="124"/>
      <c r="K772" s="124"/>
    </row>
    <row r="773" ht="15.75" customHeight="1">
      <c r="B773" s="334"/>
      <c r="E773" s="124"/>
      <c r="F773" s="124"/>
      <c r="G773" s="124"/>
      <c r="H773" s="124"/>
      <c r="I773" s="124"/>
      <c r="J773" s="124"/>
      <c r="K773" s="124"/>
    </row>
    <row r="774" ht="15.75" customHeight="1">
      <c r="B774" s="334"/>
      <c r="E774" s="124"/>
      <c r="F774" s="124"/>
      <c r="G774" s="124"/>
      <c r="H774" s="124"/>
      <c r="I774" s="124"/>
      <c r="J774" s="124"/>
      <c r="K774" s="124"/>
    </row>
    <row r="775" ht="15.75" customHeight="1">
      <c r="B775" s="334"/>
      <c r="E775" s="124"/>
      <c r="F775" s="124"/>
      <c r="G775" s="124"/>
      <c r="H775" s="124"/>
      <c r="I775" s="124"/>
      <c r="J775" s="124"/>
      <c r="K775" s="124"/>
    </row>
    <row r="776" ht="15.75" customHeight="1">
      <c r="B776" s="334"/>
      <c r="E776" s="124"/>
      <c r="F776" s="124"/>
      <c r="G776" s="124"/>
      <c r="H776" s="124"/>
      <c r="I776" s="124"/>
      <c r="J776" s="124"/>
      <c r="K776" s="124"/>
    </row>
    <row r="777" ht="15.75" customHeight="1">
      <c r="B777" s="334"/>
      <c r="E777" s="124"/>
      <c r="F777" s="124"/>
      <c r="G777" s="124"/>
      <c r="H777" s="124"/>
      <c r="I777" s="124"/>
      <c r="J777" s="124"/>
      <c r="K777" s="124"/>
    </row>
    <row r="778" ht="15.75" customHeight="1">
      <c r="B778" s="334"/>
      <c r="E778" s="124"/>
      <c r="F778" s="124"/>
      <c r="G778" s="124"/>
      <c r="H778" s="124"/>
      <c r="I778" s="124"/>
      <c r="J778" s="124"/>
      <c r="K778" s="124"/>
    </row>
    <row r="779" ht="15.75" customHeight="1">
      <c r="B779" s="334"/>
      <c r="E779" s="124"/>
      <c r="F779" s="124"/>
      <c r="G779" s="124"/>
      <c r="H779" s="124"/>
      <c r="I779" s="124"/>
      <c r="J779" s="124"/>
      <c r="K779" s="124"/>
    </row>
    <row r="780" ht="15.75" customHeight="1">
      <c r="B780" s="334"/>
      <c r="E780" s="124"/>
      <c r="F780" s="124"/>
      <c r="G780" s="124"/>
      <c r="H780" s="124"/>
      <c r="I780" s="124"/>
      <c r="J780" s="124"/>
      <c r="K780" s="124"/>
    </row>
    <row r="781" ht="15.75" customHeight="1">
      <c r="B781" s="334"/>
      <c r="E781" s="124"/>
      <c r="F781" s="124"/>
      <c r="G781" s="124"/>
      <c r="H781" s="124"/>
      <c r="I781" s="124"/>
      <c r="J781" s="124"/>
      <c r="K781" s="124"/>
    </row>
    <row r="782" ht="15.75" customHeight="1">
      <c r="B782" s="334"/>
      <c r="E782" s="124"/>
      <c r="F782" s="124"/>
      <c r="G782" s="124"/>
      <c r="H782" s="124"/>
      <c r="I782" s="124"/>
      <c r="J782" s="124"/>
      <c r="K782" s="124"/>
    </row>
    <row r="783" ht="15.75" customHeight="1">
      <c r="B783" s="334"/>
      <c r="E783" s="124"/>
      <c r="F783" s="124"/>
      <c r="G783" s="124"/>
      <c r="H783" s="124"/>
      <c r="I783" s="124"/>
      <c r="J783" s="124"/>
      <c r="K783" s="124"/>
    </row>
    <row r="784" ht="15.75" customHeight="1">
      <c r="B784" s="334"/>
      <c r="E784" s="124"/>
      <c r="F784" s="124"/>
      <c r="G784" s="124"/>
      <c r="H784" s="124"/>
      <c r="I784" s="124"/>
      <c r="J784" s="124"/>
      <c r="K784" s="124"/>
    </row>
    <row r="785" ht="15.75" customHeight="1">
      <c r="B785" s="334"/>
      <c r="E785" s="124"/>
      <c r="F785" s="124"/>
      <c r="G785" s="124"/>
      <c r="H785" s="124"/>
      <c r="I785" s="124"/>
      <c r="J785" s="124"/>
      <c r="K785" s="124"/>
    </row>
    <row r="786" ht="15.75" customHeight="1">
      <c r="B786" s="334"/>
      <c r="E786" s="124"/>
      <c r="F786" s="124"/>
      <c r="G786" s="124"/>
      <c r="H786" s="124"/>
      <c r="I786" s="124"/>
      <c r="J786" s="124"/>
      <c r="K786" s="124"/>
    </row>
    <row r="787" ht="15.75" customHeight="1">
      <c r="B787" s="334"/>
      <c r="E787" s="124"/>
      <c r="F787" s="124"/>
      <c r="G787" s="124"/>
      <c r="H787" s="124"/>
      <c r="I787" s="124"/>
      <c r="J787" s="124"/>
      <c r="K787" s="124"/>
    </row>
    <row r="788" ht="15.75" customHeight="1">
      <c r="B788" s="334"/>
      <c r="E788" s="124"/>
      <c r="F788" s="124"/>
      <c r="G788" s="124"/>
      <c r="H788" s="124"/>
      <c r="I788" s="124"/>
      <c r="J788" s="124"/>
      <c r="K788" s="124"/>
    </row>
    <row r="789" ht="15.75" customHeight="1">
      <c r="B789" s="334"/>
      <c r="E789" s="124"/>
      <c r="F789" s="124"/>
      <c r="G789" s="124"/>
      <c r="H789" s="124"/>
      <c r="I789" s="124"/>
      <c r="J789" s="124"/>
      <c r="K789" s="124"/>
    </row>
    <row r="790" ht="15.75" customHeight="1">
      <c r="B790" s="334"/>
      <c r="E790" s="124"/>
      <c r="F790" s="124"/>
      <c r="G790" s="124"/>
      <c r="H790" s="124"/>
      <c r="I790" s="124"/>
      <c r="J790" s="124"/>
      <c r="K790" s="124"/>
    </row>
    <row r="791" ht="15.75" customHeight="1">
      <c r="B791" s="334"/>
      <c r="E791" s="124"/>
      <c r="F791" s="124"/>
      <c r="G791" s="124"/>
      <c r="H791" s="124"/>
      <c r="I791" s="124"/>
      <c r="J791" s="124"/>
      <c r="K791" s="124"/>
    </row>
    <row r="792" ht="15.75" customHeight="1">
      <c r="B792" s="334"/>
      <c r="E792" s="124"/>
      <c r="F792" s="124"/>
      <c r="G792" s="124"/>
      <c r="H792" s="124"/>
      <c r="I792" s="124"/>
      <c r="J792" s="124"/>
      <c r="K792" s="124"/>
    </row>
    <row r="793" ht="15.75" customHeight="1">
      <c r="B793" s="334"/>
      <c r="E793" s="124"/>
      <c r="F793" s="124"/>
      <c r="G793" s="124"/>
      <c r="H793" s="124"/>
      <c r="I793" s="124"/>
      <c r="J793" s="124"/>
      <c r="K793" s="124"/>
    </row>
    <row r="794" ht="15.75" customHeight="1">
      <c r="B794" s="334"/>
      <c r="E794" s="124"/>
      <c r="F794" s="124"/>
      <c r="G794" s="124"/>
      <c r="H794" s="124"/>
      <c r="I794" s="124"/>
      <c r="J794" s="124"/>
      <c r="K794" s="124"/>
    </row>
    <row r="795" ht="15.75" customHeight="1">
      <c r="B795" s="334"/>
      <c r="E795" s="124"/>
      <c r="F795" s="124"/>
      <c r="G795" s="124"/>
      <c r="H795" s="124"/>
      <c r="I795" s="124"/>
      <c r="J795" s="124"/>
      <c r="K795" s="124"/>
    </row>
    <row r="796" ht="15.75" customHeight="1">
      <c r="B796" s="334"/>
      <c r="E796" s="124"/>
      <c r="F796" s="124"/>
      <c r="G796" s="124"/>
      <c r="H796" s="124"/>
      <c r="I796" s="124"/>
      <c r="J796" s="124"/>
      <c r="K796" s="124"/>
    </row>
    <row r="797" ht="15.75" customHeight="1">
      <c r="B797" s="334"/>
      <c r="E797" s="124"/>
      <c r="F797" s="124"/>
      <c r="G797" s="124"/>
      <c r="H797" s="124"/>
      <c r="I797" s="124"/>
      <c r="J797" s="124"/>
      <c r="K797" s="124"/>
    </row>
    <row r="798" ht="15.75" customHeight="1">
      <c r="B798" s="334"/>
      <c r="E798" s="124"/>
      <c r="F798" s="124"/>
      <c r="G798" s="124"/>
      <c r="H798" s="124"/>
      <c r="I798" s="124"/>
      <c r="J798" s="124"/>
      <c r="K798" s="124"/>
    </row>
    <row r="799" ht="15.75" customHeight="1">
      <c r="B799" s="334"/>
      <c r="E799" s="124"/>
      <c r="F799" s="124"/>
      <c r="G799" s="124"/>
      <c r="H799" s="124"/>
      <c r="I799" s="124"/>
      <c r="J799" s="124"/>
      <c r="K799" s="124"/>
    </row>
    <row r="800" ht="15.75" customHeight="1">
      <c r="B800" s="334"/>
      <c r="E800" s="124"/>
      <c r="F800" s="124"/>
      <c r="G800" s="124"/>
      <c r="H800" s="124"/>
      <c r="I800" s="124"/>
      <c r="J800" s="124"/>
      <c r="K800" s="124"/>
    </row>
    <row r="801" ht="15.75" customHeight="1">
      <c r="B801" s="334"/>
      <c r="E801" s="124"/>
      <c r="F801" s="124"/>
      <c r="G801" s="124"/>
      <c r="H801" s="124"/>
      <c r="I801" s="124"/>
      <c r="J801" s="124"/>
      <c r="K801" s="124"/>
    </row>
    <row r="802" ht="15.75" customHeight="1">
      <c r="B802" s="334"/>
      <c r="E802" s="124"/>
      <c r="F802" s="124"/>
      <c r="G802" s="124"/>
      <c r="H802" s="124"/>
      <c r="I802" s="124"/>
      <c r="J802" s="124"/>
      <c r="K802" s="124"/>
    </row>
    <row r="803" ht="15.75" customHeight="1">
      <c r="B803" s="334"/>
      <c r="E803" s="124"/>
      <c r="F803" s="124"/>
      <c r="G803" s="124"/>
      <c r="H803" s="124"/>
      <c r="I803" s="124"/>
      <c r="J803" s="124"/>
      <c r="K803" s="124"/>
    </row>
    <row r="804" ht="15.75" customHeight="1">
      <c r="B804" s="334"/>
      <c r="E804" s="124"/>
      <c r="F804" s="124"/>
      <c r="G804" s="124"/>
      <c r="H804" s="124"/>
      <c r="I804" s="124"/>
      <c r="J804" s="124"/>
      <c r="K804" s="124"/>
    </row>
    <row r="805" ht="15.75" customHeight="1">
      <c r="B805" s="334"/>
      <c r="E805" s="124"/>
      <c r="F805" s="124"/>
      <c r="G805" s="124"/>
      <c r="H805" s="124"/>
      <c r="I805" s="124"/>
      <c r="J805" s="124"/>
      <c r="K805" s="124"/>
    </row>
    <row r="806" ht="15.75" customHeight="1">
      <c r="B806" s="334"/>
      <c r="E806" s="124"/>
      <c r="F806" s="124"/>
      <c r="G806" s="124"/>
      <c r="H806" s="124"/>
      <c r="I806" s="124"/>
      <c r="J806" s="124"/>
      <c r="K806" s="124"/>
    </row>
    <row r="807" ht="15.75" customHeight="1">
      <c r="B807" s="334"/>
      <c r="E807" s="124"/>
      <c r="F807" s="124"/>
      <c r="G807" s="124"/>
      <c r="H807" s="124"/>
      <c r="I807" s="124"/>
      <c r="J807" s="124"/>
      <c r="K807" s="124"/>
    </row>
    <row r="808" ht="15.75" customHeight="1">
      <c r="B808" s="334"/>
      <c r="E808" s="124"/>
      <c r="F808" s="124"/>
      <c r="G808" s="124"/>
      <c r="H808" s="124"/>
      <c r="I808" s="124"/>
      <c r="J808" s="124"/>
      <c r="K808" s="124"/>
    </row>
    <row r="809" ht="15.75" customHeight="1">
      <c r="B809" s="334"/>
      <c r="E809" s="124"/>
      <c r="F809" s="124"/>
      <c r="G809" s="124"/>
      <c r="H809" s="124"/>
      <c r="I809" s="124"/>
      <c r="J809" s="124"/>
      <c r="K809" s="124"/>
    </row>
    <row r="810" ht="15.75" customHeight="1">
      <c r="B810" s="334"/>
      <c r="E810" s="124"/>
      <c r="F810" s="124"/>
      <c r="G810" s="124"/>
      <c r="H810" s="124"/>
      <c r="I810" s="124"/>
      <c r="J810" s="124"/>
      <c r="K810" s="124"/>
    </row>
    <row r="811" ht="15.75" customHeight="1">
      <c r="B811" s="334"/>
      <c r="E811" s="124"/>
      <c r="F811" s="124"/>
      <c r="G811" s="124"/>
      <c r="H811" s="124"/>
      <c r="I811" s="124"/>
      <c r="J811" s="124"/>
      <c r="K811" s="124"/>
    </row>
    <row r="812" ht="15.75" customHeight="1">
      <c r="B812" s="334"/>
      <c r="E812" s="124"/>
      <c r="F812" s="124"/>
      <c r="G812" s="124"/>
      <c r="H812" s="124"/>
      <c r="I812" s="124"/>
      <c r="J812" s="124"/>
      <c r="K812" s="124"/>
    </row>
    <row r="813" ht="15.75" customHeight="1">
      <c r="B813" s="334"/>
      <c r="E813" s="124"/>
      <c r="F813" s="124"/>
      <c r="G813" s="124"/>
      <c r="H813" s="124"/>
      <c r="I813" s="124"/>
      <c r="J813" s="124"/>
      <c r="K813" s="124"/>
    </row>
    <row r="814" ht="15.75" customHeight="1">
      <c r="B814" s="334"/>
      <c r="E814" s="124"/>
      <c r="F814" s="124"/>
      <c r="G814" s="124"/>
      <c r="H814" s="124"/>
      <c r="I814" s="124"/>
      <c r="J814" s="124"/>
      <c r="K814" s="124"/>
    </row>
    <row r="815" ht="15.75" customHeight="1">
      <c r="B815" s="334"/>
      <c r="E815" s="124"/>
      <c r="F815" s="124"/>
      <c r="G815" s="124"/>
      <c r="H815" s="124"/>
      <c r="I815" s="124"/>
      <c r="J815" s="124"/>
      <c r="K815" s="124"/>
    </row>
    <row r="816" ht="15.75" customHeight="1">
      <c r="B816" s="334"/>
      <c r="E816" s="124"/>
      <c r="F816" s="124"/>
      <c r="G816" s="124"/>
      <c r="H816" s="124"/>
      <c r="I816" s="124"/>
      <c r="J816" s="124"/>
      <c r="K816" s="124"/>
    </row>
    <row r="817" ht="15.75" customHeight="1">
      <c r="B817" s="334"/>
      <c r="E817" s="124"/>
      <c r="F817" s="124"/>
      <c r="G817" s="124"/>
      <c r="H817" s="124"/>
      <c r="I817" s="124"/>
      <c r="J817" s="124"/>
      <c r="K817" s="124"/>
    </row>
    <row r="818" ht="15.75" customHeight="1">
      <c r="B818" s="334"/>
      <c r="E818" s="124"/>
      <c r="F818" s="124"/>
      <c r="G818" s="124"/>
      <c r="H818" s="124"/>
      <c r="I818" s="124"/>
      <c r="J818" s="124"/>
      <c r="K818" s="124"/>
    </row>
    <row r="819" ht="15.75" customHeight="1">
      <c r="B819" s="334"/>
      <c r="E819" s="124"/>
      <c r="F819" s="124"/>
      <c r="G819" s="124"/>
      <c r="H819" s="124"/>
      <c r="I819" s="124"/>
      <c r="J819" s="124"/>
      <c r="K819" s="124"/>
    </row>
    <row r="820" ht="15.75" customHeight="1">
      <c r="B820" s="334"/>
      <c r="E820" s="124"/>
      <c r="F820" s="124"/>
      <c r="G820" s="124"/>
      <c r="H820" s="124"/>
      <c r="I820" s="124"/>
      <c r="J820" s="124"/>
      <c r="K820" s="124"/>
    </row>
    <row r="821" ht="15.75" customHeight="1">
      <c r="B821" s="334"/>
      <c r="E821" s="124"/>
      <c r="F821" s="124"/>
      <c r="G821" s="124"/>
      <c r="H821" s="124"/>
      <c r="I821" s="124"/>
      <c r="J821" s="124"/>
      <c r="K821" s="124"/>
    </row>
    <row r="822" ht="15.75" customHeight="1">
      <c r="B822" s="334"/>
      <c r="E822" s="124"/>
      <c r="F822" s="124"/>
      <c r="G822" s="124"/>
      <c r="H822" s="124"/>
      <c r="I822" s="124"/>
      <c r="J822" s="124"/>
      <c r="K822" s="124"/>
    </row>
    <row r="823" ht="15.75" customHeight="1">
      <c r="B823" s="334"/>
      <c r="E823" s="124"/>
      <c r="F823" s="124"/>
      <c r="G823" s="124"/>
      <c r="H823" s="124"/>
      <c r="I823" s="124"/>
      <c r="J823" s="124"/>
      <c r="K823" s="124"/>
    </row>
    <row r="824" ht="15.75" customHeight="1">
      <c r="B824" s="334"/>
      <c r="E824" s="124"/>
      <c r="F824" s="124"/>
      <c r="G824" s="124"/>
      <c r="H824" s="124"/>
      <c r="I824" s="124"/>
      <c r="J824" s="124"/>
      <c r="K824" s="124"/>
    </row>
    <row r="825" ht="15.75" customHeight="1">
      <c r="B825" s="334"/>
      <c r="E825" s="124"/>
      <c r="F825" s="124"/>
      <c r="G825" s="124"/>
      <c r="H825" s="124"/>
      <c r="I825" s="124"/>
      <c r="J825" s="124"/>
      <c r="K825" s="124"/>
    </row>
    <row r="826" ht="15.75" customHeight="1">
      <c r="B826" s="334"/>
      <c r="E826" s="124"/>
      <c r="F826" s="124"/>
      <c r="G826" s="124"/>
      <c r="H826" s="124"/>
      <c r="I826" s="124"/>
      <c r="J826" s="124"/>
      <c r="K826" s="124"/>
    </row>
    <row r="827" ht="15.75" customHeight="1">
      <c r="B827" s="334"/>
      <c r="E827" s="124"/>
      <c r="F827" s="124"/>
      <c r="G827" s="124"/>
      <c r="H827" s="124"/>
      <c r="I827" s="124"/>
      <c r="J827" s="124"/>
      <c r="K827" s="124"/>
    </row>
    <row r="828" ht="15.75" customHeight="1">
      <c r="B828" s="334"/>
      <c r="E828" s="124"/>
      <c r="F828" s="124"/>
      <c r="G828" s="124"/>
      <c r="H828" s="124"/>
      <c r="I828" s="124"/>
      <c r="J828" s="124"/>
      <c r="K828" s="124"/>
    </row>
    <row r="829" ht="15.75" customHeight="1">
      <c r="B829" s="334"/>
      <c r="E829" s="124"/>
      <c r="F829" s="124"/>
      <c r="G829" s="124"/>
      <c r="H829" s="124"/>
      <c r="I829" s="124"/>
      <c r="J829" s="124"/>
      <c r="K829" s="124"/>
    </row>
    <row r="830" ht="15.75" customHeight="1">
      <c r="B830" s="334"/>
      <c r="E830" s="124"/>
      <c r="F830" s="124"/>
      <c r="G830" s="124"/>
      <c r="H830" s="124"/>
      <c r="I830" s="124"/>
      <c r="J830" s="124"/>
      <c r="K830" s="124"/>
    </row>
    <row r="831" ht="15.75" customHeight="1">
      <c r="B831" s="334"/>
      <c r="E831" s="124"/>
      <c r="F831" s="124"/>
      <c r="G831" s="124"/>
      <c r="H831" s="124"/>
      <c r="I831" s="124"/>
      <c r="J831" s="124"/>
      <c r="K831" s="124"/>
    </row>
    <row r="832" ht="15.75" customHeight="1">
      <c r="B832" s="334"/>
      <c r="E832" s="124"/>
      <c r="F832" s="124"/>
      <c r="G832" s="124"/>
      <c r="H832" s="124"/>
      <c r="I832" s="124"/>
      <c r="J832" s="124"/>
      <c r="K832" s="124"/>
    </row>
    <row r="833" ht="15.75" customHeight="1">
      <c r="B833" s="334"/>
      <c r="E833" s="124"/>
      <c r="F833" s="124"/>
      <c r="G833" s="124"/>
      <c r="H833" s="124"/>
      <c r="I833" s="124"/>
      <c r="J833" s="124"/>
      <c r="K833" s="124"/>
    </row>
    <row r="834" ht="15.75" customHeight="1">
      <c r="B834" s="334"/>
      <c r="E834" s="124"/>
      <c r="F834" s="124"/>
      <c r="G834" s="124"/>
      <c r="H834" s="124"/>
      <c r="I834" s="124"/>
      <c r="J834" s="124"/>
      <c r="K834" s="124"/>
    </row>
    <row r="835" ht="15.75" customHeight="1">
      <c r="B835" s="334"/>
      <c r="E835" s="124"/>
      <c r="F835" s="124"/>
      <c r="G835" s="124"/>
      <c r="H835" s="124"/>
      <c r="I835" s="124"/>
      <c r="J835" s="124"/>
      <c r="K835" s="124"/>
    </row>
    <row r="836" ht="15.75" customHeight="1">
      <c r="B836" s="334"/>
      <c r="E836" s="124"/>
      <c r="F836" s="124"/>
      <c r="G836" s="124"/>
      <c r="H836" s="124"/>
      <c r="I836" s="124"/>
      <c r="J836" s="124"/>
      <c r="K836" s="124"/>
    </row>
    <row r="837" ht="15.75" customHeight="1">
      <c r="B837" s="334"/>
      <c r="E837" s="124"/>
      <c r="F837" s="124"/>
      <c r="G837" s="124"/>
      <c r="H837" s="124"/>
      <c r="I837" s="124"/>
      <c r="J837" s="124"/>
      <c r="K837" s="124"/>
    </row>
    <row r="838" ht="15.75" customHeight="1">
      <c r="B838" s="334"/>
      <c r="E838" s="124"/>
      <c r="F838" s="124"/>
      <c r="G838" s="124"/>
      <c r="H838" s="124"/>
      <c r="I838" s="124"/>
      <c r="J838" s="124"/>
      <c r="K838" s="124"/>
    </row>
    <row r="839" ht="15.75" customHeight="1">
      <c r="B839" s="334"/>
      <c r="E839" s="124"/>
      <c r="F839" s="124"/>
      <c r="G839" s="124"/>
      <c r="H839" s="124"/>
      <c r="I839" s="124"/>
      <c r="J839" s="124"/>
      <c r="K839" s="124"/>
    </row>
    <row r="840" ht="15.75" customHeight="1">
      <c r="B840" s="334"/>
      <c r="E840" s="124"/>
      <c r="F840" s="124"/>
      <c r="G840" s="124"/>
      <c r="H840" s="124"/>
      <c r="I840" s="124"/>
      <c r="J840" s="124"/>
      <c r="K840" s="124"/>
    </row>
    <row r="841" ht="15.75" customHeight="1">
      <c r="B841" s="334"/>
      <c r="E841" s="124"/>
      <c r="F841" s="124"/>
      <c r="G841" s="124"/>
      <c r="H841" s="124"/>
      <c r="I841" s="124"/>
      <c r="J841" s="124"/>
      <c r="K841" s="124"/>
    </row>
    <row r="842" ht="15.75" customHeight="1">
      <c r="B842" s="334"/>
      <c r="E842" s="124"/>
      <c r="F842" s="124"/>
      <c r="G842" s="124"/>
      <c r="H842" s="124"/>
      <c r="I842" s="124"/>
      <c r="J842" s="124"/>
      <c r="K842" s="124"/>
    </row>
    <row r="843" ht="15.75" customHeight="1">
      <c r="B843" s="334"/>
      <c r="E843" s="124"/>
      <c r="F843" s="124"/>
      <c r="G843" s="124"/>
      <c r="H843" s="124"/>
      <c r="I843" s="124"/>
      <c r="J843" s="124"/>
      <c r="K843" s="124"/>
    </row>
    <row r="844" ht="15.75" customHeight="1">
      <c r="B844" s="334"/>
      <c r="E844" s="124"/>
      <c r="F844" s="124"/>
      <c r="G844" s="124"/>
      <c r="H844" s="124"/>
      <c r="I844" s="124"/>
      <c r="J844" s="124"/>
      <c r="K844" s="124"/>
    </row>
    <row r="845" ht="15.75" customHeight="1">
      <c r="B845" s="334"/>
      <c r="E845" s="124"/>
      <c r="F845" s="124"/>
      <c r="G845" s="124"/>
      <c r="H845" s="124"/>
      <c r="I845" s="124"/>
      <c r="J845" s="124"/>
      <c r="K845" s="124"/>
    </row>
    <row r="846" ht="15.75" customHeight="1">
      <c r="B846" s="334"/>
      <c r="E846" s="124"/>
      <c r="F846" s="124"/>
      <c r="G846" s="124"/>
      <c r="H846" s="124"/>
      <c r="I846" s="124"/>
      <c r="J846" s="124"/>
      <c r="K846" s="124"/>
    </row>
    <row r="847" ht="15.75" customHeight="1">
      <c r="B847" s="334"/>
      <c r="E847" s="124"/>
      <c r="F847" s="124"/>
      <c r="G847" s="124"/>
      <c r="H847" s="124"/>
      <c r="I847" s="124"/>
      <c r="J847" s="124"/>
      <c r="K847" s="124"/>
    </row>
    <row r="848" ht="15.75" customHeight="1">
      <c r="B848" s="334"/>
      <c r="E848" s="124"/>
      <c r="F848" s="124"/>
      <c r="G848" s="124"/>
      <c r="H848" s="124"/>
      <c r="I848" s="124"/>
      <c r="J848" s="124"/>
      <c r="K848" s="124"/>
    </row>
    <row r="849" ht="15.75" customHeight="1">
      <c r="B849" s="334"/>
      <c r="E849" s="124"/>
      <c r="F849" s="124"/>
      <c r="G849" s="124"/>
      <c r="H849" s="124"/>
      <c r="I849" s="124"/>
      <c r="J849" s="124"/>
      <c r="K849" s="124"/>
    </row>
    <row r="850" ht="15.75" customHeight="1">
      <c r="B850" s="334"/>
      <c r="E850" s="124"/>
      <c r="F850" s="124"/>
      <c r="G850" s="124"/>
      <c r="H850" s="124"/>
      <c r="I850" s="124"/>
      <c r="J850" s="124"/>
      <c r="K850" s="124"/>
    </row>
    <row r="851" ht="15.75" customHeight="1">
      <c r="B851" s="334"/>
      <c r="E851" s="124"/>
      <c r="F851" s="124"/>
      <c r="G851" s="124"/>
      <c r="H851" s="124"/>
      <c r="I851" s="124"/>
      <c r="J851" s="124"/>
      <c r="K851" s="124"/>
    </row>
    <row r="852" ht="15.75" customHeight="1">
      <c r="B852" s="334"/>
      <c r="E852" s="124"/>
      <c r="F852" s="124"/>
      <c r="G852" s="124"/>
      <c r="H852" s="124"/>
      <c r="I852" s="124"/>
      <c r="J852" s="124"/>
      <c r="K852" s="124"/>
    </row>
    <row r="853" ht="15.75" customHeight="1">
      <c r="B853" s="334"/>
      <c r="E853" s="124"/>
      <c r="F853" s="124"/>
      <c r="G853" s="124"/>
      <c r="H853" s="124"/>
      <c r="I853" s="124"/>
      <c r="J853" s="124"/>
      <c r="K853" s="124"/>
    </row>
    <row r="854" ht="15.75" customHeight="1">
      <c r="B854" s="334"/>
      <c r="E854" s="124"/>
      <c r="F854" s="124"/>
      <c r="G854" s="124"/>
      <c r="H854" s="124"/>
      <c r="I854" s="124"/>
      <c r="J854" s="124"/>
      <c r="K854" s="124"/>
    </row>
    <row r="855" ht="15.75" customHeight="1">
      <c r="B855" s="334"/>
      <c r="E855" s="124"/>
      <c r="F855" s="124"/>
      <c r="G855" s="124"/>
      <c r="H855" s="124"/>
      <c r="I855" s="124"/>
      <c r="J855" s="124"/>
      <c r="K855" s="124"/>
    </row>
    <row r="856" ht="15.75" customHeight="1">
      <c r="B856" s="334"/>
      <c r="E856" s="124"/>
      <c r="F856" s="124"/>
      <c r="G856" s="124"/>
      <c r="H856" s="124"/>
      <c r="I856" s="124"/>
      <c r="J856" s="124"/>
      <c r="K856" s="124"/>
    </row>
    <row r="857" ht="15.75" customHeight="1">
      <c r="B857" s="334"/>
      <c r="E857" s="124"/>
      <c r="F857" s="124"/>
      <c r="G857" s="124"/>
      <c r="H857" s="124"/>
      <c r="I857" s="124"/>
      <c r="J857" s="124"/>
      <c r="K857" s="124"/>
    </row>
    <row r="858" ht="15.75" customHeight="1">
      <c r="B858" s="334"/>
      <c r="E858" s="124"/>
      <c r="F858" s="124"/>
      <c r="G858" s="124"/>
      <c r="H858" s="124"/>
      <c r="I858" s="124"/>
      <c r="J858" s="124"/>
      <c r="K858" s="124"/>
    </row>
    <row r="859" ht="15.75" customHeight="1">
      <c r="B859" s="334"/>
      <c r="E859" s="124"/>
      <c r="F859" s="124"/>
      <c r="G859" s="124"/>
      <c r="H859" s="124"/>
      <c r="I859" s="124"/>
      <c r="J859" s="124"/>
      <c r="K859" s="124"/>
    </row>
    <row r="860" ht="15.75" customHeight="1">
      <c r="B860" s="334"/>
      <c r="E860" s="124"/>
      <c r="F860" s="124"/>
      <c r="G860" s="124"/>
      <c r="H860" s="124"/>
      <c r="I860" s="124"/>
      <c r="J860" s="124"/>
      <c r="K860" s="124"/>
    </row>
    <row r="861" ht="15.75" customHeight="1">
      <c r="B861" s="334"/>
      <c r="E861" s="124"/>
      <c r="F861" s="124"/>
      <c r="G861" s="124"/>
      <c r="H861" s="124"/>
      <c r="I861" s="124"/>
      <c r="J861" s="124"/>
      <c r="K861" s="124"/>
    </row>
    <row r="862" ht="15.75" customHeight="1">
      <c r="B862" s="334"/>
      <c r="E862" s="124"/>
      <c r="F862" s="124"/>
      <c r="G862" s="124"/>
      <c r="H862" s="124"/>
      <c r="I862" s="124"/>
      <c r="J862" s="124"/>
      <c r="K862" s="124"/>
    </row>
    <row r="863" ht="15.75" customHeight="1">
      <c r="B863" s="334"/>
      <c r="E863" s="124"/>
      <c r="F863" s="124"/>
      <c r="G863" s="124"/>
      <c r="H863" s="124"/>
      <c r="I863" s="124"/>
      <c r="J863" s="124"/>
      <c r="K863" s="124"/>
    </row>
    <row r="864" ht="15.75" customHeight="1">
      <c r="B864" s="334"/>
      <c r="E864" s="124"/>
      <c r="F864" s="124"/>
      <c r="G864" s="124"/>
      <c r="H864" s="124"/>
      <c r="I864" s="124"/>
      <c r="J864" s="124"/>
      <c r="K864" s="124"/>
    </row>
    <row r="865" ht="15.75" customHeight="1">
      <c r="B865" s="334"/>
      <c r="E865" s="124"/>
      <c r="F865" s="124"/>
      <c r="G865" s="124"/>
      <c r="H865" s="124"/>
      <c r="I865" s="124"/>
      <c r="J865" s="124"/>
      <c r="K865" s="124"/>
    </row>
    <row r="866" ht="15.75" customHeight="1">
      <c r="B866" s="334"/>
      <c r="E866" s="124"/>
      <c r="F866" s="124"/>
      <c r="G866" s="124"/>
      <c r="H866" s="124"/>
      <c r="I866" s="124"/>
      <c r="J866" s="124"/>
      <c r="K866" s="124"/>
    </row>
    <row r="867" ht="15.75" customHeight="1">
      <c r="B867" s="334"/>
      <c r="E867" s="124"/>
      <c r="F867" s="124"/>
      <c r="G867" s="124"/>
      <c r="H867" s="124"/>
      <c r="I867" s="124"/>
      <c r="J867" s="124"/>
      <c r="K867" s="124"/>
    </row>
    <row r="868" ht="15.75" customHeight="1">
      <c r="B868" s="334"/>
      <c r="E868" s="124"/>
      <c r="F868" s="124"/>
      <c r="G868" s="124"/>
      <c r="H868" s="124"/>
      <c r="I868" s="124"/>
      <c r="J868" s="124"/>
      <c r="K868" s="124"/>
    </row>
    <row r="869" ht="15.75" customHeight="1">
      <c r="B869" s="334"/>
      <c r="E869" s="124"/>
      <c r="F869" s="124"/>
      <c r="G869" s="124"/>
      <c r="H869" s="124"/>
      <c r="I869" s="124"/>
      <c r="J869" s="124"/>
      <c r="K869" s="124"/>
    </row>
    <row r="870" ht="15.75" customHeight="1">
      <c r="B870" s="334"/>
      <c r="E870" s="124"/>
      <c r="F870" s="124"/>
      <c r="G870" s="124"/>
      <c r="H870" s="124"/>
      <c r="I870" s="124"/>
      <c r="J870" s="124"/>
      <c r="K870" s="124"/>
    </row>
    <row r="871" ht="15.75" customHeight="1">
      <c r="B871" s="334"/>
      <c r="E871" s="124"/>
      <c r="F871" s="124"/>
      <c r="G871" s="124"/>
      <c r="H871" s="124"/>
      <c r="I871" s="124"/>
      <c r="J871" s="124"/>
      <c r="K871" s="124"/>
    </row>
    <row r="872" ht="15.75" customHeight="1">
      <c r="B872" s="334"/>
      <c r="E872" s="124"/>
      <c r="F872" s="124"/>
      <c r="G872" s="124"/>
      <c r="H872" s="124"/>
      <c r="I872" s="124"/>
      <c r="J872" s="124"/>
      <c r="K872" s="124"/>
    </row>
    <row r="873" ht="15.75" customHeight="1">
      <c r="B873" s="334"/>
      <c r="E873" s="124"/>
      <c r="F873" s="124"/>
      <c r="G873" s="124"/>
      <c r="H873" s="124"/>
      <c r="I873" s="124"/>
      <c r="J873" s="124"/>
      <c r="K873" s="124"/>
    </row>
    <row r="874" ht="15.75" customHeight="1">
      <c r="B874" s="334"/>
      <c r="E874" s="124"/>
      <c r="F874" s="124"/>
      <c r="G874" s="124"/>
      <c r="H874" s="124"/>
      <c r="I874" s="124"/>
      <c r="J874" s="124"/>
      <c r="K874" s="124"/>
    </row>
    <row r="875" ht="15.75" customHeight="1">
      <c r="B875" s="334"/>
      <c r="E875" s="124"/>
      <c r="F875" s="124"/>
      <c r="G875" s="124"/>
      <c r="H875" s="124"/>
      <c r="I875" s="124"/>
      <c r="J875" s="124"/>
      <c r="K875" s="124"/>
    </row>
    <row r="876" ht="15.75" customHeight="1">
      <c r="B876" s="334"/>
      <c r="E876" s="124"/>
      <c r="F876" s="124"/>
      <c r="G876" s="124"/>
      <c r="H876" s="124"/>
      <c r="I876" s="124"/>
      <c r="J876" s="124"/>
      <c r="K876" s="124"/>
    </row>
    <row r="877" ht="15.75" customHeight="1">
      <c r="B877" s="334"/>
      <c r="E877" s="124"/>
      <c r="F877" s="124"/>
      <c r="G877" s="124"/>
      <c r="H877" s="124"/>
      <c r="I877" s="124"/>
      <c r="J877" s="124"/>
      <c r="K877" s="124"/>
    </row>
    <row r="878" ht="15.75" customHeight="1">
      <c r="B878" s="334"/>
      <c r="E878" s="124"/>
      <c r="F878" s="124"/>
      <c r="G878" s="124"/>
      <c r="H878" s="124"/>
      <c r="I878" s="124"/>
      <c r="J878" s="124"/>
      <c r="K878" s="124"/>
    </row>
    <row r="879" ht="15.75" customHeight="1">
      <c r="B879" s="334"/>
      <c r="E879" s="124"/>
      <c r="F879" s="124"/>
      <c r="G879" s="124"/>
      <c r="H879" s="124"/>
      <c r="I879" s="124"/>
      <c r="J879" s="124"/>
      <c r="K879" s="124"/>
    </row>
    <row r="880" ht="15.75" customHeight="1">
      <c r="B880" s="334"/>
      <c r="E880" s="124"/>
      <c r="F880" s="124"/>
      <c r="G880" s="124"/>
      <c r="H880" s="124"/>
      <c r="I880" s="124"/>
      <c r="J880" s="124"/>
      <c r="K880" s="124"/>
    </row>
    <row r="881" ht="15.75" customHeight="1">
      <c r="B881" s="334"/>
      <c r="E881" s="124"/>
      <c r="F881" s="124"/>
      <c r="G881" s="124"/>
      <c r="H881" s="124"/>
      <c r="I881" s="124"/>
      <c r="J881" s="124"/>
      <c r="K881" s="124"/>
    </row>
    <row r="882" ht="15.75" customHeight="1">
      <c r="B882" s="334"/>
      <c r="E882" s="124"/>
      <c r="F882" s="124"/>
      <c r="G882" s="124"/>
      <c r="H882" s="124"/>
      <c r="I882" s="124"/>
      <c r="J882" s="124"/>
      <c r="K882" s="124"/>
    </row>
    <row r="883" ht="15.75" customHeight="1">
      <c r="B883" s="334"/>
      <c r="E883" s="124"/>
      <c r="F883" s="124"/>
      <c r="G883" s="124"/>
      <c r="H883" s="124"/>
      <c r="I883" s="124"/>
      <c r="J883" s="124"/>
      <c r="K883" s="124"/>
    </row>
    <row r="884" ht="15.75" customHeight="1">
      <c r="B884" s="334"/>
      <c r="E884" s="124"/>
      <c r="F884" s="124"/>
      <c r="G884" s="124"/>
      <c r="H884" s="124"/>
      <c r="I884" s="124"/>
      <c r="J884" s="124"/>
      <c r="K884" s="124"/>
    </row>
    <row r="885" ht="15.75" customHeight="1">
      <c r="B885" s="334"/>
      <c r="E885" s="124"/>
      <c r="F885" s="124"/>
      <c r="G885" s="124"/>
      <c r="H885" s="124"/>
      <c r="I885" s="124"/>
      <c r="J885" s="124"/>
      <c r="K885" s="124"/>
    </row>
    <row r="886" ht="15.75" customHeight="1">
      <c r="B886" s="334"/>
      <c r="E886" s="124"/>
      <c r="F886" s="124"/>
      <c r="G886" s="124"/>
      <c r="H886" s="124"/>
      <c r="I886" s="124"/>
      <c r="J886" s="124"/>
      <c r="K886" s="124"/>
    </row>
    <row r="887" ht="15.75" customHeight="1">
      <c r="B887" s="334"/>
      <c r="E887" s="124"/>
      <c r="F887" s="124"/>
      <c r="G887" s="124"/>
      <c r="H887" s="124"/>
      <c r="I887" s="124"/>
      <c r="J887" s="124"/>
      <c r="K887" s="124"/>
    </row>
    <row r="888" ht="15.75" customHeight="1">
      <c r="B888" s="334"/>
      <c r="E888" s="124"/>
      <c r="F888" s="124"/>
      <c r="G888" s="124"/>
      <c r="H888" s="124"/>
      <c r="I888" s="124"/>
      <c r="J888" s="124"/>
      <c r="K888" s="124"/>
    </row>
    <row r="889" ht="15.75" customHeight="1">
      <c r="B889" s="334"/>
      <c r="E889" s="124"/>
      <c r="F889" s="124"/>
      <c r="G889" s="124"/>
      <c r="H889" s="124"/>
      <c r="I889" s="124"/>
      <c r="J889" s="124"/>
      <c r="K889" s="124"/>
    </row>
    <row r="890" ht="15.75" customHeight="1">
      <c r="B890" s="334"/>
      <c r="E890" s="124"/>
      <c r="F890" s="124"/>
      <c r="G890" s="124"/>
      <c r="H890" s="124"/>
      <c r="I890" s="124"/>
      <c r="J890" s="124"/>
      <c r="K890" s="124"/>
    </row>
    <row r="891" ht="15.75" customHeight="1">
      <c r="B891" s="334"/>
      <c r="E891" s="124"/>
      <c r="F891" s="124"/>
      <c r="G891" s="124"/>
      <c r="H891" s="124"/>
      <c r="I891" s="124"/>
      <c r="J891" s="124"/>
      <c r="K891" s="124"/>
    </row>
    <row r="892" ht="15.75" customHeight="1">
      <c r="B892" s="334"/>
      <c r="E892" s="124"/>
      <c r="F892" s="124"/>
      <c r="G892" s="124"/>
      <c r="H892" s="124"/>
      <c r="I892" s="124"/>
      <c r="J892" s="124"/>
      <c r="K892" s="124"/>
    </row>
    <row r="893" ht="15.75" customHeight="1">
      <c r="B893" s="334"/>
      <c r="E893" s="124"/>
      <c r="F893" s="124"/>
      <c r="G893" s="124"/>
      <c r="H893" s="124"/>
      <c r="I893" s="124"/>
      <c r="J893" s="124"/>
      <c r="K893" s="124"/>
    </row>
    <row r="894" ht="15.75" customHeight="1">
      <c r="B894" s="334"/>
      <c r="E894" s="124"/>
      <c r="F894" s="124"/>
      <c r="G894" s="124"/>
      <c r="H894" s="124"/>
      <c r="I894" s="124"/>
      <c r="J894" s="124"/>
      <c r="K894" s="124"/>
    </row>
    <row r="895" ht="15.75" customHeight="1">
      <c r="B895" s="334"/>
      <c r="E895" s="124"/>
      <c r="F895" s="124"/>
      <c r="G895" s="124"/>
      <c r="H895" s="124"/>
      <c r="I895" s="124"/>
      <c r="J895" s="124"/>
      <c r="K895" s="124"/>
    </row>
    <row r="896" ht="15.75" customHeight="1">
      <c r="B896" s="334"/>
      <c r="E896" s="124"/>
      <c r="F896" s="124"/>
      <c r="G896" s="124"/>
      <c r="H896" s="124"/>
      <c r="I896" s="124"/>
      <c r="J896" s="124"/>
      <c r="K896" s="124"/>
    </row>
    <row r="897" ht="15.75" customHeight="1">
      <c r="B897" s="334"/>
      <c r="E897" s="124"/>
      <c r="F897" s="124"/>
      <c r="G897" s="124"/>
      <c r="H897" s="124"/>
      <c r="I897" s="124"/>
      <c r="J897" s="124"/>
      <c r="K897" s="124"/>
    </row>
    <row r="898" ht="15.75" customHeight="1">
      <c r="B898" s="334"/>
      <c r="E898" s="124"/>
      <c r="F898" s="124"/>
      <c r="G898" s="124"/>
      <c r="H898" s="124"/>
      <c r="I898" s="124"/>
      <c r="J898" s="124"/>
      <c r="K898" s="124"/>
    </row>
    <row r="899" ht="15.75" customHeight="1">
      <c r="B899" s="334"/>
      <c r="E899" s="124"/>
      <c r="F899" s="124"/>
      <c r="G899" s="124"/>
      <c r="H899" s="124"/>
      <c r="I899" s="124"/>
      <c r="J899" s="124"/>
      <c r="K899" s="124"/>
    </row>
    <row r="900" ht="15.75" customHeight="1">
      <c r="B900" s="334"/>
      <c r="E900" s="124"/>
      <c r="F900" s="124"/>
      <c r="G900" s="124"/>
      <c r="H900" s="124"/>
      <c r="I900" s="124"/>
      <c r="J900" s="124"/>
      <c r="K900" s="124"/>
    </row>
    <row r="901" ht="15.75" customHeight="1">
      <c r="B901" s="334"/>
      <c r="E901" s="124"/>
      <c r="F901" s="124"/>
      <c r="G901" s="124"/>
      <c r="H901" s="124"/>
      <c r="I901" s="124"/>
      <c r="J901" s="124"/>
      <c r="K901" s="124"/>
    </row>
    <row r="902" ht="15.75" customHeight="1">
      <c r="B902" s="334"/>
      <c r="E902" s="124"/>
      <c r="F902" s="124"/>
      <c r="G902" s="124"/>
      <c r="H902" s="124"/>
      <c r="I902" s="124"/>
      <c r="J902" s="124"/>
      <c r="K902" s="124"/>
    </row>
    <row r="903" ht="15.75" customHeight="1">
      <c r="B903" s="334"/>
      <c r="E903" s="124"/>
      <c r="F903" s="124"/>
      <c r="G903" s="124"/>
      <c r="H903" s="124"/>
      <c r="I903" s="124"/>
      <c r="J903" s="124"/>
      <c r="K903" s="124"/>
    </row>
    <row r="904" ht="15.75" customHeight="1">
      <c r="B904" s="334"/>
      <c r="E904" s="124"/>
      <c r="F904" s="124"/>
      <c r="G904" s="124"/>
      <c r="H904" s="124"/>
      <c r="I904" s="124"/>
      <c r="J904" s="124"/>
      <c r="K904" s="124"/>
    </row>
    <row r="905" ht="15.75" customHeight="1">
      <c r="B905" s="334"/>
      <c r="E905" s="124"/>
      <c r="F905" s="124"/>
      <c r="G905" s="124"/>
      <c r="H905" s="124"/>
      <c r="I905" s="124"/>
      <c r="J905" s="124"/>
      <c r="K905" s="124"/>
    </row>
    <row r="906" ht="15.75" customHeight="1">
      <c r="B906" s="334"/>
      <c r="E906" s="124"/>
      <c r="F906" s="124"/>
      <c r="G906" s="124"/>
      <c r="H906" s="124"/>
      <c r="I906" s="124"/>
      <c r="J906" s="124"/>
      <c r="K906" s="124"/>
    </row>
    <row r="907" ht="15.75" customHeight="1">
      <c r="B907" s="334"/>
      <c r="E907" s="124"/>
      <c r="F907" s="124"/>
      <c r="G907" s="124"/>
      <c r="H907" s="124"/>
      <c r="I907" s="124"/>
      <c r="J907" s="124"/>
      <c r="K907" s="124"/>
    </row>
    <row r="908" ht="15.75" customHeight="1">
      <c r="B908" s="334"/>
      <c r="E908" s="124"/>
      <c r="F908" s="124"/>
      <c r="G908" s="124"/>
      <c r="H908" s="124"/>
      <c r="I908" s="124"/>
      <c r="J908" s="124"/>
      <c r="K908" s="124"/>
    </row>
    <row r="909" ht="15.75" customHeight="1">
      <c r="B909" s="334"/>
      <c r="E909" s="124"/>
      <c r="F909" s="124"/>
      <c r="G909" s="124"/>
      <c r="H909" s="124"/>
      <c r="I909" s="124"/>
      <c r="J909" s="124"/>
      <c r="K909" s="124"/>
    </row>
    <row r="910" ht="15.75" customHeight="1">
      <c r="B910" s="334"/>
      <c r="E910" s="124"/>
      <c r="F910" s="124"/>
      <c r="G910" s="124"/>
      <c r="H910" s="124"/>
      <c r="I910" s="124"/>
      <c r="J910" s="124"/>
      <c r="K910" s="124"/>
    </row>
    <row r="911" ht="15.75" customHeight="1">
      <c r="B911" s="334"/>
      <c r="E911" s="124"/>
      <c r="F911" s="124"/>
      <c r="G911" s="124"/>
      <c r="H911" s="124"/>
      <c r="I911" s="124"/>
      <c r="J911" s="124"/>
      <c r="K911" s="124"/>
    </row>
    <row r="912" ht="15.75" customHeight="1">
      <c r="B912" s="334"/>
      <c r="E912" s="124"/>
      <c r="F912" s="124"/>
      <c r="G912" s="124"/>
      <c r="H912" s="124"/>
      <c r="I912" s="124"/>
      <c r="J912" s="124"/>
      <c r="K912" s="124"/>
    </row>
    <row r="913" ht="15.75" customHeight="1">
      <c r="B913" s="334"/>
      <c r="E913" s="124"/>
      <c r="F913" s="124"/>
      <c r="G913" s="124"/>
      <c r="H913" s="124"/>
      <c r="I913" s="124"/>
      <c r="J913" s="124"/>
      <c r="K913" s="124"/>
    </row>
    <row r="914" ht="15.75" customHeight="1">
      <c r="B914" s="334"/>
      <c r="E914" s="124"/>
      <c r="F914" s="124"/>
      <c r="G914" s="124"/>
      <c r="H914" s="124"/>
      <c r="I914" s="124"/>
      <c r="J914" s="124"/>
      <c r="K914" s="124"/>
    </row>
    <row r="915" ht="15.75" customHeight="1">
      <c r="B915" s="334"/>
      <c r="E915" s="124"/>
      <c r="F915" s="124"/>
      <c r="G915" s="124"/>
      <c r="H915" s="124"/>
      <c r="I915" s="124"/>
      <c r="J915" s="124"/>
      <c r="K915" s="124"/>
    </row>
    <row r="916" ht="15.75" customHeight="1">
      <c r="B916" s="334"/>
      <c r="E916" s="124"/>
      <c r="F916" s="124"/>
      <c r="G916" s="124"/>
      <c r="H916" s="124"/>
      <c r="I916" s="124"/>
      <c r="J916" s="124"/>
      <c r="K916" s="124"/>
    </row>
    <row r="917" ht="15.75" customHeight="1">
      <c r="B917" s="334"/>
      <c r="E917" s="124"/>
      <c r="F917" s="124"/>
      <c r="G917" s="124"/>
      <c r="H917" s="124"/>
      <c r="I917" s="124"/>
      <c r="J917" s="124"/>
      <c r="K917" s="124"/>
    </row>
    <row r="918" ht="15.75" customHeight="1">
      <c r="B918" s="334"/>
      <c r="E918" s="124"/>
      <c r="F918" s="124"/>
      <c r="G918" s="124"/>
      <c r="H918" s="124"/>
      <c r="I918" s="124"/>
      <c r="J918" s="124"/>
      <c r="K918" s="124"/>
    </row>
    <row r="919" ht="15.75" customHeight="1">
      <c r="B919" s="334"/>
      <c r="E919" s="124"/>
      <c r="F919" s="124"/>
      <c r="G919" s="124"/>
      <c r="H919" s="124"/>
      <c r="I919" s="124"/>
      <c r="J919" s="124"/>
      <c r="K919" s="124"/>
    </row>
    <row r="920" ht="15.75" customHeight="1">
      <c r="B920" s="334"/>
      <c r="E920" s="124"/>
      <c r="F920" s="124"/>
      <c r="G920" s="124"/>
      <c r="H920" s="124"/>
      <c r="I920" s="124"/>
      <c r="J920" s="124"/>
      <c r="K920" s="124"/>
    </row>
    <row r="921" ht="15.75" customHeight="1">
      <c r="B921" s="334"/>
      <c r="E921" s="124"/>
      <c r="F921" s="124"/>
      <c r="G921" s="124"/>
      <c r="H921" s="124"/>
      <c r="I921" s="124"/>
      <c r="J921" s="124"/>
      <c r="K921" s="124"/>
    </row>
    <row r="922" ht="15.75" customHeight="1">
      <c r="B922" s="334"/>
      <c r="E922" s="124"/>
      <c r="F922" s="124"/>
      <c r="G922" s="124"/>
      <c r="H922" s="124"/>
      <c r="I922" s="124"/>
      <c r="J922" s="124"/>
      <c r="K922" s="124"/>
    </row>
    <row r="923" ht="15.75" customHeight="1">
      <c r="B923" s="334"/>
      <c r="E923" s="124"/>
      <c r="F923" s="124"/>
      <c r="G923" s="124"/>
      <c r="H923" s="124"/>
      <c r="I923" s="124"/>
      <c r="J923" s="124"/>
      <c r="K923" s="124"/>
    </row>
    <row r="924" ht="15.75" customHeight="1">
      <c r="B924" s="334"/>
      <c r="E924" s="124"/>
      <c r="F924" s="124"/>
      <c r="G924" s="124"/>
      <c r="H924" s="124"/>
      <c r="I924" s="124"/>
      <c r="J924" s="124"/>
      <c r="K924" s="124"/>
    </row>
    <row r="925" ht="15.75" customHeight="1">
      <c r="B925" s="334"/>
      <c r="E925" s="124"/>
      <c r="F925" s="124"/>
      <c r="G925" s="124"/>
      <c r="H925" s="124"/>
      <c r="I925" s="124"/>
      <c r="J925" s="124"/>
      <c r="K925" s="124"/>
    </row>
    <row r="926" ht="15.75" customHeight="1">
      <c r="B926" s="334"/>
      <c r="E926" s="124"/>
      <c r="F926" s="124"/>
      <c r="G926" s="124"/>
      <c r="H926" s="124"/>
      <c r="I926" s="124"/>
      <c r="J926" s="124"/>
      <c r="K926" s="124"/>
    </row>
    <row r="927" ht="15.75" customHeight="1">
      <c r="B927" s="334"/>
      <c r="E927" s="124"/>
      <c r="F927" s="124"/>
      <c r="G927" s="124"/>
      <c r="H927" s="124"/>
      <c r="I927" s="124"/>
      <c r="J927" s="124"/>
      <c r="K927" s="124"/>
    </row>
    <row r="928" ht="15.75" customHeight="1">
      <c r="B928" s="334"/>
      <c r="E928" s="124"/>
      <c r="F928" s="124"/>
      <c r="G928" s="124"/>
      <c r="H928" s="124"/>
      <c r="I928" s="124"/>
      <c r="J928" s="124"/>
      <c r="K928" s="124"/>
    </row>
    <row r="929" ht="15.75" customHeight="1">
      <c r="B929" s="334"/>
      <c r="E929" s="124"/>
      <c r="F929" s="124"/>
      <c r="G929" s="124"/>
      <c r="H929" s="124"/>
      <c r="I929" s="124"/>
      <c r="J929" s="124"/>
      <c r="K929" s="124"/>
    </row>
    <row r="930" ht="15.75" customHeight="1">
      <c r="B930" s="334"/>
      <c r="E930" s="124"/>
      <c r="F930" s="124"/>
      <c r="G930" s="124"/>
      <c r="H930" s="124"/>
      <c r="I930" s="124"/>
      <c r="J930" s="124"/>
      <c r="K930" s="124"/>
    </row>
    <row r="931" ht="15.75" customHeight="1">
      <c r="B931" s="334"/>
      <c r="E931" s="124"/>
      <c r="F931" s="124"/>
      <c r="G931" s="124"/>
      <c r="H931" s="124"/>
      <c r="I931" s="124"/>
      <c r="J931" s="124"/>
      <c r="K931" s="124"/>
    </row>
    <row r="932" ht="15.75" customHeight="1">
      <c r="B932" s="334"/>
      <c r="E932" s="124"/>
      <c r="F932" s="124"/>
      <c r="G932" s="124"/>
      <c r="H932" s="124"/>
      <c r="I932" s="124"/>
      <c r="J932" s="124"/>
      <c r="K932" s="124"/>
    </row>
    <row r="933" ht="15.75" customHeight="1">
      <c r="B933" s="334"/>
      <c r="E933" s="124"/>
      <c r="F933" s="124"/>
      <c r="G933" s="124"/>
      <c r="H933" s="124"/>
      <c r="I933" s="124"/>
      <c r="J933" s="124"/>
      <c r="K933" s="124"/>
    </row>
    <row r="934" ht="15.75" customHeight="1">
      <c r="B934" s="334"/>
      <c r="E934" s="124"/>
      <c r="F934" s="124"/>
      <c r="G934" s="124"/>
      <c r="H934" s="124"/>
      <c r="I934" s="124"/>
      <c r="J934" s="124"/>
      <c r="K934" s="124"/>
    </row>
    <row r="935" ht="15.75" customHeight="1">
      <c r="B935" s="334"/>
      <c r="E935" s="124"/>
      <c r="F935" s="124"/>
      <c r="G935" s="124"/>
      <c r="H935" s="124"/>
      <c r="I935" s="124"/>
      <c r="J935" s="124"/>
      <c r="K935" s="124"/>
    </row>
    <row r="936" ht="15.75" customHeight="1">
      <c r="B936" s="334"/>
      <c r="E936" s="124"/>
      <c r="F936" s="124"/>
      <c r="G936" s="124"/>
      <c r="H936" s="124"/>
      <c r="I936" s="124"/>
      <c r="J936" s="124"/>
      <c r="K936" s="124"/>
    </row>
    <row r="937" ht="15.75" customHeight="1">
      <c r="B937" s="334"/>
      <c r="E937" s="124"/>
      <c r="F937" s="124"/>
      <c r="G937" s="124"/>
      <c r="H937" s="124"/>
      <c r="I937" s="124"/>
      <c r="J937" s="124"/>
      <c r="K937" s="124"/>
    </row>
    <row r="938" ht="15.75" customHeight="1">
      <c r="B938" s="334"/>
      <c r="E938" s="124"/>
      <c r="F938" s="124"/>
      <c r="G938" s="124"/>
      <c r="H938" s="124"/>
      <c r="I938" s="124"/>
      <c r="J938" s="124"/>
      <c r="K938" s="124"/>
    </row>
    <row r="939" ht="15.75" customHeight="1">
      <c r="B939" s="334"/>
      <c r="E939" s="124"/>
      <c r="F939" s="124"/>
      <c r="G939" s="124"/>
      <c r="H939" s="124"/>
      <c r="I939" s="124"/>
      <c r="J939" s="124"/>
      <c r="K939" s="124"/>
    </row>
    <row r="940" ht="15.75" customHeight="1">
      <c r="B940" s="334"/>
      <c r="E940" s="124"/>
      <c r="F940" s="124"/>
      <c r="G940" s="124"/>
      <c r="H940" s="124"/>
      <c r="I940" s="124"/>
      <c r="J940" s="124"/>
      <c r="K940" s="124"/>
    </row>
    <row r="941" ht="15.75" customHeight="1">
      <c r="B941" s="334"/>
      <c r="E941" s="124"/>
      <c r="F941" s="124"/>
      <c r="G941" s="124"/>
      <c r="H941" s="124"/>
      <c r="I941" s="124"/>
      <c r="J941" s="124"/>
      <c r="K941" s="124"/>
    </row>
    <row r="942" ht="15.75" customHeight="1">
      <c r="B942" s="334"/>
      <c r="E942" s="124"/>
      <c r="F942" s="124"/>
      <c r="G942" s="124"/>
      <c r="H942" s="124"/>
      <c r="I942" s="124"/>
      <c r="J942" s="124"/>
      <c r="K942" s="124"/>
    </row>
    <row r="943" ht="15.75" customHeight="1">
      <c r="B943" s="334"/>
      <c r="E943" s="124"/>
      <c r="F943" s="124"/>
      <c r="G943" s="124"/>
      <c r="H943" s="124"/>
      <c r="I943" s="124"/>
      <c r="J943" s="124"/>
      <c r="K943" s="124"/>
    </row>
    <row r="944" ht="15.75" customHeight="1">
      <c r="B944" s="334"/>
      <c r="E944" s="124"/>
      <c r="F944" s="124"/>
      <c r="G944" s="124"/>
      <c r="H944" s="124"/>
      <c r="I944" s="124"/>
      <c r="J944" s="124"/>
      <c r="K944" s="124"/>
    </row>
    <row r="945" ht="15.75" customHeight="1">
      <c r="B945" s="334"/>
      <c r="E945" s="124"/>
      <c r="F945" s="124"/>
      <c r="G945" s="124"/>
      <c r="H945" s="124"/>
      <c r="I945" s="124"/>
      <c r="J945" s="124"/>
      <c r="K945" s="124"/>
    </row>
    <row r="946" ht="15.75" customHeight="1">
      <c r="B946" s="334"/>
      <c r="E946" s="124"/>
      <c r="F946" s="124"/>
      <c r="G946" s="124"/>
      <c r="H946" s="124"/>
      <c r="I946" s="124"/>
      <c r="J946" s="124"/>
      <c r="K946" s="124"/>
    </row>
    <row r="947" ht="15.75" customHeight="1">
      <c r="B947" s="334"/>
      <c r="E947" s="124"/>
      <c r="F947" s="124"/>
      <c r="G947" s="124"/>
      <c r="H947" s="124"/>
      <c r="I947" s="124"/>
      <c r="J947" s="124"/>
      <c r="K947" s="124"/>
    </row>
    <row r="948" ht="15.75" customHeight="1">
      <c r="B948" s="334"/>
      <c r="E948" s="124"/>
      <c r="F948" s="124"/>
      <c r="G948" s="124"/>
      <c r="H948" s="124"/>
      <c r="I948" s="124"/>
      <c r="J948" s="124"/>
      <c r="K948" s="124"/>
    </row>
    <row r="949" ht="15.75" customHeight="1">
      <c r="B949" s="334"/>
      <c r="E949" s="124"/>
      <c r="F949" s="124"/>
      <c r="G949" s="124"/>
      <c r="H949" s="124"/>
      <c r="I949" s="124"/>
      <c r="J949" s="124"/>
      <c r="K949" s="124"/>
    </row>
    <row r="950" ht="15.75" customHeight="1">
      <c r="B950" s="334"/>
      <c r="E950" s="124"/>
      <c r="F950" s="124"/>
      <c r="G950" s="124"/>
      <c r="H950" s="124"/>
      <c r="I950" s="124"/>
      <c r="J950" s="124"/>
      <c r="K950" s="124"/>
    </row>
    <row r="951" ht="15.75" customHeight="1">
      <c r="B951" s="334"/>
      <c r="E951" s="124"/>
      <c r="F951" s="124"/>
      <c r="G951" s="124"/>
      <c r="H951" s="124"/>
      <c r="I951" s="124"/>
      <c r="J951" s="124"/>
      <c r="K951" s="124"/>
    </row>
    <row r="952" ht="15.75" customHeight="1">
      <c r="B952" s="334"/>
      <c r="E952" s="124"/>
      <c r="F952" s="124"/>
      <c r="G952" s="124"/>
      <c r="H952" s="124"/>
      <c r="I952" s="124"/>
      <c r="J952" s="124"/>
      <c r="K952" s="124"/>
    </row>
    <row r="953" ht="15.75" customHeight="1">
      <c r="B953" s="334"/>
      <c r="E953" s="124"/>
      <c r="F953" s="124"/>
      <c r="G953" s="124"/>
      <c r="H953" s="124"/>
      <c r="I953" s="124"/>
      <c r="J953" s="124"/>
      <c r="K953" s="124"/>
    </row>
    <row r="954" ht="15.75" customHeight="1">
      <c r="B954" s="334"/>
      <c r="E954" s="124"/>
      <c r="F954" s="124"/>
      <c r="G954" s="124"/>
      <c r="H954" s="124"/>
      <c r="I954" s="124"/>
      <c r="J954" s="124"/>
      <c r="K954" s="124"/>
    </row>
    <row r="955" ht="15.75" customHeight="1">
      <c r="B955" s="334"/>
      <c r="E955" s="124"/>
      <c r="F955" s="124"/>
      <c r="G955" s="124"/>
      <c r="H955" s="124"/>
      <c r="I955" s="124"/>
      <c r="J955" s="124"/>
      <c r="K955" s="124"/>
    </row>
    <row r="956" ht="15.75" customHeight="1">
      <c r="B956" s="334"/>
      <c r="E956" s="124"/>
      <c r="F956" s="124"/>
      <c r="G956" s="124"/>
      <c r="H956" s="124"/>
      <c r="I956" s="124"/>
      <c r="J956" s="124"/>
      <c r="K956" s="124"/>
    </row>
    <row r="957" ht="15.75" customHeight="1">
      <c r="B957" s="334"/>
      <c r="E957" s="124"/>
      <c r="F957" s="124"/>
      <c r="G957" s="124"/>
      <c r="H957" s="124"/>
      <c r="I957" s="124"/>
      <c r="J957" s="124"/>
      <c r="K957" s="124"/>
    </row>
    <row r="958" ht="15.75" customHeight="1">
      <c r="B958" s="334"/>
      <c r="E958" s="124"/>
      <c r="F958" s="124"/>
      <c r="G958" s="124"/>
      <c r="H958" s="124"/>
      <c r="I958" s="124"/>
      <c r="J958" s="124"/>
      <c r="K958" s="124"/>
    </row>
    <row r="959" ht="15.75" customHeight="1">
      <c r="B959" s="334"/>
      <c r="E959" s="124"/>
      <c r="F959" s="124"/>
      <c r="G959" s="124"/>
      <c r="H959" s="124"/>
      <c r="I959" s="124"/>
      <c r="J959" s="124"/>
      <c r="K959" s="124"/>
    </row>
    <row r="960" ht="15.75" customHeight="1">
      <c r="B960" s="334"/>
      <c r="E960" s="124"/>
      <c r="F960" s="124"/>
      <c r="G960" s="124"/>
      <c r="H960" s="124"/>
      <c r="I960" s="124"/>
      <c r="J960" s="124"/>
      <c r="K960" s="124"/>
    </row>
    <row r="961" ht="15.75" customHeight="1">
      <c r="B961" s="334"/>
      <c r="E961" s="124"/>
      <c r="F961" s="124"/>
      <c r="G961" s="124"/>
      <c r="H961" s="124"/>
      <c r="I961" s="124"/>
      <c r="J961" s="124"/>
      <c r="K961" s="124"/>
    </row>
    <row r="962" ht="15.75" customHeight="1">
      <c r="B962" s="334"/>
      <c r="E962" s="124"/>
      <c r="F962" s="124"/>
      <c r="G962" s="124"/>
      <c r="H962" s="124"/>
      <c r="I962" s="124"/>
      <c r="J962" s="124"/>
      <c r="K962" s="124"/>
    </row>
    <row r="963" ht="15.75" customHeight="1">
      <c r="B963" s="334"/>
      <c r="E963" s="124"/>
      <c r="F963" s="124"/>
      <c r="G963" s="124"/>
      <c r="H963" s="124"/>
      <c r="I963" s="124"/>
      <c r="J963" s="124"/>
      <c r="K963" s="124"/>
    </row>
    <row r="964" ht="15.75" customHeight="1">
      <c r="B964" s="334"/>
      <c r="E964" s="124"/>
      <c r="F964" s="124"/>
      <c r="G964" s="124"/>
      <c r="H964" s="124"/>
      <c r="I964" s="124"/>
      <c r="J964" s="124"/>
      <c r="K964" s="124"/>
    </row>
    <row r="965" ht="15.75" customHeight="1">
      <c r="B965" s="334"/>
      <c r="E965" s="124"/>
      <c r="F965" s="124"/>
      <c r="G965" s="124"/>
      <c r="H965" s="124"/>
      <c r="I965" s="124"/>
      <c r="J965" s="124"/>
      <c r="K965" s="124"/>
    </row>
    <row r="966" ht="15.75" customHeight="1">
      <c r="B966" s="334"/>
      <c r="E966" s="124"/>
      <c r="F966" s="124"/>
      <c r="G966" s="124"/>
      <c r="H966" s="124"/>
      <c r="I966" s="124"/>
      <c r="J966" s="124"/>
      <c r="K966" s="124"/>
    </row>
    <row r="967" ht="15.75" customHeight="1">
      <c r="B967" s="334"/>
      <c r="E967" s="124"/>
      <c r="F967" s="124"/>
      <c r="G967" s="124"/>
      <c r="H967" s="124"/>
      <c r="I967" s="124"/>
      <c r="J967" s="124"/>
      <c r="K967" s="124"/>
    </row>
    <row r="968" ht="15.75" customHeight="1">
      <c r="B968" s="334"/>
      <c r="E968" s="124"/>
      <c r="F968" s="124"/>
      <c r="G968" s="124"/>
      <c r="H968" s="124"/>
      <c r="I968" s="124"/>
      <c r="J968" s="124"/>
      <c r="K968" s="124"/>
    </row>
    <row r="969" ht="15.75" customHeight="1">
      <c r="B969" s="334"/>
      <c r="E969" s="124"/>
      <c r="F969" s="124"/>
      <c r="G969" s="124"/>
      <c r="H969" s="124"/>
      <c r="I969" s="124"/>
      <c r="J969" s="124"/>
      <c r="K969" s="124"/>
    </row>
    <row r="970" ht="15.75" customHeight="1">
      <c r="B970" s="334"/>
      <c r="E970" s="124"/>
      <c r="F970" s="124"/>
      <c r="G970" s="124"/>
      <c r="H970" s="124"/>
      <c r="I970" s="124"/>
      <c r="J970" s="124"/>
      <c r="K970" s="124"/>
    </row>
    <row r="971" ht="15.75" customHeight="1">
      <c r="B971" s="334"/>
      <c r="E971" s="124"/>
      <c r="F971" s="124"/>
      <c r="G971" s="124"/>
      <c r="H971" s="124"/>
      <c r="I971" s="124"/>
      <c r="J971" s="124"/>
      <c r="K971" s="124"/>
    </row>
    <row r="972" ht="15.75" customHeight="1">
      <c r="B972" s="334"/>
      <c r="E972" s="124"/>
      <c r="F972" s="124"/>
      <c r="G972" s="124"/>
      <c r="H972" s="124"/>
      <c r="I972" s="124"/>
      <c r="J972" s="124"/>
      <c r="K972" s="124"/>
    </row>
    <row r="973" ht="15.75" customHeight="1">
      <c r="B973" s="334"/>
      <c r="E973" s="124"/>
      <c r="F973" s="124"/>
      <c r="G973" s="124"/>
      <c r="H973" s="124"/>
      <c r="I973" s="124"/>
      <c r="J973" s="124"/>
      <c r="K973" s="124"/>
    </row>
    <row r="974" ht="15.75" customHeight="1">
      <c r="B974" s="334"/>
      <c r="E974" s="124"/>
      <c r="F974" s="124"/>
      <c r="G974" s="124"/>
      <c r="H974" s="124"/>
      <c r="I974" s="124"/>
      <c r="J974" s="124"/>
      <c r="K974" s="124"/>
    </row>
    <row r="975" ht="15.75" customHeight="1">
      <c r="B975" s="334"/>
      <c r="E975" s="124"/>
      <c r="F975" s="124"/>
      <c r="G975" s="124"/>
      <c r="H975" s="124"/>
      <c r="I975" s="124"/>
      <c r="J975" s="124"/>
      <c r="K975" s="124"/>
    </row>
    <row r="976" ht="15.75" customHeight="1">
      <c r="B976" s="334"/>
      <c r="E976" s="124"/>
      <c r="F976" s="124"/>
      <c r="G976" s="124"/>
      <c r="H976" s="124"/>
      <c r="I976" s="124"/>
      <c r="J976" s="124"/>
      <c r="K976" s="124"/>
    </row>
    <row r="977" ht="15.75" customHeight="1">
      <c r="B977" s="334"/>
      <c r="E977" s="124"/>
      <c r="F977" s="124"/>
      <c r="G977" s="124"/>
      <c r="H977" s="124"/>
      <c r="I977" s="124"/>
      <c r="J977" s="124"/>
      <c r="K977" s="124"/>
    </row>
    <row r="978" ht="15.75" customHeight="1">
      <c r="B978" s="334"/>
      <c r="E978" s="124"/>
      <c r="F978" s="124"/>
      <c r="G978" s="124"/>
      <c r="H978" s="124"/>
      <c r="I978" s="124"/>
      <c r="J978" s="124"/>
      <c r="K978" s="124"/>
    </row>
    <row r="979" ht="15.75" customHeight="1">
      <c r="B979" s="334"/>
      <c r="E979" s="124"/>
      <c r="F979" s="124"/>
      <c r="G979" s="124"/>
      <c r="H979" s="124"/>
      <c r="I979" s="124"/>
      <c r="J979" s="124"/>
      <c r="K979" s="124"/>
    </row>
    <row r="980" ht="15.75" customHeight="1">
      <c r="B980" s="334"/>
      <c r="E980" s="124"/>
      <c r="F980" s="124"/>
      <c r="G980" s="124"/>
      <c r="H980" s="124"/>
      <c r="I980" s="124"/>
      <c r="J980" s="124"/>
      <c r="K980" s="124"/>
    </row>
    <row r="981" ht="15.75" customHeight="1">
      <c r="B981" s="334"/>
      <c r="E981" s="124"/>
      <c r="F981" s="124"/>
      <c r="G981" s="124"/>
      <c r="H981" s="124"/>
      <c r="I981" s="124"/>
      <c r="J981" s="124"/>
      <c r="K981" s="124"/>
    </row>
    <row r="982" ht="15.75" customHeight="1">
      <c r="B982" s="334"/>
      <c r="E982" s="124"/>
      <c r="F982" s="124"/>
      <c r="G982" s="124"/>
      <c r="H982" s="124"/>
      <c r="I982" s="124"/>
      <c r="J982" s="124"/>
      <c r="K982" s="124"/>
    </row>
    <row r="983" ht="15.75" customHeight="1">
      <c r="B983" s="334"/>
      <c r="E983" s="124"/>
      <c r="F983" s="124"/>
      <c r="G983" s="124"/>
      <c r="H983" s="124"/>
      <c r="I983" s="124"/>
      <c r="J983" s="124"/>
      <c r="K983" s="124"/>
    </row>
    <row r="984" ht="15.75" customHeight="1">
      <c r="B984" s="334"/>
      <c r="E984" s="124"/>
      <c r="F984" s="124"/>
      <c r="G984" s="124"/>
      <c r="H984" s="124"/>
      <c r="I984" s="124"/>
      <c r="J984" s="124"/>
      <c r="K984" s="124"/>
    </row>
    <row r="985" ht="15.75" customHeight="1">
      <c r="B985" s="334"/>
      <c r="E985" s="124"/>
      <c r="F985" s="124"/>
      <c r="G985" s="124"/>
      <c r="H985" s="124"/>
      <c r="I985" s="124"/>
      <c r="J985" s="124"/>
      <c r="K985" s="124"/>
    </row>
    <row r="986" ht="15.75" customHeight="1">
      <c r="B986" s="334"/>
      <c r="E986" s="124"/>
      <c r="F986" s="124"/>
      <c r="G986" s="124"/>
      <c r="H986" s="124"/>
      <c r="I986" s="124"/>
      <c r="J986" s="124"/>
      <c r="K986" s="124"/>
    </row>
    <row r="987" ht="15.75" customHeight="1">
      <c r="B987" s="334"/>
      <c r="E987" s="124"/>
      <c r="F987" s="124"/>
      <c r="G987" s="124"/>
      <c r="H987" s="124"/>
      <c r="I987" s="124"/>
      <c r="J987" s="124"/>
      <c r="K987" s="124"/>
    </row>
    <row r="988" ht="15.75" customHeight="1">
      <c r="B988" s="334"/>
      <c r="E988" s="124"/>
      <c r="F988" s="124"/>
      <c r="G988" s="124"/>
      <c r="H988" s="124"/>
      <c r="I988" s="124"/>
      <c r="J988" s="124"/>
      <c r="K988" s="124"/>
    </row>
    <row r="989" ht="15.75" customHeight="1">
      <c r="B989" s="334"/>
      <c r="E989" s="124"/>
      <c r="F989" s="124"/>
      <c r="G989" s="124"/>
      <c r="H989" s="124"/>
      <c r="I989" s="124"/>
      <c r="J989" s="124"/>
      <c r="K989" s="124"/>
    </row>
    <row r="990" ht="15.75" customHeight="1">
      <c r="B990" s="334"/>
      <c r="E990" s="124"/>
      <c r="F990" s="124"/>
      <c r="G990" s="124"/>
      <c r="H990" s="124"/>
      <c r="I990" s="124"/>
      <c r="J990" s="124"/>
      <c r="K990" s="124"/>
    </row>
    <row r="991" ht="15.75" customHeight="1">
      <c r="B991" s="334"/>
      <c r="E991" s="124"/>
      <c r="F991" s="124"/>
      <c r="G991" s="124"/>
      <c r="H991" s="124"/>
      <c r="I991" s="124"/>
      <c r="J991" s="124"/>
      <c r="K991" s="124"/>
    </row>
    <row r="992" ht="15.75" customHeight="1">
      <c r="B992" s="334"/>
      <c r="E992" s="124"/>
      <c r="F992" s="124"/>
      <c r="G992" s="124"/>
      <c r="H992" s="124"/>
      <c r="I992" s="124"/>
      <c r="J992" s="124"/>
      <c r="K992" s="124"/>
    </row>
    <row r="993" ht="15.75" customHeight="1">
      <c r="B993" s="334"/>
      <c r="E993" s="124"/>
      <c r="F993" s="124"/>
      <c r="G993" s="124"/>
      <c r="H993" s="124"/>
      <c r="I993" s="124"/>
      <c r="J993" s="124"/>
      <c r="K993" s="124"/>
    </row>
    <row r="994" ht="15.75" customHeight="1">
      <c r="B994" s="334"/>
      <c r="E994" s="124"/>
      <c r="F994" s="124"/>
      <c r="G994" s="124"/>
      <c r="H994" s="124"/>
      <c r="I994" s="124"/>
      <c r="J994" s="124"/>
      <c r="K994" s="124"/>
    </row>
    <row r="995" ht="15.75" customHeight="1">
      <c r="B995" s="334"/>
      <c r="E995" s="124"/>
      <c r="F995" s="124"/>
      <c r="G995" s="124"/>
      <c r="H995" s="124"/>
      <c r="I995" s="124"/>
      <c r="J995" s="124"/>
      <c r="K995" s="124"/>
    </row>
    <row r="996" ht="15.75" customHeight="1">
      <c r="B996" s="334"/>
      <c r="E996" s="124"/>
      <c r="F996" s="124"/>
      <c r="G996" s="124"/>
      <c r="H996" s="124"/>
      <c r="I996" s="124"/>
      <c r="J996" s="124"/>
      <c r="K996" s="124"/>
    </row>
    <row r="997" ht="15.75" customHeight="1">
      <c r="B997" s="334"/>
      <c r="E997" s="124"/>
      <c r="F997" s="124"/>
      <c r="G997" s="124"/>
      <c r="H997" s="124"/>
      <c r="I997" s="124"/>
      <c r="J997" s="124"/>
      <c r="K997" s="124"/>
    </row>
    <row r="998" ht="15.75" customHeight="1">
      <c r="B998" s="334"/>
      <c r="E998" s="124"/>
      <c r="F998" s="124"/>
      <c r="G998" s="124"/>
      <c r="H998" s="124"/>
      <c r="I998" s="124"/>
      <c r="J998" s="124"/>
      <c r="K998" s="124"/>
    </row>
    <row r="999" ht="15.75" customHeight="1">
      <c r="B999" s="334"/>
      <c r="E999" s="124"/>
      <c r="F999" s="124"/>
      <c r="G999" s="124"/>
      <c r="H999" s="124"/>
      <c r="I999" s="124"/>
      <c r="J999" s="124"/>
      <c r="K999" s="124"/>
    </row>
    <row r="1000" ht="15.75" customHeight="1">
      <c r="B1000" s="334"/>
      <c r="E1000" s="124"/>
      <c r="F1000" s="124"/>
      <c r="G1000" s="124"/>
      <c r="H1000" s="124"/>
      <c r="I1000" s="124"/>
      <c r="J1000" s="124"/>
      <c r="K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56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12.11"/>
    <col customWidth="1" min="3" max="4" width="9.11"/>
    <col customWidth="1" min="5" max="5" width="15.44"/>
    <col customWidth="1" min="6" max="6" width="12.44"/>
    <col customWidth="1" min="7" max="7" width="10.78"/>
    <col customWidth="1" min="8" max="8" width="16.78"/>
    <col customWidth="1" min="9" max="9" width="10.0"/>
    <col customWidth="1" min="10" max="10" width="10.78"/>
    <col customWidth="1" min="11" max="11" width="17.33"/>
    <col customWidth="1" min="12" max="13" width="13.22"/>
    <col customWidth="1" min="14" max="26" width="8.56"/>
  </cols>
  <sheetData>
    <row r="1" ht="15.75" customHeight="1">
      <c r="A1" s="179" t="s">
        <v>73</v>
      </c>
    </row>
    <row r="2" ht="15.75" customHeight="1">
      <c r="A2" s="180" t="s">
        <v>74</v>
      </c>
      <c r="B2" s="183"/>
      <c r="E2" s="182"/>
      <c r="F2" s="182"/>
      <c r="G2" s="182"/>
      <c r="H2" s="182"/>
      <c r="I2" s="184"/>
      <c r="J2" s="184"/>
      <c r="K2" s="342" t="s">
        <v>65</v>
      </c>
    </row>
    <row r="3" ht="15.75" customHeight="1">
      <c r="A3" s="260" t="s">
        <v>2</v>
      </c>
      <c r="B3" s="260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197" t="s">
        <v>69</v>
      </c>
      <c r="J4" s="197" t="s">
        <v>70</v>
      </c>
      <c r="K4" s="197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'Yakin Pasifik Tuna'!B5</f>
        <v>45137</v>
      </c>
      <c r="C5" s="320">
        <f>'Yakin Pasifik Tuna'!H5</f>
        <v>92</v>
      </c>
      <c r="D5" s="239">
        <f>'Yakin Pasifik Tuna'!X5</f>
        <v>10442.54944</v>
      </c>
      <c r="E5" s="239">
        <f t="shared" ref="E5:E8" si="2">D5*C5</f>
        <v>960714.5487</v>
      </c>
      <c r="F5" s="239"/>
      <c r="G5" s="239"/>
      <c r="H5" s="239"/>
      <c r="I5" s="245">
        <f t="shared" ref="I5:J5" si="1">C5</f>
        <v>92</v>
      </c>
      <c r="J5" s="245">
        <f t="shared" si="1"/>
        <v>10442.54944</v>
      </c>
      <c r="K5" s="245">
        <f>I5*J5</f>
        <v>960714.5487</v>
      </c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'Yakin Pasifik Tuna'!B6</f>
        <v>45138</v>
      </c>
      <c r="C6" s="320">
        <f>'Yakin Pasifik Tuna'!H6</f>
        <v>628</v>
      </c>
      <c r="D6" s="239">
        <f>'Yakin Pasifik Tuna'!X6</f>
        <v>10442.5642</v>
      </c>
      <c r="E6" s="239">
        <f t="shared" si="2"/>
        <v>6557930.319</v>
      </c>
      <c r="F6" s="239"/>
      <c r="G6" s="239"/>
      <c r="H6" s="239"/>
      <c r="I6" s="245">
        <f t="shared" ref="I6:I8" si="3">I5+C6</f>
        <v>720</v>
      </c>
      <c r="J6" s="245">
        <f t="shared" ref="J6:J8" si="4">K6/I6</f>
        <v>10442.56232</v>
      </c>
      <c r="K6" s="245">
        <f t="shared" ref="K6:K8" si="5">K5+E6</f>
        <v>7518644.868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'Yakin Pasifik Tuna'!B7</f>
        <v>45139</v>
      </c>
      <c r="C7" s="320">
        <f>'Yakin Pasifik Tuna'!H7</f>
        <v>451</v>
      </c>
      <c r="D7" s="239">
        <f>'Yakin Pasifik Tuna'!X7</f>
        <v>10444.96644</v>
      </c>
      <c r="E7" s="239">
        <f t="shared" si="2"/>
        <v>4710679.866</v>
      </c>
      <c r="F7" s="239"/>
      <c r="G7" s="239"/>
      <c r="H7" s="239"/>
      <c r="I7" s="245">
        <f t="shared" si="3"/>
        <v>1171</v>
      </c>
      <c r="J7" s="245">
        <f t="shared" si="4"/>
        <v>10443.48824</v>
      </c>
      <c r="K7" s="245">
        <f t="shared" si="5"/>
        <v>12229324.73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'Yakin Pasifik Tuna'!B8</f>
        <v>45149</v>
      </c>
      <c r="C8" s="320">
        <f>'Yakin Pasifik Tuna'!H8</f>
        <v>838</v>
      </c>
      <c r="D8" s="239">
        <f>'Yakin Pasifik Tuna'!X8</f>
        <v>10495.01861</v>
      </c>
      <c r="E8" s="239">
        <f t="shared" si="2"/>
        <v>8794825.598</v>
      </c>
      <c r="F8" s="239"/>
      <c r="G8" s="239"/>
      <c r="H8" s="239"/>
      <c r="I8" s="245">
        <f t="shared" si="3"/>
        <v>2009</v>
      </c>
      <c r="J8" s="245">
        <f t="shared" si="4"/>
        <v>10464.98274</v>
      </c>
      <c r="K8" s="245">
        <f t="shared" si="5"/>
        <v>21024150.33</v>
      </c>
      <c r="L8" s="207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208">
        <v>5.0</v>
      </c>
      <c r="B9" s="209">
        <v>45154.0</v>
      </c>
      <c r="C9" s="321"/>
      <c r="D9" s="240"/>
      <c r="E9" s="240"/>
      <c r="F9" s="240">
        <v>1545.1</v>
      </c>
      <c r="G9" s="240">
        <f>J8</f>
        <v>10464.98274</v>
      </c>
      <c r="H9" s="240">
        <f>F9*G9</f>
        <v>16169444.84</v>
      </c>
      <c r="I9" s="242">
        <f>I8-F9</f>
        <v>463.9</v>
      </c>
      <c r="J9" s="242">
        <f>J8</f>
        <v>10464.98274</v>
      </c>
      <c r="K9" s="242">
        <f>K8-H9</f>
        <v>4854705.495</v>
      </c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199">
        <v>6.0</v>
      </c>
      <c r="B10" s="200">
        <f>'Yakin Pasifik Tuna'!B9</f>
        <v>45165</v>
      </c>
      <c r="C10" s="320">
        <f>'Yakin Pasifik Tuna'!H9</f>
        <v>824</v>
      </c>
      <c r="D10" s="239">
        <f>'Yakin Pasifik Tuna'!X9</f>
        <v>10442.79048</v>
      </c>
      <c r="E10" s="239">
        <f t="shared" ref="E10:E42" si="6">D10*C10</f>
        <v>8604859.356</v>
      </c>
      <c r="F10" s="239"/>
      <c r="G10" s="239"/>
      <c r="H10" s="239"/>
      <c r="I10" s="245">
        <f t="shared" ref="I10:I16" si="7">I9+C10</f>
        <v>1287.9</v>
      </c>
      <c r="J10" s="245">
        <f t="shared" ref="J10:J45" si="8">K10/I10</f>
        <v>10450.78411</v>
      </c>
      <c r="K10" s="245">
        <f t="shared" ref="K10:K16" si="9">K9+E10</f>
        <v>13459564.85</v>
      </c>
      <c r="L10" s="182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200">
        <f>'Yakin Pasifik Tuna'!B10</f>
        <v>45167</v>
      </c>
      <c r="C11" s="320">
        <f>'Yakin Pasifik Tuna'!H10</f>
        <v>183</v>
      </c>
      <c r="D11" s="239">
        <f>'Yakin Pasifik Tuna'!X10</f>
        <v>10441.59292</v>
      </c>
      <c r="E11" s="239">
        <f t="shared" si="6"/>
        <v>1910811.504</v>
      </c>
      <c r="F11" s="239"/>
      <c r="G11" s="239"/>
      <c r="H11" s="239"/>
      <c r="I11" s="245">
        <f t="shared" si="7"/>
        <v>1470.9</v>
      </c>
      <c r="J11" s="245">
        <f t="shared" si="8"/>
        <v>10449.6406</v>
      </c>
      <c r="K11" s="245">
        <f t="shared" si="9"/>
        <v>15370376.36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200">
        <f>'Yakin Pasifik Tuna'!B11</f>
        <v>45169</v>
      </c>
      <c r="C12" s="320">
        <f>'Yakin Pasifik Tuna'!H11</f>
        <v>287</v>
      </c>
      <c r="D12" s="239">
        <f>'Yakin Pasifik Tuna'!X11</f>
        <v>10442.37701</v>
      </c>
      <c r="E12" s="239">
        <f t="shared" si="6"/>
        <v>2996962.202</v>
      </c>
      <c r="F12" s="239"/>
      <c r="G12" s="239"/>
      <c r="H12" s="239"/>
      <c r="I12" s="245">
        <f t="shared" si="7"/>
        <v>1757.9</v>
      </c>
      <c r="J12" s="245">
        <f t="shared" si="8"/>
        <v>10448.45472</v>
      </c>
      <c r="K12" s="245">
        <f t="shared" si="9"/>
        <v>18367338.56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325">
        <f>'Yakin Pasifik Tuna'!B14</f>
        <v>45170</v>
      </c>
      <c r="C13" s="237">
        <f>'Yakin Pasifik Tuna'!H14</f>
        <v>1359</v>
      </c>
      <c r="D13" s="237">
        <f>'Yakin Pasifik Tuna'!X14</f>
        <v>10442.78532</v>
      </c>
      <c r="E13" s="239">
        <f t="shared" si="6"/>
        <v>14191745.25</v>
      </c>
      <c r="F13" s="237"/>
      <c r="G13" s="237"/>
      <c r="H13" s="237"/>
      <c r="I13" s="245">
        <f t="shared" si="7"/>
        <v>3116.9</v>
      </c>
      <c r="J13" s="245">
        <f t="shared" si="8"/>
        <v>10445.98281</v>
      </c>
      <c r="K13" s="245">
        <f t="shared" si="9"/>
        <v>32559083.81</v>
      </c>
    </row>
    <row r="14" ht="15.75" customHeight="1">
      <c r="A14" s="199">
        <v>10.0</v>
      </c>
      <c r="B14" s="325">
        <f>'Yakin Pasifik Tuna'!B15</f>
        <v>45171</v>
      </c>
      <c r="C14" s="237">
        <f>'Yakin Pasifik Tuna'!H15</f>
        <v>446</v>
      </c>
      <c r="D14" s="237">
        <f>'Yakin Pasifik Tuna'!X15</f>
        <v>10442.8081</v>
      </c>
      <c r="E14" s="239">
        <f t="shared" si="6"/>
        <v>4657492.413</v>
      </c>
      <c r="F14" s="237"/>
      <c r="G14" s="237"/>
      <c r="H14" s="237"/>
      <c r="I14" s="245">
        <f t="shared" si="7"/>
        <v>3562.9</v>
      </c>
      <c r="J14" s="245">
        <f t="shared" si="8"/>
        <v>10445.5854</v>
      </c>
      <c r="K14" s="245">
        <f t="shared" si="9"/>
        <v>37216576.22</v>
      </c>
    </row>
    <row r="15" ht="15.75" customHeight="1">
      <c r="A15" s="199">
        <v>11.0</v>
      </c>
      <c r="B15" s="325">
        <f>'Yakin Pasifik Tuna'!B16</f>
        <v>45172</v>
      </c>
      <c r="C15" s="237">
        <f>'Yakin Pasifik Tuna'!H16</f>
        <v>41</v>
      </c>
      <c r="D15" s="237">
        <f>'Yakin Pasifik Tuna'!X16</f>
        <v>10444.92754</v>
      </c>
      <c r="E15" s="239">
        <f t="shared" si="6"/>
        <v>428242.029</v>
      </c>
      <c r="F15" s="237"/>
      <c r="G15" s="237"/>
      <c r="H15" s="237"/>
      <c r="I15" s="245">
        <f t="shared" si="7"/>
        <v>3603.9</v>
      </c>
      <c r="J15" s="245">
        <f t="shared" si="8"/>
        <v>10445.57792</v>
      </c>
      <c r="K15" s="245">
        <f t="shared" si="9"/>
        <v>37644818.25</v>
      </c>
    </row>
    <row r="16" ht="15.75" customHeight="1">
      <c r="A16" s="199">
        <v>12.0</v>
      </c>
      <c r="B16" s="325">
        <f>'Yakin Pasifik Tuna'!B17</f>
        <v>45173</v>
      </c>
      <c r="C16" s="237">
        <f>'Yakin Pasifik Tuna'!H17</f>
        <v>1222</v>
      </c>
      <c r="D16" s="237">
        <f>'Yakin Pasifik Tuna'!X17</f>
        <v>10442.36879</v>
      </c>
      <c r="E16" s="239">
        <f t="shared" si="6"/>
        <v>12760574.66</v>
      </c>
      <c r="F16" s="237"/>
      <c r="G16" s="237"/>
      <c r="H16" s="237"/>
      <c r="I16" s="245">
        <f t="shared" si="7"/>
        <v>4825.9</v>
      </c>
      <c r="J16" s="245">
        <f t="shared" si="8"/>
        <v>10444.76531</v>
      </c>
      <c r="K16" s="245">
        <f t="shared" si="9"/>
        <v>50405392.91</v>
      </c>
    </row>
    <row r="17" ht="15.75" customHeight="1">
      <c r="A17" s="208">
        <v>13.0</v>
      </c>
      <c r="B17" s="326">
        <v>45178.0</v>
      </c>
      <c r="C17" s="228"/>
      <c r="D17" s="228"/>
      <c r="E17" s="240">
        <f t="shared" si="6"/>
        <v>0</v>
      </c>
      <c r="F17" s="248">
        <v>3120.0</v>
      </c>
      <c r="G17" s="248">
        <f t="shared" ref="G17:G18" si="10">J16</f>
        <v>10444.76531</v>
      </c>
      <c r="H17" s="248">
        <f t="shared" ref="H17:H18" si="11">F17*G17</f>
        <v>32587667.77</v>
      </c>
      <c r="I17" s="248">
        <f t="shared" ref="I17:I18" si="12">I16-F17</f>
        <v>1705.9</v>
      </c>
      <c r="J17" s="248">
        <f t="shared" si="8"/>
        <v>10444.76531</v>
      </c>
      <c r="K17" s="248">
        <f t="shared" ref="K17:K18" si="13">K16-H17</f>
        <v>17817725.14</v>
      </c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ht="15.75" customHeight="1">
      <c r="A18" s="208">
        <v>14.0</v>
      </c>
      <c r="B18" s="326">
        <v>45191.0</v>
      </c>
      <c r="C18" s="228"/>
      <c r="D18" s="228"/>
      <c r="E18" s="240">
        <f t="shared" si="6"/>
        <v>0</v>
      </c>
      <c r="F18" s="248">
        <v>1161.9</v>
      </c>
      <c r="G18" s="248">
        <f t="shared" si="10"/>
        <v>10444.76531</v>
      </c>
      <c r="H18" s="248">
        <f t="shared" si="11"/>
        <v>12135772.81</v>
      </c>
      <c r="I18" s="248">
        <f t="shared" si="12"/>
        <v>544</v>
      </c>
      <c r="J18" s="248">
        <f t="shared" si="8"/>
        <v>10444.76531</v>
      </c>
      <c r="K18" s="248">
        <f t="shared" si="13"/>
        <v>5681952.329</v>
      </c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199">
        <v>15.0</v>
      </c>
      <c r="B19" s="325">
        <f>'Yakin Pasifik Tuna'!B18</f>
        <v>45195</v>
      </c>
      <c r="C19" s="249">
        <f>'Yakin Pasifik Tuna'!H18</f>
        <v>1172</v>
      </c>
      <c r="D19" s="237">
        <f>'Yakin Pasifik Tuna'!X18</f>
        <v>10442.71357</v>
      </c>
      <c r="E19" s="239">
        <f t="shared" si="6"/>
        <v>12238860.3</v>
      </c>
      <c r="F19" s="237"/>
      <c r="G19" s="237"/>
      <c r="H19" s="237"/>
      <c r="I19" s="237">
        <f t="shared" ref="I19:I30" si="14">I18+C19</f>
        <v>1716</v>
      </c>
      <c r="J19" s="237">
        <f t="shared" si="8"/>
        <v>10443.364</v>
      </c>
      <c r="K19" s="237">
        <f t="shared" ref="K19:K30" si="15">K18+E19</f>
        <v>17920812.63</v>
      </c>
    </row>
    <row r="20" ht="15.75" customHeight="1">
      <c r="A20" s="199">
        <v>16.0</v>
      </c>
      <c r="B20" s="325">
        <f>'Yakin Pasifik Tuna'!B19</f>
        <v>45197</v>
      </c>
      <c r="C20" s="249">
        <f>'Yakin Pasifik Tuna'!H19</f>
        <v>239</v>
      </c>
      <c r="D20" s="237">
        <f>'Yakin Pasifik Tuna'!X19</f>
        <v>10442.11886</v>
      </c>
      <c r="E20" s="239">
        <f t="shared" si="6"/>
        <v>2495666.408</v>
      </c>
      <c r="F20" s="237"/>
      <c r="G20" s="237"/>
      <c r="H20" s="237"/>
      <c r="I20" s="237">
        <f t="shared" si="14"/>
        <v>1955</v>
      </c>
      <c r="J20" s="237">
        <f t="shared" si="8"/>
        <v>10443.21178</v>
      </c>
      <c r="K20" s="237">
        <f t="shared" si="15"/>
        <v>20416479.04</v>
      </c>
    </row>
    <row r="21" ht="15.75" customHeight="1">
      <c r="A21" s="199">
        <v>17.0</v>
      </c>
      <c r="B21" s="325">
        <f>'Yakin Pasifik Tuna'!B20</f>
        <v>45199</v>
      </c>
      <c r="C21" s="249">
        <f>'Yakin Pasifik Tuna'!H20</f>
        <v>1019</v>
      </c>
      <c r="D21" s="237">
        <f>'Yakin Pasifik Tuna'!X20</f>
        <v>10443.16305</v>
      </c>
      <c r="E21" s="239">
        <f t="shared" si="6"/>
        <v>10641583.14</v>
      </c>
      <c r="F21" s="237"/>
      <c r="G21" s="237"/>
      <c r="H21" s="237"/>
      <c r="I21" s="237">
        <f t="shared" si="14"/>
        <v>2974</v>
      </c>
      <c r="J21" s="237">
        <f t="shared" si="8"/>
        <v>10443.19509</v>
      </c>
      <c r="K21" s="237">
        <f t="shared" si="15"/>
        <v>31058062.18</v>
      </c>
      <c r="L21" s="124">
        <f>SUM(H17:H18)</f>
        <v>44723440.58</v>
      </c>
      <c r="M21" s="124">
        <f>L21+'Persediaan &amp; HPP Ca A-B YPT'!L21+'Persediaan &amp; HPP Cakalang PP'!L54+'Persediaan &amp; HPP Cakalang A-B'!L59</f>
        <v>394257163.8</v>
      </c>
    </row>
    <row r="22" ht="15.75" customHeight="1">
      <c r="A22" s="199">
        <v>18.0</v>
      </c>
      <c r="B22" s="126">
        <v>45200.0</v>
      </c>
      <c r="C22" s="237">
        <f>'Yakin Pasifik Tuna'!H23</f>
        <v>332</v>
      </c>
      <c r="D22" s="237">
        <f>'Yakin Pasifik Tuna'!X23</f>
        <v>10441.53328</v>
      </c>
      <c r="E22" s="239">
        <f t="shared" si="6"/>
        <v>3466589.048</v>
      </c>
      <c r="F22" s="237"/>
      <c r="G22" s="237"/>
      <c r="H22" s="237"/>
      <c r="I22" s="237">
        <f t="shared" si="14"/>
        <v>3306</v>
      </c>
      <c r="J22" s="237">
        <f t="shared" si="8"/>
        <v>10443.0282</v>
      </c>
      <c r="K22" s="237">
        <f t="shared" si="15"/>
        <v>34524651.23</v>
      </c>
    </row>
    <row r="23" ht="15.75" customHeight="1">
      <c r="A23" s="199">
        <v>19.0</v>
      </c>
      <c r="B23" s="126">
        <v>45202.0</v>
      </c>
      <c r="C23" s="237">
        <f>'Yakin Pasifik Tuna'!H24</f>
        <v>453</v>
      </c>
      <c r="D23" s="237">
        <f>'Yakin Pasifik Tuna'!X24</f>
        <v>10442.18972</v>
      </c>
      <c r="E23" s="239">
        <f t="shared" si="6"/>
        <v>4730311.944</v>
      </c>
      <c r="F23" s="237"/>
      <c r="G23" s="237"/>
      <c r="H23" s="237"/>
      <c r="I23" s="237">
        <f t="shared" si="14"/>
        <v>3759</v>
      </c>
      <c r="J23" s="237">
        <f t="shared" si="8"/>
        <v>10442.92715</v>
      </c>
      <c r="K23" s="237">
        <f t="shared" si="15"/>
        <v>39254963.18</v>
      </c>
    </row>
    <row r="24" ht="15.75" customHeight="1">
      <c r="A24" s="199">
        <v>20.0</v>
      </c>
      <c r="B24" s="126">
        <v>45203.0</v>
      </c>
      <c r="C24" s="237">
        <f>'Yakin Pasifik Tuna'!H25</f>
        <v>237</v>
      </c>
      <c r="D24" s="237">
        <f>'Yakin Pasifik Tuna'!X25</f>
        <v>10444.45828</v>
      </c>
      <c r="E24" s="239">
        <f t="shared" si="6"/>
        <v>2475336.613</v>
      </c>
      <c r="F24" s="237"/>
      <c r="G24" s="237"/>
      <c r="H24" s="237"/>
      <c r="I24" s="237">
        <f t="shared" si="14"/>
        <v>3996</v>
      </c>
      <c r="J24" s="237">
        <f t="shared" si="8"/>
        <v>10443.01796</v>
      </c>
      <c r="K24" s="237">
        <f t="shared" si="15"/>
        <v>41730299.79</v>
      </c>
    </row>
    <row r="25" ht="15.75" customHeight="1">
      <c r="A25" s="199">
        <v>21.0</v>
      </c>
      <c r="B25" s="126">
        <v>45204.0</v>
      </c>
      <c r="C25" s="237">
        <f>'Yakin Pasifik Tuna'!H26</f>
        <v>767</v>
      </c>
      <c r="D25" s="237">
        <f>'Yakin Pasifik Tuna'!X26</f>
        <v>10446.66667</v>
      </c>
      <c r="E25" s="239">
        <f t="shared" si="6"/>
        <v>8012593.333</v>
      </c>
      <c r="F25" s="237"/>
      <c r="G25" s="237"/>
      <c r="H25" s="237"/>
      <c r="I25" s="237">
        <f t="shared" si="14"/>
        <v>4763</v>
      </c>
      <c r="J25" s="237">
        <f t="shared" si="8"/>
        <v>10443.60553</v>
      </c>
      <c r="K25" s="237">
        <f t="shared" si="15"/>
        <v>49742893.12</v>
      </c>
    </row>
    <row r="26" ht="15.75" customHeight="1">
      <c r="A26" s="199">
        <v>22.0</v>
      </c>
      <c r="B26" s="126">
        <v>45207.0</v>
      </c>
      <c r="C26" s="237">
        <f>'Yakin Pasifik Tuna'!H27</f>
        <v>3732</v>
      </c>
      <c r="D26" s="237">
        <f>'Yakin Pasifik Tuna'!X27</f>
        <v>10294.68513</v>
      </c>
      <c r="E26" s="239">
        <f t="shared" si="6"/>
        <v>38419764.92</v>
      </c>
      <c r="F26" s="237"/>
      <c r="G26" s="237"/>
      <c r="H26" s="237"/>
      <c r="I26" s="237">
        <f t="shared" si="14"/>
        <v>8495</v>
      </c>
      <c r="J26" s="237">
        <f t="shared" si="8"/>
        <v>10378.18223</v>
      </c>
      <c r="K26" s="237">
        <f t="shared" si="15"/>
        <v>88162658.04</v>
      </c>
    </row>
    <row r="27" ht="15.75" customHeight="1">
      <c r="A27" s="199">
        <v>23.0</v>
      </c>
      <c r="B27" s="126">
        <v>45208.0</v>
      </c>
      <c r="C27" s="237">
        <f>'Yakin Pasifik Tuna'!H28</f>
        <v>2534</v>
      </c>
      <c r="D27" s="237">
        <f>'Yakin Pasifik Tuna'!X28</f>
        <v>10285.4025</v>
      </c>
      <c r="E27" s="239">
        <f t="shared" si="6"/>
        <v>26063209.93</v>
      </c>
      <c r="F27" s="237"/>
      <c r="G27" s="237"/>
      <c r="H27" s="237"/>
      <c r="I27" s="237">
        <f t="shared" si="14"/>
        <v>11029</v>
      </c>
      <c r="J27" s="237">
        <f t="shared" si="8"/>
        <v>10356.86535</v>
      </c>
      <c r="K27" s="237">
        <f t="shared" si="15"/>
        <v>114225868</v>
      </c>
    </row>
    <row r="28" ht="15.75" customHeight="1">
      <c r="A28" s="199">
        <v>24.0</v>
      </c>
      <c r="B28" s="126">
        <v>45209.0</v>
      </c>
      <c r="C28" s="237">
        <f>'Yakin Pasifik Tuna'!H29</f>
        <v>1716</v>
      </c>
      <c r="D28" s="237">
        <f>'Yakin Pasifik Tuna'!X29</f>
        <v>10281.14937</v>
      </c>
      <c r="E28" s="239">
        <f t="shared" si="6"/>
        <v>17642452.32</v>
      </c>
      <c r="F28" s="237"/>
      <c r="G28" s="237"/>
      <c r="H28" s="237"/>
      <c r="I28" s="237">
        <f t="shared" si="14"/>
        <v>12745</v>
      </c>
      <c r="J28" s="237">
        <f t="shared" si="8"/>
        <v>10346.67087</v>
      </c>
      <c r="K28" s="237">
        <f t="shared" si="15"/>
        <v>131868320.3</v>
      </c>
    </row>
    <row r="29" ht="15.75" customHeight="1">
      <c r="A29" s="199">
        <v>25.0</v>
      </c>
      <c r="B29" s="126">
        <v>45210.0</v>
      </c>
      <c r="C29" s="237">
        <f>'Yakin Pasifik Tuna'!H30</f>
        <v>370</v>
      </c>
      <c r="D29" s="237">
        <f>'Yakin Pasifik Tuna'!X30</f>
        <v>10279.43689</v>
      </c>
      <c r="E29" s="239">
        <f t="shared" si="6"/>
        <v>3803391.65</v>
      </c>
      <c r="F29" s="237"/>
      <c r="G29" s="237"/>
      <c r="H29" s="237"/>
      <c r="I29" s="237">
        <f t="shared" si="14"/>
        <v>13115</v>
      </c>
      <c r="J29" s="237">
        <f t="shared" si="8"/>
        <v>10344.77407</v>
      </c>
      <c r="K29" s="237">
        <f t="shared" si="15"/>
        <v>135671711.9</v>
      </c>
    </row>
    <row r="30" ht="15.75" customHeight="1">
      <c r="A30" s="199">
        <v>26.0</v>
      </c>
      <c r="B30" s="126">
        <v>45211.0</v>
      </c>
      <c r="C30" s="237">
        <f>'Yakin Pasifik Tuna'!H31</f>
        <v>1112</v>
      </c>
      <c r="D30" s="237">
        <f>'Yakin Pasifik Tuna'!X31</f>
        <v>10280.79796</v>
      </c>
      <c r="E30" s="239">
        <f t="shared" si="6"/>
        <v>11432247.33</v>
      </c>
      <c r="F30" s="237"/>
      <c r="G30" s="237"/>
      <c r="H30" s="237"/>
      <c r="I30" s="237">
        <f t="shared" si="14"/>
        <v>14227</v>
      </c>
      <c r="J30" s="237">
        <f t="shared" si="8"/>
        <v>10339.77362</v>
      </c>
      <c r="K30" s="237">
        <f t="shared" si="15"/>
        <v>147103959.3</v>
      </c>
    </row>
    <row r="31" ht="15.75" customHeight="1">
      <c r="A31" s="208">
        <v>27.0</v>
      </c>
      <c r="B31" s="329">
        <v>45212.0</v>
      </c>
      <c r="C31" s="228"/>
      <c r="D31" s="228"/>
      <c r="E31" s="240">
        <f t="shared" si="6"/>
        <v>0</v>
      </c>
      <c r="F31" s="248">
        <v>10450.0</v>
      </c>
      <c r="G31" s="248">
        <f>J30</f>
        <v>10339.77362</v>
      </c>
      <c r="H31" s="248">
        <f>F31*G31</f>
        <v>108050634.3</v>
      </c>
      <c r="I31" s="248">
        <f>I30-F31</f>
        <v>3777</v>
      </c>
      <c r="J31" s="248">
        <f t="shared" si="8"/>
        <v>10339.77362</v>
      </c>
      <c r="K31" s="248">
        <f>K30-H31</f>
        <v>39053324.96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ht="15.75" customHeight="1">
      <c r="A32" s="199">
        <v>28.0</v>
      </c>
      <c r="B32" s="143">
        <v>45212.0</v>
      </c>
      <c r="C32" s="249">
        <f>'Yakin Pasifik Tuna'!H32</f>
        <v>1278</v>
      </c>
      <c r="D32" s="237">
        <f>'Yakin Pasifik Tuna'!X32</f>
        <v>10284.48487</v>
      </c>
      <c r="E32" s="239">
        <f t="shared" si="6"/>
        <v>13143571.67</v>
      </c>
      <c r="F32" s="237"/>
      <c r="G32" s="237"/>
      <c r="H32" s="237"/>
      <c r="I32" s="237">
        <f t="shared" ref="I32:I35" si="16">I31+C32</f>
        <v>5055</v>
      </c>
      <c r="J32" s="237">
        <f t="shared" si="8"/>
        <v>10325.79557</v>
      </c>
      <c r="K32" s="237">
        <f t="shared" ref="K32:K35" si="17">K31+E32</f>
        <v>52196896.63</v>
      </c>
    </row>
    <row r="33" ht="15.75" customHeight="1">
      <c r="A33" s="199">
        <v>29.0</v>
      </c>
      <c r="B33" s="126">
        <v>45213.0</v>
      </c>
      <c r="C33" s="249">
        <f>'Yakin Pasifik Tuna'!H33</f>
        <v>421</v>
      </c>
      <c r="D33" s="237">
        <f>'Yakin Pasifik Tuna'!X33</f>
        <v>10280.38985</v>
      </c>
      <c r="E33" s="239">
        <f t="shared" si="6"/>
        <v>4328044.129</v>
      </c>
      <c r="F33" s="237"/>
      <c r="G33" s="237"/>
      <c r="H33" s="237"/>
      <c r="I33" s="237">
        <f t="shared" si="16"/>
        <v>5476</v>
      </c>
      <c r="J33" s="237">
        <f t="shared" si="8"/>
        <v>10322.30474</v>
      </c>
      <c r="K33" s="237">
        <f t="shared" si="17"/>
        <v>56524940.76</v>
      </c>
    </row>
    <row r="34" ht="15.75" customHeight="1">
      <c r="A34" s="199">
        <v>30.0</v>
      </c>
      <c r="B34" s="126">
        <v>45216.0</v>
      </c>
      <c r="C34" s="249">
        <f>'Yakin Pasifik Tuna'!H34</f>
        <v>438</v>
      </c>
      <c r="D34" s="237">
        <f>'Yakin Pasifik Tuna'!X34</f>
        <v>10283.38575</v>
      </c>
      <c r="E34" s="239">
        <f t="shared" si="6"/>
        <v>4504122.958</v>
      </c>
      <c r="F34" s="237"/>
      <c r="G34" s="237"/>
      <c r="H34" s="237"/>
      <c r="I34" s="237">
        <f t="shared" si="16"/>
        <v>5914</v>
      </c>
      <c r="J34" s="237">
        <f t="shared" si="8"/>
        <v>10319.42234</v>
      </c>
      <c r="K34" s="237">
        <f t="shared" si="17"/>
        <v>61029063.71</v>
      </c>
    </row>
    <row r="35" ht="15.75" customHeight="1">
      <c r="A35" s="199">
        <v>31.0</v>
      </c>
      <c r="B35" s="126">
        <v>45217.0</v>
      </c>
      <c r="C35" s="249">
        <f>'Yakin Pasifik Tuna'!H35</f>
        <v>1430</v>
      </c>
      <c r="D35" s="237">
        <f>'Yakin Pasifik Tuna'!X35</f>
        <v>10289.93315</v>
      </c>
      <c r="E35" s="239">
        <f t="shared" si="6"/>
        <v>14714604.4</v>
      </c>
      <c r="F35" s="237"/>
      <c r="G35" s="237"/>
      <c r="H35" s="237"/>
      <c r="I35" s="237">
        <f t="shared" si="16"/>
        <v>7344</v>
      </c>
      <c r="J35" s="237">
        <f t="shared" si="8"/>
        <v>10313.6803</v>
      </c>
      <c r="K35" s="237">
        <f t="shared" si="17"/>
        <v>75743668.12</v>
      </c>
    </row>
    <row r="36" ht="15.75" customHeight="1">
      <c r="A36" s="208">
        <v>32.0</v>
      </c>
      <c r="B36" s="329">
        <v>45219.0</v>
      </c>
      <c r="C36" s="228"/>
      <c r="D36" s="228"/>
      <c r="E36" s="240">
        <f t="shared" si="6"/>
        <v>0</v>
      </c>
      <c r="F36" s="248">
        <v>2570.0</v>
      </c>
      <c r="G36" s="248">
        <f>J35</f>
        <v>10313.6803</v>
      </c>
      <c r="H36" s="248">
        <f>F36*G36</f>
        <v>26506158.37</v>
      </c>
      <c r="I36" s="248">
        <f>I35-F36</f>
        <v>4774</v>
      </c>
      <c r="J36" s="248">
        <f t="shared" si="8"/>
        <v>10313.6803</v>
      </c>
      <c r="K36" s="248">
        <f>K35-H36</f>
        <v>49237509.75</v>
      </c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199">
        <v>33.0</v>
      </c>
      <c r="B37" s="126">
        <v>45220.0</v>
      </c>
      <c r="C37" s="249">
        <f>'Yakin Pasifik Tuna'!H36</f>
        <v>1782</v>
      </c>
      <c r="D37" s="237">
        <f>'Yakin Pasifik Tuna'!X36</f>
        <v>10290.53207</v>
      </c>
      <c r="E37" s="239">
        <f t="shared" si="6"/>
        <v>18337728.14</v>
      </c>
      <c r="F37" s="237"/>
      <c r="G37" s="237"/>
      <c r="H37" s="237"/>
      <c r="I37" s="237">
        <f>I36+C37</f>
        <v>6556</v>
      </c>
      <c r="J37" s="237">
        <f t="shared" si="8"/>
        <v>10307.38833</v>
      </c>
      <c r="K37" s="237">
        <f>K36+E37</f>
        <v>67575237.89</v>
      </c>
    </row>
    <row r="38" ht="15.75" customHeight="1">
      <c r="A38" s="208">
        <v>34.0</v>
      </c>
      <c r="B38" s="329">
        <v>45221.0</v>
      </c>
      <c r="C38" s="228"/>
      <c r="D38" s="228"/>
      <c r="E38" s="240">
        <f t="shared" si="6"/>
        <v>0</v>
      </c>
      <c r="F38" s="248">
        <v>1130.0</v>
      </c>
      <c r="G38" s="248">
        <f>J37</f>
        <v>10307.38833</v>
      </c>
      <c r="H38" s="248">
        <f>F38*G38</f>
        <v>11647348.81</v>
      </c>
      <c r="I38" s="248">
        <f>I37-F38</f>
        <v>5426</v>
      </c>
      <c r="J38" s="248">
        <f t="shared" si="8"/>
        <v>10307.38833</v>
      </c>
      <c r="K38" s="248">
        <f>K37-H38</f>
        <v>55927889.08</v>
      </c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ht="15.75" customHeight="1">
      <c r="A39" s="199">
        <v>35.0</v>
      </c>
      <c r="B39" s="126">
        <v>45223.0</v>
      </c>
      <c r="C39" s="249">
        <f>'Yakin Pasifik Tuna'!H37</f>
        <v>291</v>
      </c>
      <c r="D39" s="237">
        <f>'Yakin Pasifik Tuna'!X37</f>
        <v>10283.46967</v>
      </c>
      <c r="E39" s="239">
        <f t="shared" si="6"/>
        <v>2992489.675</v>
      </c>
      <c r="F39" s="237"/>
      <c r="G39" s="237"/>
      <c r="H39" s="237"/>
      <c r="I39" s="237">
        <f t="shared" ref="I39:I42" si="18">I38+C39</f>
        <v>5717</v>
      </c>
      <c r="J39" s="237">
        <f t="shared" si="8"/>
        <v>10306.17085</v>
      </c>
      <c r="K39" s="237">
        <f t="shared" ref="K39:K42" si="19">K38+E39</f>
        <v>58920378.75</v>
      </c>
    </row>
    <row r="40" ht="15.75" customHeight="1">
      <c r="A40" s="199">
        <v>36.0</v>
      </c>
      <c r="B40" s="126">
        <v>45225.0</v>
      </c>
      <c r="C40" s="249">
        <f>'Yakin Pasifik Tuna'!H38</f>
        <v>229</v>
      </c>
      <c r="D40" s="237">
        <f>'Yakin Pasifik Tuna'!X38</f>
        <v>10280.84685</v>
      </c>
      <c r="E40" s="239">
        <f t="shared" si="6"/>
        <v>2354313.928</v>
      </c>
      <c r="F40" s="237"/>
      <c r="G40" s="237"/>
      <c r="H40" s="237"/>
      <c r="I40" s="237">
        <f t="shared" si="18"/>
        <v>5946</v>
      </c>
      <c r="J40" s="237">
        <f t="shared" si="8"/>
        <v>10305.19554</v>
      </c>
      <c r="K40" s="237">
        <f t="shared" si="19"/>
        <v>61274692.68</v>
      </c>
    </row>
    <row r="41" ht="15.75" customHeight="1">
      <c r="A41" s="199">
        <v>37.0</v>
      </c>
      <c r="B41" s="126">
        <v>45227.0</v>
      </c>
      <c r="C41" s="249">
        <f>'Yakin Pasifik Tuna'!H39</f>
        <v>326</v>
      </c>
      <c r="D41" s="237">
        <f>'Yakin Pasifik Tuna'!X39</f>
        <v>10286.61708</v>
      </c>
      <c r="E41" s="239">
        <f t="shared" si="6"/>
        <v>3353437.168</v>
      </c>
      <c r="F41" s="237"/>
      <c r="G41" s="237"/>
      <c r="H41" s="237"/>
      <c r="I41" s="237">
        <f t="shared" si="18"/>
        <v>6272</v>
      </c>
      <c r="J41" s="237">
        <f t="shared" si="8"/>
        <v>10304.22989</v>
      </c>
      <c r="K41" s="237">
        <f t="shared" si="19"/>
        <v>64628129.85</v>
      </c>
    </row>
    <row r="42" ht="15.75" customHeight="1">
      <c r="A42" s="199">
        <v>38.0</v>
      </c>
      <c r="B42" s="126">
        <v>45228.0</v>
      </c>
      <c r="C42" s="249">
        <f>'Yakin Pasifik Tuna'!H40</f>
        <v>93</v>
      </c>
      <c r="D42" s="237">
        <f>'Yakin Pasifik Tuna'!X40</f>
        <v>10278.68352</v>
      </c>
      <c r="E42" s="239">
        <f t="shared" si="6"/>
        <v>955917.5675</v>
      </c>
      <c r="F42" s="237"/>
      <c r="G42" s="237"/>
      <c r="H42" s="237"/>
      <c r="I42" s="237">
        <f t="shared" si="18"/>
        <v>6365</v>
      </c>
      <c r="J42" s="237">
        <f t="shared" si="8"/>
        <v>10303.85662</v>
      </c>
      <c r="K42" s="237">
        <f t="shared" si="19"/>
        <v>65584047.42</v>
      </c>
    </row>
    <row r="43" ht="15.75" customHeight="1">
      <c r="A43" s="208">
        <v>39.0</v>
      </c>
      <c r="B43" s="332">
        <f>'Persediaan &amp; HPP Ca A-B YPT'!B43</f>
        <v>45254</v>
      </c>
      <c r="C43" s="228"/>
      <c r="D43" s="228"/>
      <c r="E43" s="248"/>
      <c r="F43" s="248">
        <f>20000-'Persediaan &amp; HPP Ca A-B YPT'!F43</f>
        <v>1010</v>
      </c>
      <c r="G43" s="248">
        <f>J42</f>
        <v>10303.85662</v>
      </c>
      <c r="H43" s="248">
        <f>F43*G43</f>
        <v>10406895.19</v>
      </c>
      <c r="I43" s="248">
        <f>I42-F43</f>
        <v>5355</v>
      </c>
      <c r="J43" s="248">
        <f t="shared" si="8"/>
        <v>10303.85662</v>
      </c>
      <c r="K43" s="248">
        <f>K42-H43</f>
        <v>55177152.23</v>
      </c>
      <c r="L43" s="220">
        <f>H43+'Persediaan &amp; HPP Ca A-B YPT'!H43</f>
        <v>314213893.6</v>
      </c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199">
        <v>40.0</v>
      </c>
      <c r="B44" s="333">
        <f>'Persediaan &amp; HPP Ca A-B YPT'!B44</f>
        <v>45259</v>
      </c>
      <c r="C44" s="249">
        <f>'Yakin Pasifik Tuna'!H43</f>
        <v>82.4</v>
      </c>
      <c r="D44" s="237">
        <f>'Yakin Pasifik Tuna'!X43</f>
        <v>8288.351145</v>
      </c>
      <c r="E44" s="237">
        <f t="shared" ref="E44:E45" si="20">C44*D44</f>
        <v>682960.1344</v>
      </c>
      <c r="F44" s="237"/>
      <c r="G44" s="237"/>
      <c r="H44" s="237"/>
      <c r="I44" s="237">
        <f t="shared" ref="I44:I45" si="21">I43+C44</f>
        <v>5437.4</v>
      </c>
      <c r="J44" s="237">
        <f t="shared" si="8"/>
        <v>10273.31305</v>
      </c>
      <c r="K44" s="237">
        <f t="shared" ref="K44:K45" si="22">K43+E44</f>
        <v>55860112.36</v>
      </c>
    </row>
    <row r="45" ht="15.75" customHeight="1">
      <c r="A45" s="199">
        <v>41.0</v>
      </c>
      <c r="B45" s="333">
        <f>'Persediaan &amp; HPP Ca A-B YPT'!B45</f>
        <v>45260</v>
      </c>
      <c r="C45" s="249">
        <f>'Yakin Pasifik Tuna'!H44</f>
        <v>79.1</v>
      </c>
      <c r="D45" s="237">
        <f>'Yakin Pasifik Tuna'!X44</f>
        <v>9291.772833</v>
      </c>
      <c r="E45" s="237">
        <f t="shared" si="20"/>
        <v>734979.2311</v>
      </c>
      <c r="F45" s="237"/>
      <c r="G45" s="237"/>
      <c r="H45" s="237"/>
      <c r="I45" s="237">
        <f t="shared" si="21"/>
        <v>5516.5</v>
      </c>
      <c r="J45" s="237">
        <f t="shared" si="8"/>
        <v>10259.23894</v>
      </c>
      <c r="K45" s="237">
        <f t="shared" si="22"/>
        <v>56595091.59</v>
      </c>
    </row>
    <row r="46" ht="15.75" customHeight="1">
      <c r="A46" s="353"/>
      <c r="B46" s="336"/>
      <c r="C46" s="337"/>
      <c r="D46" s="338"/>
      <c r="E46" s="338"/>
      <c r="F46" s="338"/>
      <c r="G46" s="338"/>
      <c r="H46" s="338"/>
      <c r="I46" s="338">
        <f>1030+119+60+115+6</f>
        <v>1330</v>
      </c>
      <c r="J46" s="338">
        <f>J45</f>
        <v>10259.23894</v>
      </c>
      <c r="K46" s="338">
        <f>I46*J46</f>
        <v>13644787.78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ht="15.75" customHeight="1">
      <c r="A47" s="199">
        <v>42.0</v>
      </c>
      <c r="B47" s="333">
        <f>'Yakin Pasifik Tuna'!B49</f>
        <v>45266</v>
      </c>
      <c r="C47" s="249">
        <f>'Yakin Pasifik Tuna'!H49</f>
        <v>74.1</v>
      </c>
      <c r="D47" s="237">
        <f>'Yakin Pasifik Tuna'!X49</f>
        <v>9284.351596</v>
      </c>
      <c r="E47" s="237">
        <f t="shared" ref="E47:E58" si="23">C47*D47</f>
        <v>687970.4532</v>
      </c>
      <c r="F47" s="237"/>
      <c r="G47" s="237"/>
      <c r="H47" s="237"/>
      <c r="I47" s="237">
        <f t="shared" ref="I47:I58" si="24">I46+C47</f>
        <v>1404.1</v>
      </c>
      <c r="J47" s="237">
        <f t="shared" ref="J47:J58" si="25">K47/I47</f>
        <v>10207.79021</v>
      </c>
      <c r="K47" s="237">
        <f t="shared" ref="K47:K58" si="26">K46+E47</f>
        <v>14332758.24</v>
      </c>
    </row>
    <row r="48" ht="15.75" customHeight="1">
      <c r="A48" s="199">
        <v>43.0</v>
      </c>
      <c r="B48" s="333">
        <f>'Yakin Pasifik Tuna'!B50</f>
        <v>45267</v>
      </c>
      <c r="C48" s="249">
        <f>'Yakin Pasifik Tuna'!H50</f>
        <v>81.5</v>
      </c>
      <c r="D48" s="237">
        <f>'Yakin Pasifik Tuna'!X50</f>
        <v>9284.909091</v>
      </c>
      <c r="E48" s="237">
        <f t="shared" si="23"/>
        <v>756720.0909</v>
      </c>
      <c r="F48" s="237"/>
      <c r="G48" s="237"/>
      <c r="H48" s="237"/>
      <c r="I48" s="237">
        <f t="shared" si="24"/>
        <v>1485.6</v>
      </c>
      <c r="J48" s="237">
        <f t="shared" si="25"/>
        <v>10157.16096</v>
      </c>
      <c r="K48" s="237">
        <f t="shared" si="26"/>
        <v>15089478.33</v>
      </c>
    </row>
    <row r="49" ht="15.75" customHeight="1">
      <c r="A49" s="199">
        <v>44.0</v>
      </c>
      <c r="B49" s="333">
        <f>'Yakin Pasifik Tuna'!B51</f>
        <v>45269</v>
      </c>
      <c r="C49" s="249">
        <f>'Yakin Pasifik Tuna'!H51</f>
        <v>2.7</v>
      </c>
      <c r="D49" s="237">
        <f>'Yakin Pasifik Tuna'!X51</f>
        <v>9284.909091</v>
      </c>
      <c r="E49" s="237">
        <f t="shared" si="23"/>
        <v>25069.25455</v>
      </c>
      <c r="F49" s="237"/>
      <c r="G49" s="237"/>
      <c r="H49" s="237"/>
      <c r="I49" s="237">
        <f t="shared" si="24"/>
        <v>1488.3</v>
      </c>
      <c r="J49" s="237">
        <f t="shared" si="25"/>
        <v>10155.57857</v>
      </c>
      <c r="K49" s="237">
        <f t="shared" si="26"/>
        <v>15114547.58</v>
      </c>
    </row>
    <row r="50" ht="15.75" customHeight="1">
      <c r="A50" s="199">
        <v>45.0</v>
      </c>
      <c r="B50" s="333">
        <f>'Yakin Pasifik Tuna'!B52</f>
        <v>45270</v>
      </c>
      <c r="C50" s="249">
        <f>'Yakin Pasifik Tuna'!H52</f>
        <v>482.1</v>
      </c>
      <c r="D50" s="237">
        <f>'Yakin Pasifik Tuna'!X52</f>
        <v>9296.403487</v>
      </c>
      <c r="E50" s="237">
        <f t="shared" si="23"/>
        <v>4481796.121</v>
      </c>
      <c r="F50" s="237"/>
      <c r="G50" s="237"/>
      <c r="H50" s="237"/>
      <c r="I50" s="237">
        <f t="shared" si="24"/>
        <v>1970.4</v>
      </c>
      <c r="J50" s="237">
        <f t="shared" si="25"/>
        <v>9945.363228</v>
      </c>
      <c r="K50" s="237">
        <f t="shared" si="26"/>
        <v>19596343.7</v>
      </c>
    </row>
    <row r="51" ht="15.75" customHeight="1">
      <c r="A51" s="199">
        <v>46.0</v>
      </c>
      <c r="B51" s="333">
        <f>'Yakin Pasifik Tuna'!B53</f>
        <v>45271</v>
      </c>
      <c r="C51" s="249">
        <f>'Yakin Pasifik Tuna'!H53</f>
        <v>346</v>
      </c>
      <c r="D51" s="237">
        <f>'Yakin Pasifik Tuna'!X53</f>
        <v>9289.871254</v>
      </c>
      <c r="E51" s="237">
        <f t="shared" si="23"/>
        <v>3214295.454</v>
      </c>
      <c r="F51" s="237"/>
      <c r="G51" s="237"/>
      <c r="H51" s="237"/>
      <c r="I51" s="237">
        <f t="shared" si="24"/>
        <v>2316.4</v>
      </c>
      <c r="J51" s="237">
        <f t="shared" si="25"/>
        <v>9847.452581</v>
      </c>
      <c r="K51" s="237">
        <f t="shared" si="26"/>
        <v>22810639.16</v>
      </c>
    </row>
    <row r="52" ht="15.75" customHeight="1">
      <c r="A52" s="199">
        <v>47.0</v>
      </c>
      <c r="B52" s="333">
        <f>'Yakin Pasifik Tuna'!B54</f>
        <v>45278</v>
      </c>
      <c r="C52" s="249">
        <f>'Yakin Pasifik Tuna'!H54</f>
        <v>82.7</v>
      </c>
      <c r="D52" s="237">
        <f>'Yakin Pasifik Tuna'!X54</f>
        <v>9284.002792</v>
      </c>
      <c r="E52" s="237">
        <f t="shared" si="23"/>
        <v>767787.0309</v>
      </c>
      <c r="F52" s="237"/>
      <c r="G52" s="237"/>
      <c r="H52" s="237"/>
      <c r="I52" s="237">
        <f t="shared" si="24"/>
        <v>2399.1</v>
      </c>
      <c r="J52" s="237">
        <f t="shared" si="25"/>
        <v>9828.029757</v>
      </c>
      <c r="K52" s="237">
        <f t="shared" si="26"/>
        <v>23578426.19</v>
      </c>
    </row>
    <row r="53" ht="15.75" customHeight="1">
      <c r="A53" s="199">
        <v>48.0</v>
      </c>
      <c r="B53" s="333">
        <f>'Yakin Pasifik Tuna'!B55</f>
        <v>45279</v>
      </c>
      <c r="C53" s="249">
        <f>'Yakin Pasifik Tuna'!H55</f>
        <v>39.9</v>
      </c>
      <c r="D53" s="237">
        <f>'Yakin Pasifik Tuna'!X55</f>
        <v>9281.703417</v>
      </c>
      <c r="E53" s="237">
        <f t="shared" si="23"/>
        <v>370339.9663</v>
      </c>
      <c r="F53" s="237"/>
      <c r="G53" s="237"/>
      <c r="H53" s="237"/>
      <c r="I53" s="237">
        <f t="shared" si="24"/>
        <v>2439</v>
      </c>
      <c r="J53" s="237">
        <f t="shared" si="25"/>
        <v>9819.092315</v>
      </c>
      <c r="K53" s="237">
        <f t="shared" si="26"/>
        <v>23948766.16</v>
      </c>
    </row>
    <row r="54" ht="15.75" customHeight="1">
      <c r="A54" s="199">
        <v>49.0</v>
      </c>
      <c r="B54" s="333">
        <f>'Yakin Pasifik Tuna'!B56</f>
        <v>45280</v>
      </c>
      <c r="C54" s="249" t="str">
        <f>'Yakin Pasifik Tuna'!H56</f>
        <v/>
      </c>
      <c r="D54" s="237">
        <f>'Yakin Pasifik Tuna'!X56</f>
        <v>0</v>
      </c>
      <c r="E54" s="237">
        <f t="shared" si="23"/>
        <v>0</v>
      </c>
      <c r="F54" s="237"/>
      <c r="G54" s="237"/>
      <c r="H54" s="237"/>
      <c r="I54" s="237">
        <f t="shared" si="24"/>
        <v>2439</v>
      </c>
      <c r="J54" s="237">
        <f t="shared" si="25"/>
        <v>9819.092315</v>
      </c>
      <c r="K54" s="237">
        <f t="shared" si="26"/>
        <v>23948766.16</v>
      </c>
    </row>
    <row r="55" ht="15.75" customHeight="1">
      <c r="A55" s="199">
        <v>50.0</v>
      </c>
      <c r="B55" s="333">
        <f>'Yakin Pasifik Tuna'!B57</f>
        <v>45281</v>
      </c>
      <c r="C55" s="249">
        <f>'Yakin Pasifik Tuna'!H57</f>
        <v>352</v>
      </c>
      <c r="D55" s="237">
        <f>'Yakin Pasifik Tuna'!X57</f>
        <v>8284.259366</v>
      </c>
      <c r="E55" s="237">
        <f t="shared" si="23"/>
        <v>2916059.297</v>
      </c>
      <c r="F55" s="237"/>
      <c r="G55" s="237"/>
      <c r="H55" s="237"/>
      <c r="I55" s="237">
        <f t="shared" si="24"/>
        <v>2791</v>
      </c>
      <c r="J55" s="237">
        <f t="shared" si="25"/>
        <v>9625.519689</v>
      </c>
      <c r="K55" s="237">
        <f t="shared" si="26"/>
        <v>26864825.45</v>
      </c>
    </row>
    <row r="56" ht="15.75" customHeight="1">
      <c r="A56" s="199">
        <v>51.0</v>
      </c>
      <c r="B56" s="333">
        <f>'Yakin Pasifik Tuna'!B58</f>
        <v>45282</v>
      </c>
      <c r="C56" s="249">
        <f>'Yakin Pasifik Tuna'!H58</f>
        <v>361</v>
      </c>
      <c r="D56" s="237">
        <f>'Yakin Pasifik Tuna'!X58</f>
        <v>7979.768993</v>
      </c>
      <c r="E56" s="237">
        <f t="shared" si="23"/>
        <v>2880696.607</v>
      </c>
      <c r="F56" s="237"/>
      <c r="G56" s="237"/>
      <c r="H56" s="237"/>
      <c r="I56" s="237">
        <f t="shared" si="24"/>
        <v>3152</v>
      </c>
      <c r="J56" s="237">
        <f t="shared" si="25"/>
        <v>9437.03111</v>
      </c>
      <c r="K56" s="237">
        <f t="shared" si="26"/>
        <v>29745522.06</v>
      </c>
    </row>
    <row r="57" ht="15.75" customHeight="1">
      <c r="A57" s="199">
        <v>52.0</v>
      </c>
      <c r="B57" s="333">
        <f>'Yakin Pasifik Tuna'!B59</f>
        <v>45283</v>
      </c>
      <c r="C57" s="249" t="str">
        <f>'Yakin Pasifik Tuna'!H59</f>
        <v/>
      </c>
      <c r="D57" s="237">
        <f>'Yakin Pasifik Tuna'!X59</f>
        <v>0</v>
      </c>
      <c r="E57" s="237">
        <f t="shared" si="23"/>
        <v>0</v>
      </c>
      <c r="F57" s="237"/>
      <c r="G57" s="237"/>
      <c r="H57" s="237"/>
      <c r="I57" s="237">
        <f t="shared" si="24"/>
        <v>3152</v>
      </c>
      <c r="J57" s="237">
        <f t="shared" si="25"/>
        <v>9437.03111</v>
      </c>
      <c r="K57" s="237">
        <f t="shared" si="26"/>
        <v>29745522.06</v>
      </c>
    </row>
    <row r="58" ht="15.75" customHeight="1">
      <c r="A58" s="199">
        <v>53.0</v>
      </c>
      <c r="B58" s="333">
        <f>'Yakin Pasifik Tuna'!B60</f>
        <v>45284</v>
      </c>
      <c r="C58" s="249">
        <f>'Yakin Pasifik Tuna'!H60</f>
        <v>250</v>
      </c>
      <c r="D58" s="237">
        <f>'Yakin Pasifik Tuna'!X60</f>
        <v>8280.846847</v>
      </c>
      <c r="E58" s="237">
        <f t="shared" si="23"/>
        <v>2070211.712</v>
      </c>
      <c r="F58" s="237"/>
      <c r="G58" s="237"/>
      <c r="H58" s="237"/>
      <c r="I58" s="237">
        <f t="shared" si="24"/>
        <v>3402</v>
      </c>
      <c r="J58" s="237">
        <f t="shared" si="25"/>
        <v>9352.06754</v>
      </c>
      <c r="K58" s="237">
        <f t="shared" si="26"/>
        <v>31815733.77</v>
      </c>
    </row>
    <row r="59" ht="15.75" customHeight="1">
      <c r="A59" s="208"/>
      <c r="B59" s="332">
        <v>45289.0</v>
      </c>
      <c r="C59" s="228"/>
      <c r="D59" s="248"/>
      <c r="E59" s="248"/>
      <c r="F59" s="248">
        <v>999.1</v>
      </c>
      <c r="G59" s="248">
        <f>J58</f>
        <v>9352.06754</v>
      </c>
      <c r="H59" s="248">
        <f>F59*G59</f>
        <v>9343650.679</v>
      </c>
      <c r="I59" s="248"/>
      <c r="J59" s="248"/>
      <c r="K59" s="248"/>
      <c r="L59" s="220">
        <f>H59+'Persediaan &amp; HPP Ca RC YPT '!H36</f>
        <v>12464401.3</v>
      </c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ht="15.75" customHeight="1">
      <c r="A60" s="199">
        <v>54.0</v>
      </c>
      <c r="B60" s="333">
        <f>'Yakin Pasifik Tuna'!B65</f>
        <v>45295</v>
      </c>
      <c r="C60" s="237">
        <f>'Yakin Pasifik Tuna'!H65</f>
        <v>21</v>
      </c>
      <c r="D60" s="237">
        <f>'Yakin Pasifik Tuna'!Y65</f>
        <v>8278.796228</v>
      </c>
      <c r="E60" s="237">
        <f t="shared" ref="E60:E76" si="27">C60*D60</f>
        <v>173854.7208</v>
      </c>
      <c r="F60" s="237"/>
      <c r="G60" s="237"/>
      <c r="H60" s="237"/>
      <c r="I60" s="237">
        <f>I58+C60</f>
        <v>3423</v>
      </c>
      <c r="J60" s="237">
        <f t="shared" ref="J60:J77" si="28">K60/I60</f>
        <v>9345.483053</v>
      </c>
      <c r="K60" s="237">
        <f>K58+E60</f>
        <v>31989588.49</v>
      </c>
    </row>
    <row r="61" ht="15.75" customHeight="1">
      <c r="A61" s="199">
        <v>55.0</v>
      </c>
      <c r="B61" s="333">
        <f>'Yakin Pasifik Tuna'!B66</f>
        <v>45297</v>
      </c>
      <c r="C61" s="237">
        <f>'Yakin Pasifik Tuna'!H66</f>
        <v>351.8</v>
      </c>
      <c r="D61" s="237">
        <f>'Yakin Pasifik Tuna'!Y66</f>
        <v>5496.294209</v>
      </c>
      <c r="E61" s="237">
        <f t="shared" si="27"/>
        <v>1933596.303</v>
      </c>
      <c r="F61" s="237"/>
      <c r="G61" s="237"/>
      <c r="H61" s="237"/>
      <c r="I61" s="237">
        <f t="shared" ref="I61:I77" si="29">I60+C61</f>
        <v>3774.8</v>
      </c>
      <c r="J61" s="237">
        <f t="shared" si="28"/>
        <v>8986.750237</v>
      </c>
      <c r="K61" s="237">
        <f t="shared" ref="K61:K77" si="30">K60+E61</f>
        <v>33923184.79</v>
      </c>
      <c r="L61" s="124"/>
    </row>
    <row r="62" ht="15.75" customHeight="1">
      <c r="A62" s="199">
        <v>56.0</v>
      </c>
      <c r="B62" s="333">
        <f>'Yakin Pasifik Tuna'!B67</f>
        <v>45298</v>
      </c>
      <c r="C62" s="237">
        <f>'Yakin Pasifik Tuna'!H67</f>
        <v>41.8</v>
      </c>
      <c r="D62" s="237">
        <f>'Yakin Pasifik Tuna'!Y67</f>
        <v>9287.382084</v>
      </c>
      <c r="E62" s="237">
        <f t="shared" si="27"/>
        <v>388212.5711</v>
      </c>
      <c r="F62" s="237"/>
      <c r="G62" s="237"/>
      <c r="H62" s="237"/>
      <c r="I62" s="237">
        <f t="shared" si="29"/>
        <v>3816.6</v>
      </c>
      <c r="J62" s="237">
        <f t="shared" si="28"/>
        <v>8990.042804</v>
      </c>
      <c r="K62" s="237">
        <f t="shared" si="30"/>
        <v>34311397.37</v>
      </c>
    </row>
    <row r="63" ht="15.75" customHeight="1">
      <c r="A63" s="199">
        <v>57.0</v>
      </c>
      <c r="B63" s="333">
        <f>'Yakin Pasifik Tuna'!B68</f>
        <v>45300</v>
      </c>
      <c r="C63" s="237">
        <f>'Yakin Pasifik Tuna'!H68</f>
        <v>184.4</v>
      </c>
      <c r="D63" s="237">
        <f>'Yakin Pasifik Tuna'!Y68</f>
        <v>8294.157722</v>
      </c>
      <c r="E63" s="237">
        <f t="shared" si="27"/>
        <v>1529442.684</v>
      </c>
      <c r="F63" s="237"/>
      <c r="G63" s="237"/>
      <c r="H63" s="237"/>
      <c r="I63" s="237">
        <f t="shared" si="29"/>
        <v>4001</v>
      </c>
      <c r="J63" s="237">
        <f t="shared" si="28"/>
        <v>8957.97052</v>
      </c>
      <c r="K63" s="237">
        <f t="shared" si="30"/>
        <v>35840840.05</v>
      </c>
    </row>
    <row r="64" ht="15.75" customHeight="1">
      <c r="A64" s="166"/>
      <c r="B64" s="333">
        <f>'Yakin Pasifik Tuna'!B69</f>
        <v>45301</v>
      </c>
      <c r="C64" s="237" t="str">
        <f>'Yakin Pasifik Tuna'!H69</f>
        <v/>
      </c>
      <c r="D64" s="237">
        <v>0.0</v>
      </c>
      <c r="E64" s="237">
        <f t="shared" si="27"/>
        <v>0</v>
      </c>
      <c r="F64" s="237"/>
      <c r="G64" s="237"/>
      <c r="H64" s="237"/>
      <c r="I64" s="237">
        <f t="shared" si="29"/>
        <v>4001</v>
      </c>
      <c r="J64" s="237">
        <f t="shared" si="28"/>
        <v>8957.97052</v>
      </c>
      <c r="K64" s="237">
        <f t="shared" si="30"/>
        <v>35840840.05</v>
      </c>
    </row>
    <row r="65" ht="15.75" customHeight="1">
      <c r="A65" s="166"/>
      <c r="B65" s="333">
        <f>'Yakin Pasifik Tuna'!B70</f>
        <v>45302</v>
      </c>
      <c r="C65" s="237">
        <f>'Yakin Pasifik Tuna'!H70</f>
        <v>326.8</v>
      </c>
      <c r="D65" s="237">
        <f>'Yakin Pasifik Tuna'!Y70</f>
        <v>8271.482653</v>
      </c>
      <c r="E65" s="237">
        <f t="shared" si="27"/>
        <v>2703120.531</v>
      </c>
      <c r="F65" s="237"/>
      <c r="G65" s="237"/>
      <c r="H65" s="237"/>
      <c r="I65" s="237">
        <f t="shared" si="29"/>
        <v>4327.8</v>
      </c>
      <c r="J65" s="237">
        <f t="shared" si="28"/>
        <v>8906.13258</v>
      </c>
      <c r="K65" s="237">
        <f t="shared" si="30"/>
        <v>38543960.58</v>
      </c>
    </row>
    <row r="66" ht="15.75" customHeight="1">
      <c r="A66" s="166"/>
      <c r="B66" s="333">
        <f>'Yakin Pasifik Tuna'!B71</f>
        <v>45304</v>
      </c>
      <c r="C66" s="237">
        <f>'Yakin Pasifik Tuna'!H71</f>
        <v>690.7</v>
      </c>
      <c r="D66" s="237">
        <f>'Yakin Pasifik Tuna'!Y71</f>
        <v>8304.048888</v>
      </c>
      <c r="E66" s="237">
        <f t="shared" si="27"/>
        <v>5735606.567</v>
      </c>
      <c r="F66" s="237"/>
      <c r="G66" s="237"/>
      <c r="H66" s="237"/>
      <c r="I66" s="237">
        <f t="shared" si="29"/>
        <v>5018.5</v>
      </c>
      <c r="J66" s="237">
        <f t="shared" si="28"/>
        <v>8823.26734</v>
      </c>
      <c r="K66" s="237">
        <f t="shared" si="30"/>
        <v>44279567.15</v>
      </c>
    </row>
    <row r="67" ht="15.75" customHeight="1">
      <c r="A67" s="166"/>
      <c r="B67" s="333">
        <f>'Yakin Pasifik Tuna'!B72</f>
        <v>45306</v>
      </c>
      <c r="C67" s="237">
        <f>'Yakin Pasifik Tuna'!H72</f>
        <v>557.2</v>
      </c>
      <c r="D67" s="237">
        <f>'Yakin Pasifik Tuna'!Y72</f>
        <v>9276.857143</v>
      </c>
      <c r="E67" s="237">
        <f t="shared" si="27"/>
        <v>5169064.8</v>
      </c>
      <c r="F67" s="237"/>
      <c r="G67" s="237"/>
      <c r="H67" s="237"/>
      <c r="I67" s="237">
        <f t="shared" si="29"/>
        <v>5575.7</v>
      </c>
      <c r="J67" s="237">
        <f t="shared" si="28"/>
        <v>8868.596221</v>
      </c>
      <c r="K67" s="237">
        <f t="shared" si="30"/>
        <v>49448631.95</v>
      </c>
    </row>
    <row r="68" ht="15.75" customHeight="1">
      <c r="A68" s="166"/>
      <c r="B68" s="333">
        <f>'Yakin Pasifik Tuna'!B73</f>
        <v>45307</v>
      </c>
      <c r="C68" s="237">
        <f>'Yakin Pasifik Tuna'!H73</f>
        <v>221.2</v>
      </c>
      <c r="D68" s="237">
        <f>'Yakin Pasifik Tuna'!Y73</f>
        <v>9277.244252</v>
      </c>
      <c r="E68" s="237">
        <f t="shared" si="27"/>
        <v>2052126.429</v>
      </c>
      <c r="F68" s="237"/>
      <c r="G68" s="237"/>
      <c r="H68" s="237"/>
      <c r="I68" s="237">
        <f t="shared" si="29"/>
        <v>5796.9</v>
      </c>
      <c r="J68" s="237">
        <f t="shared" si="28"/>
        <v>8884.189545</v>
      </c>
      <c r="K68" s="237">
        <f t="shared" si="30"/>
        <v>51500758.38</v>
      </c>
    </row>
    <row r="69" ht="15.75" customHeight="1">
      <c r="A69" s="166"/>
      <c r="B69" s="333">
        <f>'Yakin Pasifik Tuna'!B74</f>
        <v>45308</v>
      </c>
      <c r="C69" s="237">
        <f>'Yakin Pasifik Tuna'!H74</f>
        <v>789.8</v>
      </c>
      <c r="D69" s="237">
        <f>'Yakin Pasifik Tuna'!Y74</f>
        <v>9280.32595</v>
      </c>
      <c r="E69" s="237">
        <f t="shared" si="27"/>
        <v>7329601.436</v>
      </c>
      <c r="F69" s="237"/>
      <c r="G69" s="237"/>
      <c r="H69" s="237"/>
      <c r="I69" s="237">
        <f t="shared" si="29"/>
        <v>6586.7</v>
      </c>
      <c r="J69" s="237">
        <f t="shared" si="28"/>
        <v>8931.689588</v>
      </c>
      <c r="K69" s="237">
        <f t="shared" si="30"/>
        <v>58830359.81</v>
      </c>
    </row>
    <row r="70" ht="15.75" customHeight="1">
      <c r="A70" s="166"/>
      <c r="B70" s="333">
        <f>'Yakin Pasifik Tuna'!B75</f>
        <v>45309</v>
      </c>
      <c r="C70" s="237">
        <f>'Yakin Pasifik Tuna'!H75</f>
        <v>318.5</v>
      </c>
      <c r="D70" s="237">
        <f>'Yakin Pasifik Tuna'!Y75</f>
        <v>10815.97457</v>
      </c>
      <c r="E70" s="237">
        <f t="shared" si="27"/>
        <v>3444887.901</v>
      </c>
      <c r="F70" s="237"/>
      <c r="G70" s="237"/>
      <c r="H70" s="237"/>
      <c r="I70" s="237">
        <f t="shared" si="29"/>
        <v>6905.2</v>
      </c>
      <c r="J70" s="237">
        <f t="shared" si="28"/>
        <v>9018.601592</v>
      </c>
      <c r="K70" s="237">
        <f t="shared" si="30"/>
        <v>62275247.71</v>
      </c>
    </row>
    <row r="71" ht="15.75" customHeight="1">
      <c r="A71" s="166"/>
      <c r="B71" s="333">
        <f>'Yakin Pasifik Tuna'!B76</f>
        <v>45311</v>
      </c>
      <c r="C71" s="237">
        <f>'Yakin Pasifik Tuna'!H76</f>
        <v>190.1</v>
      </c>
      <c r="D71" s="237">
        <f>'Yakin Pasifik Tuna'!Y76</f>
        <v>8276.476074</v>
      </c>
      <c r="E71" s="237">
        <f t="shared" si="27"/>
        <v>1573358.102</v>
      </c>
      <c r="F71" s="237"/>
      <c r="G71" s="237"/>
      <c r="H71" s="237"/>
      <c r="I71" s="237">
        <f t="shared" si="29"/>
        <v>7095.3</v>
      </c>
      <c r="J71" s="237">
        <f t="shared" si="28"/>
        <v>8998.71828</v>
      </c>
      <c r="K71" s="237">
        <f t="shared" si="30"/>
        <v>63848605.81</v>
      </c>
    </row>
    <row r="72" ht="15.75" customHeight="1">
      <c r="A72" s="166"/>
      <c r="B72" s="333">
        <f>'Yakin Pasifik Tuna'!B77</f>
        <v>45312</v>
      </c>
      <c r="C72" s="237">
        <f>'Yakin Pasifik Tuna'!H77</f>
        <v>160.5</v>
      </c>
      <c r="D72" s="237">
        <f>'Yakin Pasifik Tuna'!Y77</f>
        <v>8276.754653</v>
      </c>
      <c r="E72" s="237">
        <f t="shared" si="27"/>
        <v>1328419.122</v>
      </c>
      <c r="F72" s="237"/>
      <c r="G72" s="237"/>
      <c r="H72" s="237"/>
      <c r="I72" s="237">
        <f t="shared" si="29"/>
        <v>7255.8</v>
      </c>
      <c r="J72" s="237">
        <f t="shared" si="28"/>
        <v>8982.748275</v>
      </c>
      <c r="K72" s="237">
        <f t="shared" si="30"/>
        <v>65177024.94</v>
      </c>
    </row>
    <row r="73" ht="15.75" customHeight="1">
      <c r="A73" s="340"/>
      <c r="B73" s="333">
        <f>'Yakin Pasifik Tuna'!B78</f>
        <v>45313</v>
      </c>
      <c r="C73" s="237">
        <f>'Yakin Pasifik Tuna'!H78</f>
        <v>416.7</v>
      </c>
      <c r="D73" s="237">
        <f>'Yakin Pasifik Tuna'!Y78</f>
        <v>8276.526278</v>
      </c>
      <c r="E73" s="237">
        <f t="shared" si="27"/>
        <v>3448828.5</v>
      </c>
      <c r="F73" s="237"/>
      <c r="G73" s="237"/>
      <c r="H73" s="237"/>
      <c r="I73" s="237">
        <f t="shared" si="29"/>
        <v>7672.5</v>
      </c>
      <c r="J73" s="237">
        <f t="shared" si="28"/>
        <v>8944.392758</v>
      </c>
      <c r="K73" s="237">
        <f t="shared" si="30"/>
        <v>68625853.44</v>
      </c>
    </row>
    <row r="74" ht="15.75" customHeight="1">
      <c r="A74" s="340"/>
      <c r="B74" s="333">
        <f>'Yakin Pasifik Tuna'!B79</f>
        <v>45314</v>
      </c>
      <c r="C74" s="237">
        <f>'Yakin Pasifik Tuna'!H79</f>
        <v>170.3</v>
      </c>
      <c r="D74" s="237">
        <f>'Yakin Pasifik Tuna'!Y79</f>
        <v>8276.857143</v>
      </c>
      <c r="E74" s="237">
        <f t="shared" si="27"/>
        <v>1409548.771</v>
      </c>
      <c r="F74" s="237"/>
      <c r="G74" s="237"/>
      <c r="H74" s="237"/>
      <c r="I74" s="237">
        <f t="shared" si="29"/>
        <v>7842.8</v>
      </c>
      <c r="J74" s="237">
        <f t="shared" si="28"/>
        <v>8929.897767</v>
      </c>
      <c r="K74" s="237">
        <f t="shared" si="30"/>
        <v>70035402.21</v>
      </c>
    </row>
    <row r="75" ht="15.75" customHeight="1">
      <c r="A75" s="340"/>
      <c r="B75" s="333">
        <f>'Yakin Pasifik Tuna'!B80</f>
        <v>45315</v>
      </c>
      <c r="C75" s="237">
        <f>'Yakin Pasifik Tuna'!H80</f>
        <v>150.1</v>
      </c>
      <c r="D75" s="237">
        <f>'Yakin Pasifik Tuna'!Y80</f>
        <v>8559.791496</v>
      </c>
      <c r="E75" s="237">
        <f t="shared" si="27"/>
        <v>1284824.703</v>
      </c>
      <c r="F75" s="237"/>
      <c r="G75" s="237"/>
      <c r="H75" s="237"/>
      <c r="I75" s="237">
        <f t="shared" si="29"/>
        <v>7992.9</v>
      </c>
      <c r="J75" s="237">
        <f t="shared" si="28"/>
        <v>8922.94748</v>
      </c>
      <c r="K75" s="237">
        <f t="shared" si="30"/>
        <v>71320226.91</v>
      </c>
    </row>
    <row r="76" ht="15.75" customHeight="1">
      <c r="A76" s="340"/>
      <c r="B76" s="333">
        <f>'Yakin Pasifik Tuna'!B81</f>
        <v>45318</v>
      </c>
      <c r="C76" s="237">
        <f>'Yakin Pasifik Tuna'!H81</f>
        <v>797.9</v>
      </c>
      <c r="D76" s="237">
        <f>'Yakin Pasifik Tuna'!Y81</f>
        <v>8284.106762</v>
      </c>
      <c r="E76" s="237">
        <f t="shared" si="27"/>
        <v>6609888.785</v>
      </c>
      <c r="F76" s="237"/>
      <c r="G76" s="237"/>
      <c r="H76" s="237"/>
      <c r="I76" s="237">
        <f t="shared" si="29"/>
        <v>8790.8</v>
      </c>
      <c r="J76" s="237">
        <f t="shared" si="28"/>
        <v>8864.962881</v>
      </c>
      <c r="K76" s="237">
        <f t="shared" si="30"/>
        <v>77930115.7</v>
      </c>
    </row>
    <row r="77" ht="15.75" customHeight="1">
      <c r="A77" s="340"/>
      <c r="B77" s="333" t="str">
        <f>'Yakin Pasifik Tuna'!B82</f>
        <v/>
      </c>
      <c r="C77" s="340"/>
      <c r="D77" s="340"/>
      <c r="E77" s="237"/>
      <c r="F77" s="237"/>
      <c r="G77" s="237"/>
      <c r="H77" s="237"/>
      <c r="I77" s="237">
        <f t="shared" si="29"/>
        <v>8790.8</v>
      </c>
      <c r="J77" s="237">
        <f t="shared" si="28"/>
        <v>8864.962881</v>
      </c>
      <c r="K77" s="237">
        <f t="shared" si="30"/>
        <v>77930115.7</v>
      </c>
    </row>
    <row r="78" ht="15.75" customHeight="1">
      <c r="A78" s="340"/>
      <c r="B78" s="333" t="str">
        <f>'Yakin Pasifik Tuna'!B83</f>
        <v/>
      </c>
      <c r="C78" s="340"/>
      <c r="D78" s="340"/>
      <c r="E78" s="237"/>
      <c r="F78" s="237"/>
      <c r="G78" s="237"/>
      <c r="H78" s="237"/>
      <c r="I78" s="237"/>
      <c r="J78" s="237"/>
      <c r="K78" s="237"/>
    </row>
    <row r="79" ht="15.75" customHeight="1">
      <c r="A79" s="340"/>
      <c r="B79" s="333" t="str">
        <f>'Yakin Pasifik Tuna'!B84</f>
        <v/>
      </c>
      <c r="C79" s="340"/>
      <c r="D79" s="340"/>
      <c r="E79" s="237"/>
      <c r="F79" s="237"/>
      <c r="G79" s="237"/>
      <c r="H79" s="237"/>
      <c r="I79" s="237"/>
      <c r="J79" s="237"/>
      <c r="K79" s="237"/>
    </row>
    <row r="80" ht="15.75" customHeight="1">
      <c r="A80" s="340"/>
      <c r="B80" s="333" t="str">
        <f>'Yakin Pasifik Tuna'!B85</f>
        <v/>
      </c>
      <c r="C80" s="340"/>
      <c r="D80" s="340"/>
      <c r="E80" s="237"/>
      <c r="F80" s="237"/>
      <c r="G80" s="237"/>
      <c r="H80" s="237"/>
      <c r="I80" s="237"/>
      <c r="J80" s="237"/>
      <c r="K80" s="237"/>
    </row>
    <row r="81" ht="15.75" customHeight="1">
      <c r="A81" s="340"/>
      <c r="B81" s="333"/>
      <c r="C81" s="340"/>
      <c r="D81" s="340"/>
      <c r="E81" s="237"/>
      <c r="F81" s="237"/>
      <c r="G81" s="237"/>
      <c r="H81" s="237"/>
      <c r="I81" s="237"/>
      <c r="J81" s="237"/>
      <c r="K81" s="237"/>
    </row>
    <row r="82" ht="15.75" customHeight="1">
      <c r="E82" s="124"/>
      <c r="F82" s="124"/>
      <c r="G82" s="124"/>
      <c r="H82" s="124"/>
      <c r="I82" s="124"/>
      <c r="J82" s="124"/>
      <c r="K82" s="124"/>
    </row>
    <row r="83" ht="15.75" customHeight="1">
      <c r="E83" s="124"/>
      <c r="F83" s="124"/>
      <c r="G83" s="124"/>
      <c r="H83" s="124"/>
      <c r="I83" s="124"/>
      <c r="J83" s="124"/>
      <c r="K83" s="124"/>
    </row>
    <row r="84" ht="15.75" customHeight="1">
      <c r="E84" s="124"/>
      <c r="F84" s="124"/>
      <c r="G84" s="124"/>
      <c r="H84" s="124"/>
      <c r="I84" s="124"/>
      <c r="J84" s="124"/>
      <c r="K84" s="124"/>
    </row>
    <row r="85" ht="15.75" customHeight="1">
      <c r="E85" s="124"/>
      <c r="F85" s="124"/>
      <c r="G85" s="124"/>
      <c r="H85" s="124"/>
      <c r="I85" s="124"/>
      <c r="J85" s="124"/>
      <c r="K85" s="124"/>
    </row>
    <row r="86" ht="15.75" customHeight="1">
      <c r="E86" s="124"/>
      <c r="F86" s="124"/>
      <c r="G86" s="124"/>
      <c r="H86" s="124"/>
      <c r="I86" s="124"/>
      <c r="J86" s="124"/>
      <c r="K86" s="124"/>
    </row>
    <row r="87" ht="15.75" customHeight="1">
      <c r="E87" s="124"/>
      <c r="F87" s="124"/>
      <c r="G87" s="124"/>
      <c r="H87" s="124"/>
      <c r="I87" s="124"/>
      <c r="J87" s="124"/>
      <c r="K87" s="124"/>
    </row>
    <row r="88" ht="15.75" customHeight="1">
      <c r="E88" s="124"/>
      <c r="F88" s="124"/>
      <c r="G88" s="124"/>
      <c r="H88" s="124"/>
      <c r="I88" s="124"/>
      <c r="J88" s="124"/>
      <c r="K88" s="124"/>
    </row>
    <row r="89" ht="15.75" customHeight="1">
      <c r="E89" s="124"/>
      <c r="F89" s="124"/>
      <c r="G89" s="124"/>
      <c r="H89" s="124"/>
      <c r="I89" s="124"/>
      <c r="J89" s="124"/>
      <c r="K89" s="124"/>
    </row>
    <row r="90" ht="15.75" customHeight="1">
      <c r="E90" s="124"/>
      <c r="F90" s="124"/>
      <c r="G90" s="124"/>
      <c r="H90" s="124"/>
      <c r="I90" s="124"/>
      <c r="J90" s="124"/>
      <c r="K90" s="124"/>
    </row>
    <row r="91" ht="15.75" customHeight="1">
      <c r="E91" s="124"/>
      <c r="F91" s="124"/>
      <c r="G91" s="124"/>
      <c r="H91" s="124"/>
      <c r="I91" s="124"/>
      <c r="J91" s="124"/>
      <c r="K91" s="124"/>
    </row>
    <row r="92" ht="15.75" customHeight="1">
      <c r="E92" s="124"/>
      <c r="F92" s="124"/>
      <c r="G92" s="124"/>
      <c r="H92" s="124"/>
      <c r="I92" s="124"/>
      <c r="J92" s="124"/>
      <c r="K92" s="124"/>
    </row>
    <row r="93" ht="15.75" customHeight="1">
      <c r="E93" s="124"/>
      <c r="F93" s="124"/>
      <c r="G93" s="124"/>
      <c r="H93" s="124"/>
      <c r="I93" s="124"/>
      <c r="J93" s="124"/>
      <c r="K93" s="124"/>
    </row>
    <row r="94" ht="15.75" customHeight="1">
      <c r="E94" s="124"/>
      <c r="F94" s="124"/>
      <c r="G94" s="124"/>
      <c r="H94" s="124"/>
      <c r="I94" s="124"/>
      <c r="J94" s="124"/>
      <c r="K94" s="124"/>
    </row>
    <row r="95" ht="15.75" customHeight="1">
      <c r="E95" s="124"/>
      <c r="F95" s="124"/>
      <c r="G95" s="124"/>
      <c r="H95" s="124"/>
      <c r="I95" s="124"/>
      <c r="J95" s="124"/>
      <c r="K95" s="124"/>
    </row>
    <row r="96" ht="15.75" customHeight="1">
      <c r="E96" s="124"/>
      <c r="F96" s="124"/>
      <c r="G96" s="124"/>
      <c r="H96" s="124"/>
      <c r="I96" s="124"/>
      <c r="J96" s="124"/>
      <c r="K96" s="124"/>
    </row>
    <row r="97" ht="15.75" customHeight="1">
      <c r="E97" s="124"/>
      <c r="F97" s="124"/>
      <c r="G97" s="124"/>
      <c r="H97" s="124"/>
      <c r="I97" s="124"/>
      <c r="J97" s="124"/>
      <c r="K97" s="124"/>
    </row>
    <row r="98" ht="15.75" customHeight="1">
      <c r="E98" s="124"/>
      <c r="F98" s="124"/>
      <c r="G98" s="124"/>
      <c r="H98" s="124"/>
      <c r="I98" s="124"/>
      <c r="J98" s="124"/>
      <c r="K98" s="124"/>
    </row>
    <row r="99" ht="15.75" customHeight="1">
      <c r="E99" s="124"/>
      <c r="F99" s="124"/>
      <c r="G99" s="124"/>
      <c r="H99" s="124"/>
      <c r="I99" s="124"/>
      <c r="J99" s="124"/>
      <c r="K99" s="124"/>
    </row>
    <row r="100" ht="15.75" customHeight="1">
      <c r="E100" s="124"/>
      <c r="F100" s="124"/>
      <c r="G100" s="124"/>
      <c r="H100" s="124"/>
      <c r="I100" s="124"/>
      <c r="J100" s="124"/>
      <c r="K100" s="124"/>
    </row>
    <row r="101" ht="15.75" customHeight="1">
      <c r="E101" s="124"/>
      <c r="F101" s="124"/>
      <c r="G101" s="124"/>
      <c r="H101" s="124"/>
      <c r="I101" s="124"/>
      <c r="J101" s="124"/>
      <c r="K101" s="124"/>
    </row>
    <row r="102" ht="15.75" customHeight="1">
      <c r="E102" s="124"/>
      <c r="F102" s="124"/>
      <c r="G102" s="124"/>
      <c r="H102" s="124"/>
      <c r="I102" s="124"/>
      <c r="J102" s="124"/>
      <c r="K102" s="124"/>
    </row>
    <row r="103" ht="15.75" customHeight="1">
      <c r="E103" s="124"/>
      <c r="F103" s="124"/>
      <c r="G103" s="124"/>
      <c r="H103" s="124"/>
      <c r="I103" s="124"/>
      <c r="J103" s="124"/>
      <c r="K103" s="124"/>
    </row>
    <row r="104" ht="15.75" customHeight="1">
      <c r="E104" s="124"/>
      <c r="F104" s="124"/>
      <c r="G104" s="124"/>
      <c r="H104" s="124"/>
      <c r="I104" s="124"/>
      <c r="J104" s="124"/>
      <c r="K104" s="124"/>
    </row>
    <row r="105" ht="15.75" customHeight="1">
      <c r="E105" s="124"/>
      <c r="F105" s="124"/>
      <c r="G105" s="124"/>
      <c r="H105" s="124"/>
      <c r="I105" s="124"/>
      <c r="J105" s="124"/>
      <c r="K105" s="124"/>
    </row>
    <row r="106" ht="15.75" customHeight="1">
      <c r="E106" s="124"/>
      <c r="F106" s="124"/>
      <c r="G106" s="124"/>
      <c r="H106" s="124"/>
      <c r="I106" s="124"/>
      <c r="J106" s="124"/>
      <c r="K106" s="124"/>
    </row>
    <row r="107" ht="15.75" customHeight="1">
      <c r="E107" s="124"/>
      <c r="F107" s="124"/>
      <c r="G107" s="124"/>
      <c r="H107" s="124"/>
      <c r="I107" s="124"/>
      <c r="J107" s="124"/>
      <c r="K107" s="124"/>
    </row>
    <row r="108" ht="15.75" customHeight="1">
      <c r="E108" s="124"/>
      <c r="F108" s="124"/>
      <c r="G108" s="124"/>
      <c r="H108" s="124"/>
      <c r="I108" s="124"/>
      <c r="J108" s="124"/>
      <c r="K108" s="124"/>
    </row>
    <row r="109" ht="15.75" customHeight="1">
      <c r="E109" s="124"/>
      <c r="F109" s="124"/>
      <c r="G109" s="124"/>
      <c r="H109" s="124"/>
      <c r="I109" s="124"/>
      <c r="J109" s="124"/>
      <c r="K109" s="124"/>
    </row>
    <row r="110" ht="15.75" customHeight="1">
      <c r="E110" s="124"/>
      <c r="F110" s="124"/>
      <c r="G110" s="124"/>
      <c r="H110" s="124"/>
      <c r="I110" s="124"/>
      <c r="J110" s="124"/>
      <c r="K110" s="124"/>
    </row>
    <row r="111" ht="15.75" customHeight="1">
      <c r="E111" s="124"/>
      <c r="F111" s="124"/>
      <c r="G111" s="124"/>
      <c r="H111" s="124"/>
      <c r="I111" s="124"/>
      <c r="J111" s="124"/>
      <c r="K111" s="124"/>
    </row>
    <row r="112" ht="15.75" customHeight="1">
      <c r="E112" s="124"/>
      <c r="F112" s="124"/>
      <c r="G112" s="124"/>
      <c r="H112" s="124"/>
      <c r="I112" s="124"/>
      <c r="J112" s="124"/>
      <c r="K112" s="124"/>
    </row>
    <row r="113" ht="15.75" customHeight="1">
      <c r="E113" s="124"/>
      <c r="F113" s="124"/>
      <c r="G113" s="124"/>
      <c r="H113" s="124"/>
      <c r="I113" s="124"/>
      <c r="J113" s="124"/>
      <c r="K113" s="124"/>
    </row>
    <row r="114" ht="15.75" customHeight="1">
      <c r="E114" s="124"/>
      <c r="F114" s="124"/>
      <c r="G114" s="124"/>
      <c r="H114" s="124"/>
      <c r="I114" s="124"/>
      <c r="J114" s="124"/>
      <c r="K114" s="124"/>
    </row>
    <row r="115" ht="15.75" customHeight="1">
      <c r="E115" s="124"/>
      <c r="F115" s="124"/>
      <c r="G115" s="124"/>
      <c r="H115" s="124"/>
      <c r="I115" s="124"/>
      <c r="J115" s="124"/>
      <c r="K115" s="124"/>
    </row>
    <row r="116" ht="15.75" customHeight="1">
      <c r="E116" s="124"/>
      <c r="F116" s="124"/>
      <c r="G116" s="124"/>
      <c r="H116" s="124"/>
      <c r="I116" s="124"/>
      <c r="J116" s="124"/>
      <c r="K116" s="124"/>
    </row>
    <row r="117" ht="15.75" customHeight="1">
      <c r="E117" s="124"/>
      <c r="F117" s="124"/>
      <c r="G117" s="124"/>
      <c r="H117" s="124"/>
      <c r="I117" s="124"/>
      <c r="J117" s="124"/>
      <c r="K117" s="124"/>
    </row>
    <row r="118" ht="15.75" customHeight="1">
      <c r="E118" s="124"/>
      <c r="F118" s="124"/>
      <c r="G118" s="124"/>
      <c r="H118" s="124"/>
      <c r="I118" s="124"/>
      <c r="J118" s="124"/>
      <c r="K118" s="124"/>
    </row>
    <row r="119" ht="15.75" customHeight="1">
      <c r="E119" s="124"/>
      <c r="F119" s="124"/>
      <c r="G119" s="124"/>
      <c r="H119" s="124"/>
      <c r="I119" s="124"/>
      <c r="J119" s="124"/>
      <c r="K119" s="124"/>
    </row>
    <row r="120" ht="15.75" customHeight="1">
      <c r="E120" s="124"/>
      <c r="F120" s="124"/>
      <c r="G120" s="124"/>
      <c r="H120" s="124"/>
      <c r="I120" s="124"/>
      <c r="J120" s="124"/>
      <c r="K120" s="124"/>
    </row>
    <row r="121" ht="15.75" customHeight="1">
      <c r="E121" s="124"/>
      <c r="F121" s="124"/>
      <c r="G121" s="124"/>
      <c r="H121" s="124"/>
      <c r="I121" s="124"/>
      <c r="J121" s="124"/>
      <c r="K121" s="124"/>
    </row>
    <row r="122" ht="15.75" customHeight="1">
      <c r="E122" s="124"/>
      <c r="F122" s="124"/>
      <c r="G122" s="124"/>
      <c r="H122" s="124"/>
      <c r="I122" s="124"/>
      <c r="J122" s="124"/>
      <c r="K122" s="124"/>
    </row>
    <row r="123" ht="15.75" customHeight="1">
      <c r="E123" s="124"/>
      <c r="F123" s="124"/>
      <c r="G123" s="124"/>
      <c r="H123" s="124"/>
      <c r="I123" s="124"/>
      <c r="J123" s="124"/>
      <c r="K123" s="124"/>
    </row>
    <row r="124" ht="15.75" customHeight="1">
      <c r="E124" s="124"/>
      <c r="F124" s="124"/>
      <c r="G124" s="124"/>
      <c r="H124" s="124"/>
      <c r="I124" s="124"/>
      <c r="J124" s="124"/>
      <c r="K124" s="124"/>
    </row>
    <row r="125" ht="15.75" customHeight="1">
      <c r="E125" s="124"/>
      <c r="F125" s="124"/>
      <c r="G125" s="124"/>
      <c r="H125" s="124"/>
      <c r="I125" s="124"/>
      <c r="J125" s="124"/>
      <c r="K125" s="124"/>
    </row>
    <row r="126" ht="15.75" customHeight="1">
      <c r="E126" s="124"/>
      <c r="F126" s="124"/>
      <c r="G126" s="124"/>
      <c r="H126" s="124"/>
      <c r="I126" s="124"/>
      <c r="J126" s="124"/>
      <c r="K126" s="124"/>
    </row>
    <row r="127" ht="15.75" customHeight="1">
      <c r="E127" s="124"/>
      <c r="F127" s="124"/>
      <c r="G127" s="124"/>
      <c r="H127" s="124"/>
      <c r="I127" s="124"/>
      <c r="J127" s="124"/>
      <c r="K127" s="124"/>
    </row>
    <row r="128" ht="15.75" customHeight="1">
      <c r="E128" s="124"/>
      <c r="F128" s="124"/>
      <c r="G128" s="124"/>
      <c r="H128" s="124"/>
      <c r="I128" s="124"/>
      <c r="J128" s="124"/>
      <c r="K128" s="124"/>
    </row>
    <row r="129" ht="15.75" customHeight="1">
      <c r="E129" s="124"/>
      <c r="F129" s="124"/>
      <c r="G129" s="124"/>
      <c r="H129" s="124"/>
      <c r="I129" s="124"/>
      <c r="J129" s="124"/>
      <c r="K129" s="124"/>
    </row>
    <row r="130" ht="15.75" customHeight="1">
      <c r="E130" s="124"/>
      <c r="F130" s="124"/>
      <c r="G130" s="124"/>
      <c r="H130" s="124"/>
      <c r="I130" s="124"/>
      <c r="J130" s="124"/>
      <c r="K130" s="124"/>
    </row>
    <row r="131" ht="15.75" customHeight="1">
      <c r="E131" s="124"/>
      <c r="F131" s="124"/>
      <c r="G131" s="124"/>
      <c r="H131" s="124"/>
      <c r="I131" s="124"/>
      <c r="J131" s="124"/>
      <c r="K131" s="124"/>
    </row>
    <row r="132" ht="15.75" customHeight="1">
      <c r="E132" s="124"/>
      <c r="F132" s="124"/>
      <c r="G132" s="124"/>
      <c r="H132" s="124"/>
      <c r="I132" s="124"/>
      <c r="J132" s="124"/>
      <c r="K132" s="124"/>
    </row>
    <row r="133" ht="15.75" customHeight="1">
      <c r="E133" s="124"/>
      <c r="F133" s="124"/>
      <c r="G133" s="124"/>
      <c r="H133" s="124"/>
      <c r="I133" s="124"/>
      <c r="J133" s="124"/>
      <c r="K133" s="124"/>
    </row>
    <row r="134" ht="15.75" customHeight="1">
      <c r="E134" s="124"/>
      <c r="F134" s="124"/>
      <c r="G134" s="124"/>
      <c r="H134" s="124"/>
      <c r="I134" s="124"/>
      <c r="J134" s="124"/>
      <c r="K134" s="124"/>
    </row>
    <row r="135" ht="15.75" customHeight="1">
      <c r="E135" s="124"/>
      <c r="F135" s="124"/>
      <c r="G135" s="124"/>
      <c r="H135" s="124"/>
      <c r="I135" s="124"/>
      <c r="J135" s="124"/>
      <c r="K135" s="124"/>
    </row>
    <row r="136" ht="15.75" customHeight="1">
      <c r="E136" s="124"/>
      <c r="F136" s="124"/>
      <c r="G136" s="124"/>
      <c r="H136" s="124"/>
      <c r="I136" s="124"/>
      <c r="J136" s="124"/>
      <c r="K136" s="124"/>
    </row>
    <row r="137" ht="15.75" customHeight="1">
      <c r="E137" s="124"/>
      <c r="F137" s="124"/>
      <c r="G137" s="124"/>
      <c r="H137" s="124"/>
      <c r="I137" s="124"/>
      <c r="J137" s="124"/>
      <c r="K137" s="124"/>
    </row>
    <row r="138" ht="15.75" customHeight="1">
      <c r="E138" s="124"/>
      <c r="F138" s="124"/>
      <c r="G138" s="124"/>
      <c r="H138" s="124"/>
      <c r="I138" s="124"/>
      <c r="J138" s="124"/>
      <c r="K138" s="124"/>
    </row>
    <row r="139" ht="15.75" customHeight="1">
      <c r="E139" s="124"/>
      <c r="F139" s="124"/>
      <c r="G139" s="124"/>
      <c r="H139" s="124"/>
      <c r="I139" s="124"/>
      <c r="J139" s="124"/>
      <c r="K139" s="124"/>
    </row>
    <row r="140" ht="15.75" customHeight="1">
      <c r="E140" s="124"/>
      <c r="F140" s="124"/>
      <c r="G140" s="124"/>
      <c r="H140" s="124"/>
      <c r="I140" s="124"/>
      <c r="J140" s="124"/>
      <c r="K140" s="124"/>
    </row>
    <row r="141" ht="15.75" customHeight="1">
      <c r="E141" s="124"/>
      <c r="F141" s="124"/>
      <c r="G141" s="124"/>
      <c r="H141" s="124"/>
      <c r="I141" s="124"/>
      <c r="J141" s="124"/>
      <c r="K141" s="124"/>
    </row>
    <row r="142" ht="15.75" customHeight="1">
      <c r="E142" s="124"/>
      <c r="F142" s="124"/>
      <c r="G142" s="124"/>
      <c r="H142" s="124"/>
      <c r="I142" s="124"/>
      <c r="J142" s="124"/>
      <c r="K142" s="124"/>
    </row>
    <row r="143" ht="15.75" customHeight="1">
      <c r="E143" s="124"/>
      <c r="F143" s="124"/>
      <c r="G143" s="124"/>
      <c r="H143" s="124"/>
      <c r="I143" s="124"/>
      <c r="J143" s="124"/>
      <c r="K143" s="124"/>
    </row>
    <row r="144" ht="15.75" customHeight="1">
      <c r="E144" s="124"/>
      <c r="F144" s="124"/>
      <c r="G144" s="124"/>
      <c r="H144" s="124"/>
      <c r="I144" s="124"/>
      <c r="J144" s="124"/>
      <c r="K144" s="124"/>
    </row>
    <row r="145" ht="15.75" customHeight="1">
      <c r="E145" s="124"/>
      <c r="F145" s="124"/>
      <c r="G145" s="124"/>
      <c r="H145" s="124"/>
      <c r="I145" s="124"/>
      <c r="J145" s="124"/>
      <c r="K145" s="124"/>
    </row>
    <row r="146" ht="15.75" customHeight="1">
      <c r="E146" s="124"/>
      <c r="F146" s="124"/>
      <c r="G146" s="124"/>
      <c r="H146" s="124"/>
      <c r="I146" s="124"/>
      <c r="J146" s="124"/>
      <c r="K146" s="124"/>
    </row>
    <row r="147" ht="15.75" customHeight="1">
      <c r="E147" s="124"/>
      <c r="F147" s="124"/>
      <c r="G147" s="124"/>
      <c r="H147" s="124"/>
      <c r="I147" s="124"/>
      <c r="J147" s="124"/>
      <c r="K147" s="124"/>
    </row>
    <row r="148" ht="15.75" customHeight="1">
      <c r="E148" s="124"/>
      <c r="F148" s="124"/>
      <c r="G148" s="124"/>
      <c r="H148" s="124"/>
      <c r="I148" s="124"/>
      <c r="J148" s="124"/>
      <c r="K148" s="124"/>
    </row>
    <row r="149" ht="15.75" customHeight="1">
      <c r="E149" s="124"/>
      <c r="F149" s="124"/>
      <c r="G149" s="124"/>
      <c r="H149" s="124"/>
      <c r="I149" s="124"/>
      <c r="J149" s="124"/>
      <c r="K149" s="124"/>
    </row>
    <row r="150" ht="15.75" customHeight="1">
      <c r="E150" s="124"/>
      <c r="F150" s="124"/>
      <c r="G150" s="124"/>
      <c r="H150" s="124"/>
      <c r="I150" s="124"/>
      <c r="J150" s="124"/>
      <c r="K150" s="124"/>
    </row>
    <row r="151" ht="15.75" customHeight="1">
      <c r="E151" s="124"/>
      <c r="F151" s="124"/>
      <c r="G151" s="124"/>
      <c r="H151" s="124"/>
      <c r="I151" s="124"/>
      <c r="J151" s="124"/>
      <c r="K151" s="124"/>
    </row>
    <row r="152" ht="15.75" customHeight="1">
      <c r="E152" s="124"/>
      <c r="F152" s="124"/>
      <c r="G152" s="124"/>
      <c r="H152" s="124"/>
      <c r="I152" s="124"/>
      <c r="J152" s="124"/>
      <c r="K152" s="124"/>
    </row>
    <row r="153" ht="15.75" customHeight="1">
      <c r="E153" s="124"/>
      <c r="F153" s="124"/>
      <c r="G153" s="124"/>
      <c r="H153" s="124"/>
      <c r="I153" s="124"/>
      <c r="J153" s="124"/>
      <c r="K153" s="124"/>
    </row>
    <row r="154" ht="15.75" customHeight="1">
      <c r="E154" s="124"/>
      <c r="F154" s="124"/>
      <c r="G154" s="124"/>
      <c r="H154" s="124"/>
      <c r="I154" s="124"/>
      <c r="J154" s="124"/>
      <c r="K154" s="124"/>
    </row>
    <row r="155" ht="15.75" customHeight="1">
      <c r="E155" s="124"/>
      <c r="F155" s="124"/>
      <c r="G155" s="124"/>
      <c r="H155" s="124"/>
      <c r="I155" s="124"/>
      <c r="J155" s="124"/>
      <c r="K155" s="124"/>
    </row>
    <row r="156" ht="15.75" customHeight="1">
      <c r="E156" s="124"/>
      <c r="F156" s="124"/>
      <c r="G156" s="124"/>
      <c r="H156" s="124"/>
      <c r="I156" s="124"/>
      <c r="J156" s="124"/>
      <c r="K156" s="124"/>
    </row>
    <row r="157" ht="15.75" customHeight="1">
      <c r="E157" s="124"/>
      <c r="F157" s="124"/>
      <c r="G157" s="124"/>
      <c r="H157" s="124"/>
      <c r="I157" s="124"/>
      <c r="J157" s="124"/>
      <c r="K157" s="124"/>
    </row>
    <row r="158" ht="15.75" customHeight="1">
      <c r="E158" s="124"/>
      <c r="F158" s="124"/>
      <c r="G158" s="124"/>
      <c r="H158" s="124"/>
      <c r="I158" s="124"/>
      <c r="J158" s="124"/>
      <c r="K158" s="124"/>
    </row>
    <row r="159" ht="15.75" customHeight="1">
      <c r="E159" s="124"/>
      <c r="F159" s="124"/>
      <c r="G159" s="124"/>
      <c r="H159" s="124"/>
      <c r="I159" s="124"/>
      <c r="J159" s="124"/>
      <c r="K159" s="124"/>
    </row>
    <row r="160" ht="15.75" customHeight="1">
      <c r="E160" s="124"/>
      <c r="F160" s="124"/>
      <c r="G160" s="124"/>
      <c r="H160" s="124"/>
      <c r="I160" s="124"/>
      <c r="J160" s="124"/>
      <c r="K160" s="124"/>
    </row>
    <row r="161" ht="15.75" customHeight="1">
      <c r="E161" s="124"/>
      <c r="F161" s="124"/>
      <c r="G161" s="124"/>
      <c r="H161" s="124"/>
      <c r="I161" s="124"/>
      <c r="J161" s="124"/>
      <c r="K161" s="124"/>
    </row>
    <row r="162" ht="15.75" customHeight="1">
      <c r="E162" s="124"/>
      <c r="F162" s="124"/>
      <c r="G162" s="124"/>
      <c r="H162" s="124"/>
      <c r="I162" s="124"/>
      <c r="J162" s="124"/>
      <c r="K162" s="124"/>
    </row>
    <row r="163" ht="15.75" customHeight="1">
      <c r="E163" s="124"/>
      <c r="F163" s="124"/>
      <c r="G163" s="124"/>
      <c r="H163" s="124"/>
      <c r="I163" s="124"/>
      <c r="J163" s="124"/>
      <c r="K163" s="124"/>
    </row>
    <row r="164" ht="15.75" customHeight="1">
      <c r="E164" s="124"/>
      <c r="F164" s="124"/>
      <c r="G164" s="124"/>
      <c r="H164" s="124"/>
      <c r="I164" s="124"/>
      <c r="J164" s="124"/>
      <c r="K164" s="124"/>
    </row>
    <row r="165" ht="15.75" customHeight="1">
      <c r="E165" s="124"/>
      <c r="F165" s="124"/>
      <c r="G165" s="124"/>
      <c r="H165" s="124"/>
      <c r="I165" s="124"/>
      <c r="J165" s="124"/>
      <c r="K165" s="124"/>
    </row>
    <row r="166" ht="15.75" customHeight="1">
      <c r="E166" s="124"/>
      <c r="F166" s="124"/>
      <c r="G166" s="124"/>
      <c r="H166" s="124"/>
      <c r="I166" s="124"/>
      <c r="J166" s="124"/>
      <c r="K166" s="124"/>
    </row>
    <row r="167" ht="15.75" customHeight="1">
      <c r="E167" s="124"/>
      <c r="F167" s="124"/>
      <c r="G167" s="124"/>
      <c r="H167" s="124"/>
      <c r="I167" s="124"/>
      <c r="J167" s="124"/>
      <c r="K167" s="124"/>
    </row>
    <row r="168" ht="15.75" customHeight="1">
      <c r="E168" s="124"/>
      <c r="F168" s="124"/>
      <c r="G168" s="124"/>
      <c r="H168" s="124"/>
      <c r="I168" s="124"/>
      <c r="J168" s="124"/>
      <c r="K168" s="124"/>
    </row>
    <row r="169" ht="15.75" customHeight="1">
      <c r="E169" s="124"/>
      <c r="F169" s="124"/>
      <c r="G169" s="124"/>
      <c r="H169" s="124"/>
      <c r="I169" s="124"/>
      <c r="J169" s="124"/>
      <c r="K169" s="124"/>
    </row>
    <row r="170" ht="15.75" customHeight="1">
      <c r="E170" s="124"/>
      <c r="F170" s="124"/>
      <c r="G170" s="124"/>
      <c r="H170" s="124"/>
      <c r="I170" s="124"/>
      <c r="J170" s="124"/>
      <c r="K170" s="124"/>
    </row>
    <row r="171" ht="15.75" customHeight="1">
      <c r="E171" s="124"/>
      <c r="F171" s="124"/>
      <c r="G171" s="124"/>
      <c r="H171" s="124"/>
      <c r="I171" s="124"/>
      <c r="J171" s="124"/>
      <c r="K171" s="124"/>
    </row>
    <row r="172" ht="15.75" customHeight="1">
      <c r="E172" s="124"/>
      <c r="F172" s="124"/>
      <c r="G172" s="124"/>
      <c r="H172" s="124"/>
      <c r="I172" s="124"/>
      <c r="J172" s="124"/>
      <c r="K172" s="124"/>
    </row>
    <row r="173" ht="15.75" customHeight="1">
      <c r="E173" s="124"/>
      <c r="F173" s="124"/>
      <c r="G173" s="124"/>
      <c r="H173" s="124"/>
      <c r="I173" s="124"/>
      <c r="J173" s="124"/>
      <c r="K173" s="124"/>
    </row>
    <row r="174" ht="15.75" customHeight="1">
      <c r="E174" s="124"/>
      <c r="F174" s="124"/>
      <c r="G174" s="124"/>
      <c r="H174" s="124"/>
      <c r="I174" s="124"/>
      <c r="J174" s="124"/>
      <c r="K174" s="124"/>
    </row>
    <row r="175" ht="15.75" customHeight="1">
      <c r="E175" s="124"/>
      <c r="F175" s="124"/>
      <c r="G175" s="124"/>
      <c r="H175" s="124"/>
      <c r="I175" s="124"/>
      <c r="J175" s="124"/>
      <c r="K175" s="124"/>
    </row>
    <row r="176" ht="15.75" customHeight="1">
      <c r="E176" s="124"/>
      <c r="F176" s="124"/>
      <c r="G176" s="124"/>
      <c r="H176" s="124"/>
      <c r="I176" s="124"/>
      <c r="J176" s="124"/>
      <c r="K176" s="124"/>
    </row>
    <row r="177" ht="15.75" customHeight="1">
      <c r="E177" s="124"/>
      <c r="F177" s="124"/>
      <c r="G177" s="124"/>
      <c r="H177" s="124"/>
      <c r="I177" s="124"/>
      <c r="J177" s="124"/>
      <c r="K177" s="124"/>
    </row>
    <row r="178" ht="15.75" customHeight="1">
      <c r="E178" s="124"/>
      <c r="F178" s="124"/>
      <c r="G178" s="124"/>
      <c r="H178" s="124"/>
      <c r="I178" s="124"/>
      <c r="J178" s="124"/>
      <c r="K178" s="124"/>
    </row>
    <row r="179" ht="15.75" customHeight="1">
      <c r="E179" s="124"/>
      <c r="F179" s="124"/>
      <c r="G179" s="124"/>
      <c r="H179" s="124"/>
      <c r="I179" s="124"/>
      <c r="J179" s="124"/>
      <c r="K179" s="124"/>
    </row>
    <row r="180" ht="15.75" customHeight="1">
      <c r="E180" s="124"/>
      <c r="F180" s="124"/>
      <c r="G180" s="124"/>
      <c r="H180" s="124"/>
      <c r="I180" s="124"/>
      <c r="J180" s="124"/>
      <c r="K180" s="124"/>
    </row>
    <row r="181" ht="15.75" customHeight="1">
      <c r="E181" s="124"/>
      <c r="F181" s="124"/>
      <c r="G181" s="124"/>
      <c r="H181" s="124"/>
      <c r="I181" s="124"/>
      <c r="J181" s="124"/>
      <c r="K181" s="124"/>
    </row>
    <row r="182" ht="15.75" customHeight="1">
      <c r="E182" s="124"/>
      <c r="F182" s="124"/>
      <c r="G182" s="124"/>
      <c r="H182" s="124"/>
      <c r="I182" s="124"/>
      <c r="J182" s="124"/>
      <c r="K182" s="124"/>
    </row>
    <row r="183" ht="15.75" customHeight="1">
      <c r="E183" s="124"/>
      <c r="F183" s="124"/>
      <c r="G183" s="124"/>
      <c r="H183" s="124"/>
      <c r="I183" s="124"/>
      <c r="J183" s="124"/>
      <c r="K183" s="124"/>
    </row>
    <row r="184" ht="15.75" customHeight="1">
      <c r="E184" s="124"/>
      <c r="F184" s="124"/>
      <c r="G184" s="124"/>
      <c r="H184" s="124"/>
      <c r="I184" s="124"/>
      <c r="J184" s="124"/>
      <c r="K184" s="124"/>
    </row>
    <row r="185" ht="15.75" customHeight="1">
      <c r="E185" s="124"/>
      <c r="F185" s="124"/>
      <c r="G185" s="124"/>
      <c r="H185" s="124"/>
      <c r="I185" s="124"/>
      <c r="J185" s="124"/>
      <c r="K185" s="124"/>
    </row>
    <row r="186" ht="15.75" customHeight="1">
      <c r="E186" s="124"/>
      <c r="F186" s="124"/>
      <c r="G186" s="124"/>
      <c r="H186" s="124"/>
      <c r="I186" s="124"/>
      <c r="J186" s="124"/>
      <c r="K186" s="124"/>
    </row>
    <row r="187" ht="15.75" customHeight="1">
      <c r="E187" s="124"/>
      <c r="F187" s="124"/>
      <c r="G187" s="124"/>
      <c r="H187" s="124"/>
      <c r="I187" s="124"/>
      <c r="J187" s="124"/>
      <c r="K187" s="124"/>
    </row>
    <row r="188" ht="15.75" customHeight="1">
      <c r="E188" s="124"/>
      <c r="F188" s="124"/>
      <c r="G188" s="124"/>
      <c r="H188" s="124"/>
      <c r="I188" s="124"/>
      <c r="J188" s="124"/>
      <c r="K188" s="124"/>
    </row>
    <row r="189" ht="15.75" customHeight="1">
      <c r="E189" s="124"/>
      <c r="F189" s="124"/>
      <c r="G189" s="124"/>
      <c r="H189" s="124"/>
      <c r="I189" s="124"/>
      <c r="J189" s="124"/>
      <c r="K189" s="124"/>
    </row>
    <row r="190" ht="15.75" customHeight="1">
      <c r="E190" s="124"/>
      <c r="F190" s="124"/>
      <c r="G190" s="124"/>
      <c r="H190" s="124"/>
      <c r="I190" s="124"/>
      <c r="J190" s="124"/>
      <c r="K190" s="124"/>
    </row>
    <row r="191" ht="15.75" customHeight="1">
      <c r="E191" s="124"/>
      <c r="F191" s="124"/>
      <c r="G191" s="124"/>
      <c r="H191" s="124"/>
      <c r="I191" s="124"/>
      <c r="J191" s="124"/>
      <c r="K191" s="124"/>
    </row>
    <row r="192" ht="15.75" customHeight="1">
      <c r="E192" s="124"/>
      <c r="F192" s="124"/>
      <c r="G192" s="124"/>
      <c r="H192" s="124"/>
      <c r="I192" s="124"/>
      <c r="J192" s="124"/>
      <c r="K192" s="124"/>
    </row>
    <row r="193" ht="15.75" customHeight="1">
      <c r="E193" s="124"/>
      <c r="F193" s="124"/>
      <c r="G193" s="124"/>
      <c r="H193" s="124"/>
      <c r="I193" s="124"/>
      <c r="J193" s="124"/>
      <c r="K193" s="124"/>
    </row>
    <row r="194" ht="15.75" customHeight="1">
      <c r="E194" s="124"/>
      <c r="F194" s="124"/>
      <c r="G194" s="124"/>
      <c r="H194" s="124"/>
      <c r="I194" s="124"/>
      <c r="J194" s="124"/>
      <c r="K194" s="124"/>
    </row>
    <row r="195" ht="15.75" customHeight="1">
      <c r="E195" s="124"/>
      <c r="F195" s="124"/>
      <c r="G195" s="124"/>
      <c r="H195" s="124"/>
      <c r="I195" s="124"/>
      <c r="J195" s="124"/>
      <c r="K195" s="124"/>
    </row>
    <row r="196" ht="15.75" customHeight="1">
      <c r="E196" s="124"/>
      <c r="F196" s="124"/>
      <c r="G196" s="124"/>
      <c r="H196" s="124"/>
      <c r="I196" s="124"/>
      <c r="J196" s="124"/>
      <c r="K196" s="124"/>
    </row>
    <row r="197" ht="15.75" customHeight="1">
      <c r="E197" s="124"/>
      <c r="F197" s="124"/>
      <c r="G197" s="124"/>
      <c r="H197" s="124"/>
      <c r="I197" s="124"/>
      <c r="J197" s="124"/>
      <c r="K197" s="124"/>
    </row>
    <row r="198" ht="15.75" customHeight="1">
      <c r="E198" s="124"/>
      <c r="F198" s="124"/>
      <c r="G198" s="124"/>
      <c r="H198" s="124"/>
      <c r="I198" s="124"/>
      <c r="J198" s="124"/>
      <c r="K198" s="124"/>
    </row>
    <row r="199" ht="15.75" customHeight="1">
      <c r="E199" s="124"/>
      <c r="F199" s="124"/>
      <c r="G199" s="124"/>
      <c r="H199" s="124"/>
      <c r="I199" s="124"/>
      <c r="J199" s="124"/>
      <c r="K199" s="124"/>
    </row>
    <row r="200" ht="15.75" customHeight="1">
      <c r="E200" s="124"/>
      <c r="F200" s="124"/>
      <c r="G200" s="124"/>
      <c r="H200" s="124"/>
      <c r="I200" s="124"/>
      <c r="J200" s="124"/>
      <c r="K200" s="124"/>
    </row>
    <row r="201" ht="15.75" customHeight="1">
      <c r="E201" s="124"/>
      <c r="F201" s="124"/>
      <c r="G201" s="124"/>
      <c r="H201" s="124"/>
      <c r="I201" s="124"/>
      <c r="J201" s="124"/>
      <c r="K201" s="124"/>
    </row>
    <row r="202" ht="15.75" customHeight="1">
      <c r="E202" s="124"/>
      <c r="F202" s="124"/>
      <c r="G202" s="124"/>
      <c r="H202" s="124"/>
      <c r="I202" s="124"/>
      <c r="J202" s="124"/>
      <c r="K202" s="124"/>
    </row>
    <row r="203" ht="15.75" customHeight="1">
      <c r="E203" s="124"/>
      <c r="F203" s="124"/>
      <c r="G203" s="124"/>
      <c r="H203" s="124"/>
      <c r="I203" s="124"/>
      <c r="J203" s="124"/>
      <c r="K203" s="124"/>
    </row>
    <row r="204" ht="15.75" customHeight="1">
      <c r="E204" s="124"/>
      <c r="F204" s="124"/>
      <c r="G204" s="124"/>
      <c r="H204" s="124"/>
      <c r="I204" s="124"/>
      <c r="J204" s="124"/>
      <c r="K204" s="124"/>
    </row>
    <row r="205" ht="15.75" customHeight="1">
      <c r="E205" s="124"/>
      <c r="F205" s="124"/>
      <c r="G205" s="124"/>
      <c r="H205" s="124"/>
      <c r="I205" s="124"/>
      <c r="J205" s="124"/>
      <c r="K205" s="124"/>
    </row>
    <row r="206" ht="15.75" customHeight="1">
      <c r="E206" s="124"/>
      <c r="F206" s="124"/>
      <c r="G206" s="124"/>
      <c r="H206" s="124"/>
      <c r="I206" s="124"/>
      <c r="J206" s="124"/>
      <c r="K206" s="124"/>
    </row>
    <row r="207" ht="15.75" customHeight="1">
      <c r="E207" s="124"/>
      <c r="F207" s="124"/>
      <c r="G207" s="124"/>
      <c r="H207" s="124"/>
      <c r="I207" s="124"/>
      <c r="J207" s="124"/>
      <c r="K207" s="124"/>
    </row>
    <row r="208" ht="15.75" customHeight="1">
      <c r="E208" s="124"/>
      <c r="F208" s="124"/>
      <c r="G208" s="124"/>
      <c r="H208" s="124"/>
      <c r="I208" s="124"/>
      <c r="J208" s="124"/>
      <c r="K208" s="124"/>
    </row>
    <row r="209" ht="15.75" customHeight="1">
      <c r="E209" s="124"/>
      <c r="F209" s="124"/>
      <c r="G209" s="124"/>
      <c r="H209" s="124"/>
      <c r="I209" s="124"/>
      <c r="J209" s="124"/>
      <c r="K209" s="124"/>
    </row>
    <row r="210" ht="15.75" customHeight="1">
      <c r="E210" s="124"/>
      <c r="F210" s="124"/>
      <c r="G210" s="124"/>
      <c r="H210" s="124"/>
      <c r="I210" s="124"/>
      <c r="J210" s="124"/>
      <c r="K210" s="124"/>
    </row>
    <row r="211" ht="15.75" customHeight="1">
      <c r="E211" s="124"/>
      <c r="F211" s="124"/>
      <c r="G211" s="124"/>
      <c r="H211" s="124"/>
      <c r="I211" s="124"/>
      <c r="J211" s="124"/>
      <c r="K211" s="124"/>
    </row>
    <row r="212" ht="15.75" customHeight="1">
      <c r="E212" s="124"/>
      <c r="F212" s="124"/>
      <c r="G212" s="124"/>
      <c r="H212" s="124"/>
      <c r="I212" s="124"/>
      <c r="J212" s="124"/>
      <c r="K212" s="124"/>
    </row>
    <row r="213" ht="15.75" customHeight="1">
      <c r="E213" s="124"/>
      <c r="F213" s="124"/>
      <c r="G213" s="124"/>
      <c r="H213" s="124"/>
      <c r="I213" s="124"/>
      <c r="J213" s="124"/>
      <c r="K213" s="124"/>
    </row>
    <row r="214" ht="15.75" customHeight="1">
      <c r="E214" s="124"/>
      <c r="F214" s="124"/>
      <c r="G214" s="124"/>
      <c r="H214" s="124"/>
      <c r="I214" s="124"/>
      <c r="J214" s="124"/>
      <c r="K214" s="124"/>
    </row>
    <row r="215" ht="15.75" customHeight="1">
      <c r="E215" s="124"/>
      <c r="F215" s="124"/>
      <c r="G215" s="124"/>
      <c r="H215" s="124"/>
      <c r="I215" s="124"/>
      <c r="J215" s="124"/>
      <c r="K215" s="124"/>
    </row>
    <row r="216" ht="15.75" customHeight="1">
      <c r="E216" s="124"/>
      <c r="F216" s="124"/>
      <c r="G216" s="124"/>
      <c r="H216" s="124"/>
      <c r="I216" s="124"/>
      <c r="J216" s="124"/>
      <c r="K216" s="124"/>
    </row>
    <row r="217" ht="15.75" customHeight="1">
      <c r="E217" s="124"/>
      <c r="F217" s="124"/>
      <c r="G217" s="124"/>
      <c r="H217" s="124"/>
      <c r="I217" s="124"/>
      <c r="J217" s="124"/>
      <c r="K217" s="124"/>
    </row>
    <row r="218" ht="15.75" customHeight="1">
      <c r="E218" s="124"/>
      <c r="F218" s="124"/>
      <c r="G218" s="124"/>
      <c r="H218" s="124"/>
      <c r="I218" s="124"/>
      <c r="J218" s="124"/>
      <c r="K218" s="124"/>
    </row>
    <row r="219" ht="15.75" customHeight="1">
      <c r="E219" s="124"/>
      <c r="F219" s="124"/>
      <c r="G219" s="124"/>
      <c r="H219" s="124"/>
      <c r="I219" s="124"/>
      <c r="J219" s="124"/>
      <c r="K219" s="124"/>
    </row>
    <row r="220" ht="15.75" customHeight="1">
      <c r="E220" s="124"/>
      <c r="F220" s="124"/>
      <c r="G220" s="124"/>
      <c r="H220" s="124"/>
      <c r="I220" s="124"/>
      <c r="J220" s="124"/>
      <c r="K220" s="124"/>
    </row>
    <row r="221" ht="15.75" customHeight="1">
      <c r="E221" s="124"/>
      <c r="F221" s="124"/>
      <c r="G221" s="124"/>
      <c r="H221" s="124"/>
      <c r="I221" s="124"/>
      <c r="J221" s="124"/>
      <c r="K221" s="124"/>
    </row>
    <row r="222" ht="15.75" customHeight="1">
      <c r="E222" s="124"/>
      <c r="F222" s="124"/>
      <c r="G222" s="124"/>
      <c r="H222" s="124"/>
      <c r="I222" s="124"/>
      <c r="J222" s="124"/>
      <c r="K222" s="124"/>
    </row>
    <row r="223" ht="15.75" customHeight="1">
      <c r="E223" s="124"/>
      <c r="F223" s="124"/>
      <c r="G223" s="124"/>
      <c r="H223" s="124"/>
      <c r="I223" s="124"/>
      <c r="J223" s="124"/>
      <c r="K223" s="124"/>
    </row>
    <row r="224" ht="15.75" customHeight="1">
      <c r="E224" s="124"/>
      <c r="F224" s="124"/>
      <c r="G224" s="124"/>
      <c r="H224" s="124"/>
      <c r="I224" s="124"/>
      <c r="J224" s="124"/>
      <c r="K224" s="124"/>
    </row>
    <row r="225" ht="15.75" customHeight="1">
      <c r="E225" s="124"/>
      <c r="F225" s="124"/>
      <c r="G225" s="124"/>
      <c r="H225" s="124"/>
      <c r="I225" s="124"/>
      <c r="J225" s="124"/>
      <c r="K225" s="124"/>
    </row>
    <row r="226" ht="15.75" customHeight="1">
      <c r="E226" s="124"/>
      <c r="F226" s="124"/>
      <c r="G226" s="124"/>
      <c r="H226" s="124"/>
      <c r="I226" s="124"/>
      <c r="J226" s="124"/>
      <c r="K226" s="124"/>
    </row>
    <row r="227" ht="15.75" customHeight="1">
      <c r="E227" s="124"/>
      <c r="F227" s="124"/>
      <c r="G227" s="124"/>
      <c r="H227" s="124"/>
      <c r="I227" s="124"/>
      <c r="J227" s="124"/>
      <c r="K227" s="124"/>
    </row>
    <row r="228" ht="15.75" customHeight="1">
      <c r="E228" s="124"/>
      <c r="F228" s="124"/>
      <c r="G228" s="124"/>
      <c r="H228" s="124"/>
      <c r="I228" s="124"/>
      <c r="J228" s="124"/>
      <c r="K228" s="124"/>
    </row>
    <row r="229" ht="15.75" customHeight="1">
      <c r="E229" s="124"/>
      <c r="F229" s="124"/>
      <c r="G229" s="124"/>
      <c r="H229" s="124"/>
      <c r="I229" s="124"/>
      <c r="J229" s="124"/>
      <c r="K229" s="124"/>
    </row>
    <row r="230" ht="15.75" customHeight="1">
      <c r="E230" s="124"/>
      <c r="F230" s="124"/>
      <c r="G230" s="124"/>
      <c r="H230" s="124"/>
      <c r="I230" s="124"/>
      <c r="J230" s="124"/>
      <c r="K230" s="124"/>
    </row>
    <row r="231" ht="15.75" customHeight="1">
      <c r="E231" s="124"/>
      <c r="F231" s="124"/>
      <c r="G231" s="124"/>
      <c r="H231" s="124"/>
      <c r="I231" s="124"/>
      <c r="J231" s="124"/>
      <c r="K231" s="124"/>
    </row>
    <row r="232" ht="15.75" customHeight="1">
      <c r="E232" s="124"/>
      <c r="F232" s="124"/>
      <c r="G232" s="124"/>
      <c r="H232" s="124"/>
      <c r="I232" s="124"/>
      <c r="J232" s="124"/>
      <c r="K232" s="124"/>
    </row>
    <row r="233" ht="15.75" customHeight="1">
      <c r="E233" s="124"/>
      <c r="F233" s="124"/>
      <c r="G233" s="124"/>
      <c r="H233" s="124"/>
      <c r="I233" s="124"/>
      <c r="J233" s="124"/>
      <c r="K233" s="124"/>
    </row>
    <row r="234" ht="15.75" customHeight="1">
      <c r="E234" s="124"/>
      <c r="F234" s="124"/>
      <c r="G234" s="124"/>
      <c r="H234" s="124"/>
      <c r="I234" s="124"/>
      <c r="J234" s="124"/>
      <c r="K234" s="124"/>
    </row>
    <row r="235" ht="15.75" customHeight="1">
      <c r="E235" s="124"/>
      <c r="F235" s="124"/>
      <c r="G235" s="124"/>
      <c r="H235" s="124"/>
      <c r="I235" s="124"/>
      <c r="J235" s="124"/>
      <c r="K235" s="124"/>
    </row>
    <row r="236" ht="15.75" customHeight="1">
      <c r="E236" s="124"/>
      <c r="F236" s="124"/>
      <c r="G236" s="124"/>
      <c r="H236" s="124"/>
      <c r="I236" s="124"/>
      <c r="J236" s="124"/>
      <c r="K236" s="124"/>
    </row>
    <row r="237" ht="15.75" customHeight="1">
      <c r="E237" s="124"/>
      <c r="F237" s="124"/>
      <c r="G237" s="124"/>
      <c r="H237" s="124"/>
      <c r="I237" s="124"/>
      <c r="J237" s="124"/>
      <c r="K237" s="124"/>
    </row>
    <row r="238" ht="15.75" customHeight="1">
      <c r="E238" s="124"/>
      <c r="F238" s="124"/>
      <c r="G238" s="124"/>
      <c r="H238" s="124"/>
      <c r="I238" s="124"/>
      <c r="J238" s="124"/>
      <c r="K238" s="124"/>
    </row>
    <row r="239" ht="15.75" customHeight="1">
      <c r="E239" s="124"/>
      <c r="F239" s="124"/>
      <c r="G239" s="124"/>
      <c r="H239" s="124"/>
      <c r="I239" s="124"/>
      <c r="J239" s="124"/>
      <c r="K239" s="124"/>
    </row>
    <row r="240" ht="15.75" customHeight="1">
      <c r="E240" s="124"/>
      <c r="F240" s="124"/>
      <c r="G240" s="124"/>
      <c r="H240" s="124"/>
      <c r="I240" s="124"/>
      <c r="J240" s="124"/>
      <c r="K240" s="124"/>
    </row>
    <row r="241" ht="15.75" customHeight="1">
      <c r="E241" s="124"/>
      <c r="F241" s="124"/>
      <c r="G241" s="124"/>
      <c r="H241" s="124"/>
      <c r="I241" s="124"/>
      <c r="J241" s="124"/>
      <c r="K241" s="124"/>
    </row>
    <row r="242" ht="15.75" customHeight="1">
      <c r="E242" s="124"/>
      <c r="F242" s="124"/>
      <c r="G242" s="124"/>
      <c r="H242" s="124"/>
      <c r="I242" s="124"/>
      <c r="J242" s="124"/>
      <c r="K242" s="124"/>
    </row>
    <row r="243" ht="15.75" customHeight="1">
      <c r="E243" s="124"/>
      <c r="F243" s="124"/>
      <c r="G243" s="124"/>
      <c r="H243" s="124"/>
      <c r="I243" s="124"/>
      <c r="J243" s="124"/>
      <c r="K243" s="124"/>
    </row>
    <row r="244" ht="15.75" customHeight="1">
      <c r="E244" s="124"/>
      <c r="F244" s="124"/>
      <c r="G244" s="124"/>
      <c r="H244" s="124"/>
      <c r="I244" s="124"/>
      <c r="J244" s="124"/>
      <c r="K244" s="124"/>
    </row>
    <row r="245" ht="15.75" customHeight="1">
      <c r="E245" s="124"/>
      <c r="F245" s="124"/>
      <c r="G245" s="124"/>
      <c r="H245" s="124"/>
      <c r="I245" s="124"/>
      <c r="J245" s="124"/>
      <c r="K245" s="124"/>
    </row>
    <row r="246" ht="15.75" customHeight="1">
      <c r="E246" s="124"/>
      <c r="F246" s="124"/>
      <c r="G246" s="124"/>
      <c r="H246" s="124"/>
      <c r="I246" s="124"/>
      <c r="J246" s="124"/>
      <c r="K246" s="124"/>
    </row>
    <row r="247" ht="15.75" customHeight="1">
      <c r="E247" s="124"/>
      <c r="F247" s="124"/>
      <c r="G247" s="124"/>
      <c r="H247" s="124"/>
      <c r="I247" s="124"/>
      <c r="J247" s="124"/>
      <c r="K247" s="124"/>
    </row>
    <row r="248" ht="15.75" customHeight="1">
      <c r="E248" s="124"/>
      <c r="F248" s="124"/>
      <c r="G248" s="124"/>
      <c r="H248" s="124"/>
      <c r="I248" s="124"/>
      <c r="J248" s="124"/>
      <c r="K248" s="124"/>
    </row>
    <row r="249" ht="15.75" customHeight="1">
      <c r="E249" s="124"/>
      <c r="F249" s="124"/>
      <c r="G249" s="124"/>
      <c r="H249" s="124"/>
      <c r="I249" s="124"/>
      <c r="J249" s="124"/>
      <c r="K249" s="124"/>
    </row>
    <row r="250" ht="15.75" customHeight="1">
      <c r="E250" s="124"/>
      <c r="F250" s="124"/>
      <c r="G250" s="124"/>
      <c r="H250" s="124"/>
      <c r="I250" s="124"/>
      <c r="J250" s="124"/>
      <c r="K250" s="124"/>
    </row>
    <row r="251" ht="15.75" customHeight="1">
      <c r="E251" s="124"/>
      <c r="F251" s="124"/>
      <c r="G251" s="124"/>
      <c r="H251" s="124"/>
      <c r="I251" s="124"/>
      <c r="J251" s="124"/>
      <c r="K251" s="124"/>
    </row>
    <row r="252" ht="15.75" customHeight="1">
      <c r="E252" s="124"/>
      <c r="F252" s="124"/>
      <c r="G252" s="124"/>
      <c r="H252" s="124"/>
      <c r="I252" s="124"/>
      <c r="J252" s="124"/>
      <c r="K252" s="124"/>
    </row>
    <row r="253" ht="15.75" customHeight="1">
      <c r="E253" s="124"/>
      <c r="F253" s="124"/>
      <c r="G253" s="124"/>
      <c r="H253" s="124"/>
      <c r="I253" s="124"/>
      <c r="J253" s="124"/>
      <c r="K253" s="124"/>
    </row>
    <row r="254" ht="15.75" customHeight="1">
      <c r="E254" s="124"/>
      <c r="F254" s="124"/>
      <c r="G254" s="124"/>
      <c r="H254" s="124"/>
      <c r="I254" s="124"/>
      <c r="J254" s="124"/>
      <c r="K254" s="124"/>
    </row>
    <row r="255" ht="15.75" customHeight="1">
      <c r="E255" s="124"/>
      <c r="F255" s="124"/>
      <c r="G255" s="124"/>
      <c r="H255" s="124"/>
      <c r="I255" s="124"/>
      <c r="J255" s="124"/>
      <c r="K255" s="124"/>
    </row>
    <row r="256" ht="15.75" customHeight="1">
      <c r="E256" s="124"/>
      <c r="F256" s="124"/>
      <c r="G256" s="124"/>
      <c r="H256" s="124"/>
      <c r="I256" s="124"/>
      <c r="J256" s="124"/>
      <c r="K256" s="124"/>
    </row>
    <row r="257" ht="15.75" customHeight="1">
      <c r="E257" s="124"/>
      <c r="F257" s="124"/>
      <c r="G257" s="124"/>
      <c r="H257" s="124"/>
      <c r="I257" s="124"/>
      <c r="J257" s="124"/>
      <c r="K257" s="124"/>
    </row>
    <row r="258" ht="15.75" customHeight="1">
      <c r="E258" s="124"/>
      <c r="F258" s="124"/>
      <c r="G258" s="124"/>
      <c r="H258" s="124"/>
      <c r="I258" s="124"/>
      <c r="J258" s="124"/>
      <c r="K258" s="124"/>
    </row>
    <row r="259" ht="15.75" customHeight="1">
      <c r="E259" s="124"/>
      <c r="F259" s="124"/>
      <c r="G259" s="124"/>
      <c r="H259" s="124"/>
      <c r="I259" s="124"/>
      <c r="J259" s="124"/>
      <c r="K259" s="124"/>
    </row>
    <row r="260" ht="15.75" customHeight="1">
      <c r="E260" s="124"/>
      <c r="F260" s="124"/>
      <c r="G260" s="124"/>
      <c r="H260" s="124"/>
      <c r="I260" s="124"/>
      <c r="J260" s="124"/>
      <c r="K260" s="124"/>
    </row>
    <row r="261" ht="15.75" customHeight="1">
      <c r="E261" s="124"/>
      <c r="F261" s="124"/>
      <c r="G261" s="124"/>
      <c r="H261" s="124"/>
      <c r="I261" s="124"/>
      <c r="J261" s="124"/>
      <c r="K261" s="124"/>
    </row>
    <row r="262" ht="15.75" customHeight="1">
      <c r="E262" s="124"/>
      <c r="F262" s="124"/>
      <c r="G262" s="124"/>
      <c r="H262" s="124"/>
      <c r="I262" s="124"/>
      <c r="J262" s="124"/>
      <c r="K262" s="124"/>
    </row>
    <row r="263" ht="15.75" customHeight="1">
      <c r="E263" s="124"/>
      <c r="F263" s="124"/>
      <c r="G263" s="124"/>
      <c r="H263" s="124"/>
      <c r="I263" s="124"/>
      <c r="J263" s="124"/>
      <c r="K263" s="124"/>
    </row>
    <row r="264" ht="15.75" customHeight="1">
      <c r="E264" s="124"/>
      <c r="F264" s="124"/>
      <c r="G264" s="124"/>
      <c r="H264" s="124"/>
      <c r="I264" s="124"/>
      <c r="J264" s="124"/>
      <c r="K264" s="124"/>
    </row>
    <row r="265" ht="15.75" customHeight="1">
      <c r="E265" s="124"/>
      <c r="F265" s="124"/>
      <c r="G265" s="124"/>
      <c r="H265" s="124"/>
      <c r="I265" s="124"/>
      <c r="J265" s="124"/>
      <c r="K265" s="124"/>
    </row>
    <row r="266" ht="15.75" customHeight="1">
      <c r="E266" s="124"/>
      <c r="F266" s="124"/>
      <c r="G266" s="124"/>
      <c r="H266" s="124"/>
      <c r="I266" s="124"/>
      <c r="J266" s="124"/>
      <c r="K266" s="124"/>
    </row>
    <row r="267" ht="15.75" customHeight="1">
      <c r="E267" s="124"/>
      <c r="F267" s="124"/>
      <c r="G267" s="124"/>
      <c r="H267" s="124"/>
      <c r="I267" s="124"/>
      <c r="J267" s="124"/>
      <c r="K267" s="124"/>
    </row>
    <row r="268" ht="15.75" customHeight="1">
      <c r="E268" s="124"/>
      <c r="F268" s="124"/>
      <c r="G268" s="124"/>
      <c r="H268" s="124"/>
      <c r="I268" s="124"/>
      <c r="J268" s="124"/>
      <c r="K268" s="124"/>
    </row>
    <row r="269" ht="15.75" customHeight="1">
      <c r="E269" s="124"/>
      <c r="F269" s="124"/>
      <c r="G269" s="124"/>
      <c r="H269" s="124"/>
      <c r="I269" s="124"/>
      <c r="J269" s="124"/>
      <c r="K269" s="124"/>
    </row>
    <row r="270" ht="15.75" customHeight="1">
      <c r="E270" s="124"/>
      <c r="F270" s="124"/>
      <c r="G270" s="124"/>
      <c r="H270" s="124"/>
      <c r="I270" s="124"/>
      <c r="J270" s="124"/>
      <c r="K270" s="124"/>
    </row>
    <row r="271" ht="15.75" customHeight="1">
      <c r="E271" s="124"/>
      <c r="F271" s="124"/>
      <c r="G271" s="124"/>
      <c r="H271" s="124"/>
      <c r="I271" s="124"/>
      <c r="J271" s="124"/>
      <c r="K271" s="124"/>
    </row>
    <row r="272" ht="15.75" customHeight="1">
      <c r="E272" s="124"/>
      <c r="F272" s="124"/>
      <c r="G272" s="124"/>
      <c r="H272" s="124"/>
      <c r="I272" s="124"/>
      <c r="J272" s="124"/>
      <c r="K272" s="124"/>
    </row>
    <row r="273" ht="15.75" customHeight="1">
      <c r="E273" s="124"/>
      <c r="F273" s="124"/>
      <c r="G273" s="124"/>
      <c r="H273" s="124"/>
      <c r="I273" s="124"/>
      <c r="J273" s="124"/>
      <c r="K273" s="124"/>
    </row>
    <row r="274" ht="15.75" customHeight="1">
      <c r="E274" s="124"/>
      <c r="F274" s="124"/>
      <c r="G274" s="124"/>
      <c r="H274" s="124"/>
      <c r="I274" s="124"/>
      <c r="J274" s="124"/>
      <c r="K274" s="124"/>
    </row>
    <row r="275" ht="15.75" customHeight="1">
      <c r="E275" s="124"/>
      <c r="F275" s="124"/>
      <c r="G275" s="124"/>
      <c r="H275" s="124"/>
      <c r="I275" s="124"/>
      <c r="J275" s="124"/>
      <c r="K275" s="124"/>
    </row>
    <row r="276" ht="15.75" customHeight="1">
      <c r="E276" s="124"/>
      <c r="F276" s="124"/>
      <c r="G276" s="124"/>
      <c r="H276" s="124"/>
      <c r="I276" s="124"/>
      <c r="J276" s="124"/>
      <c r="K276" s="124"/>
    </row>
    <row r="277" ht="15.75" customHeight="1">
      <c r="E277" s="124"/>
      <c r="F277" s="124"/>
      <c r="G277" s="124"/>
      <c r="H277" s="124"/>
      <c r="I277" s="124"/>
      <c r="J277" s="124"/>
      <c r="K277" s="124"/>
    </row>
    <row r="278" ht="15.75" customHeight="1">
      <c r="E278" s="124"/>
      <c r="F278" s="124"/>
      <c r="G278" s="124"/>
      <c r="H278" s="124"/>
      <c r="I278" s="124"/>
      <c r="J278" s="124"/>
      <c r="K278" s="124"/>
    </row>
    <row r="279" ht="15.75" customHeight="1">
      <c r="E279" s="124"/>
      <c r="F279" s="124"/>
      <c r="G279" s="124"/>
      <c r="H279" s="124"/>
      <c r="I279" s="124"/>
      <c r="J279" s="124"/>
      <c r="K279" s="124"/>
    </row>
    <row r="280" ht="15.75" customHeight="1">
      <c r="E280" s="124"/>
      <c r="F280" s="124"/>
      <c r="G280" s="124"/>
      <c r="H280" s="124"/>
      <c r="I280" s="124"/>
      <c r="J280" s="124"/>
      <c r="K280" s="124"/>
    </row>
    <row r="281" ht="15.75" customHeight="1">
      <c r="E281" s="124"/>
      <c r="F281" s="124"/>
      <c r="G281" s="124"/>
      <c r="H281" s="124"/>
      <c r="I281" s="124"/>
      <c r="J281" s="124"/>
      <c r="K281" s="124"/>
    </row>
    <row r="282" ht="15.75" customHeight="1">
      <c r="E282" s="124"/>
      <c r="F282" s="124"/>
      <c r="G282" s="124"/>
      <c r="H282" s="124"/>
      <c r="I282" s="124"/>
      <c r="J282" s="124"/>
      <c r="K282" s="124"/>
    </row>
    <row r="283" ht="15.75" customHeight="1">
      <c r="E283" s="124"/>
      <c r="F283" s="124"/>
      <c r="G283" s="124"/>
      <c r="H283" s="124"/>
      <c r="I283" s="124"/>
      <c r="J283" s="124"/>
      <c r="K283" s="124"/>
    </row>
    <row r="284" ht="15.75" customHeight="1">
      <c r="E284" s="124"/>
      <c r="F284" s="124"/>
      <c r="G284" s="124"/>
      <c r="H284" s="124"/>
      <c r="I284" s="124"/>
      <c r="J284" s="124"/>
      <c r="K284" s="124"/>
    </row>
    <row r="285" ht="15.75" customHeight="1">
      <c r="E285" s="124"/>
      <c r="F285" s="124"/>
      <c r="G285" s="124"/>
      <c r="H285" s="124"/>
      <c r="I285" s="124"/>
      <c r="J285" s="124"/>
      <c r="K285" s="124"/>
    </row>
    <row r="286" ht="15.75" customHeight="1">
      <c r="E286" s="124"/>
      <c r="F286" s="124"/>
      <c r="G286" s="124"/>
      <c r="H286" s="124"/>
      <c r="I286" s="124"/>
      <c r="J286" s="124"/>
      <c r="K286" s="124"/>
    </row>
    <row r="287" ht="15.75" customHeight="1">
      <c r="E287" s="124"/>
      <c r="F287" s="124"/>
      <c r="G287" s="124"/>
      <c r="H287" s="124"/>
      <c r="I287" s="124"/>
      <c r="J287" s="124"/>
      <c r="K287" s="124"/>
    </row>
    <row r="288" ht="15.75" customHeight="1">
      <c r="E288" s="124"/>
      <c r="F288" s="124"/>
      <c r="G288" s="124"/>
      <c r="H288" s="124"/>
      <c r="I288" s="124"/>
      <c r="J288" s="124"/>
      <c r="K288" s="124"/>
    </row>
    <row r="289" ht="15.75" customHeight="1">
      <c r="E289" s="124"/>
      <c r="F289" s="124"/>
      <c r="G289" s="124"/>
      <c r="H289" s="124"/>
      <c r="I289" s="124"/>
      <c r="J289" s="124"/>
      <c r="K289" s="124"/>
    </row>
    <row r="290" ht="15.75" customHeight="1">
      <c r="E290" s="124"/>
      <c r="F290" s="124"/>
      <c r="G290" s="124"/>
      <c r="H290" s="124"/>
      <c r="I290" s="124"/>
      <c r="J290" s="124"/>
      <c r="K290" s="124"/>
    </row>
    <row r="291" ht="15.75" customHeight="1">
      <c r="E291" s="124"/>
      <c r="F291" s="124"/>
      <c r="G291" s="124"/>
      <c r="H291" s="124"/>
      <c r="I291" s="124"/>
      <c r="J291" s="124"/>
      <c r="K291" s="124"/>
    </row>
    <row r="292" ht="15.75" customHeight="1">
      <c r="E292" s="124"/>
      <c r="F292" s="124"/>
      <c r="G292" s="124"/>
      <c r="H292" s="124"/>
      <c r="I292" s="124"/>
      <c r="J292" s="124"/>
      <c r="K292" s="124"/>
    </row>
    <row r="293" ht="15.75" customHeight="1">
      <c r="E293" s="124"/>
      <c r="F293" s="124"/>
      <c r="G293" s="124"/>
      <c r="H293" s="124"/>
      <c r="I293" s="124"/>
      <c r="J293" s="124"/>
      <c r="K293" s="124"/>
    </row>
    <row r="294" ht="15.75" customHeight="1">
      <c r="E294" s="124"/>
      <c r="F294" s="124"/>
      <c r="G294" s="124"/>
      <c r="H294" s="124"/>
      <c r="I294" s="124"/>
      <c r="J294" s="124"/>
      <c r="K294" s="124"/>
    </row>
    <row r="295" ht="15.75" customHeight="1">
      <c r="E295" s="124"/>
      <c r="F295" s="124"/>
      <c r="G295" s="124"/>
      <c r="H295" s="124"/>
      <c r="I295" s="124"/>
      <c r="J295" s="124"/>
      <c r="K295" s="124"/>
    </row>
    <row r="296" ht="15.75" customHeight="1">
      <c r="E296" s="124"/>
      <c r="F296" s="124"/>
      <c r="G296" s="124"/>
      <c r="H296" s="124"/>
      <c r="I296" s="124"/>
      <c r="J296" s="124"/>
      <c r="K296" s="124"/>
    </row>
    <row r="297" ht="15.75" customHeight="1">
      <c r="E297" s="124"/>
      <c r="F297" s="124"/>
      <c r="G297" s="124"/>
      <c r="H297" s="124"/>
      <c r="I297" s="124"/>
      <c r="J297" s="124"/>
      <c r="K297" s="124"/>
    </row>
    <row r="298" ht="15.75" customHeight="1">
      <c r="E298" s="124"/>
      <c r="F298" s="124"/>
      <c r="G298" s="124"/>
      <c r="H298" s="124"/>
      <c r="I298" s="124"/>
      <c r="J298" s="124"/>
      <c r="K298" s="124"/>
    </row>
    <row r="299" ht="15.75" customHeight="1">
      <c r="E299" s="124"/>
      <c r="F299" s="124"/>
      <c r="G299" s="124"/>
      <c r="H299" s="124"/>
      <c r="I299" s="124"/>
      <c r="J299" s="124"/>
      <c r="K299" s="124"/>
    </row>
    <row r="300" ht="15.75" customHeight="1">
      <c r="E300" s="124"/>
      <c r="F300" s="124"/>
      <c r="G300" s="124"/>
      <c r="H300" s="124"/>
      <c r="I300" s="124"/>
      <c r="J300" s="124"/>
      <c r="K300" s="124"/>
    </row>
    <row r="301" ht="15.75" customHeight="1">
      <c r="E301" s="124"/>
      <c r="F301" s="124"/>
      <c r="G301" s="124"/>
      <c r="H301" s="124"/>
      <c r="I301" s="124"/>
      <c r="J301" s="124"/>
      <c r="K301" s="124"/>
    </row>
    <row r="302" ht="15.75" customHeight="1">
      <c r="E302" s="124"/>
      <c r="F302" s="124"/>
      <c r="G302" s="124"/>
      <c r="H302" s="124"/>
      <c r="I302" s="124"/>
      <c r="J302" s="124"/>
      <c r="K302" s="124"/>
    </row>
    <row r="303" ht="15.75" customHeight="1">
      <c r="E303" s="124"/>
      <c r="F303" s="124"/>
      <c r="G303" s="124"/>
      <c r="H303" s="124"/>
      <c r="I303" s="124"/>
      <c r="J303" s="124"/>
      <c r="K303" s="124"/>
    </row>
    <row r="304" ht="15.75" customHeight="1">
      <c r="E304" s="124"/>
      <c r="F304" s="124"/>
      <c r="G304" s="124"/>
      <c r="H304" s="124"/>
      <c r="I304" s="124"/>
      <c r="J304" s="124"/>
      <c r="K304" s="124"/>
    </row>
    <row r="305" ht="15.75" customHeight="1">
      <c r="E305" s="124"/>
      <c r="F305" s="124"/>
      <c r="G305" s="124"/>
      <c r="H305" s="124"/>
      <c r="I305" s="124"/>
      <c r="J305" s="124"/>
      <c r="K305" s="124"/>
    </row>
    <row r="306" ht="15.75" customHeight="1">
      <c r="E306" s="124"/>
      <c r="F306" s="124"/>
      <c r="G306" s="124"/>
      <c r="H306" s="124"/>
      <c r="I306" s="124"/>
      <c r="J306" s="124"/>
      <c r="K306" s="124"/>
    </row>
    <row r="307" ht="15.75" customHeight="1">
      <c r="E307" s="124"/>
      <c r="F307" s="124"/>
      <c r="G307" s="124"/>
      <c r="H307" s="124"/>
      <c r="I307" s="124"/>
      <c r="J307" s="124"/>
      <c r="K307" s="124"/>
    </row>
    <row r="308" ht="15.75" customHeight="1">
      <c r="E308" s="124"/>
      <c r="F308" s="124"/>
      <c r="G308" s="124"/>
      <c r="H308" s="124"/>
      <c r="I308" s="124"/>
      <c r="J308" s="124"/>
      <c r="K308" s="124"/>
    </row>
    <row r="309" ht="15.75" customHeight="1">
      <c r="E309" s="124"/>
      <c r="F309" s="124"/>
      <c r="G309" s="124"/>
      <c r="H309" s="124"/>
      <c r="I309" s="124"/>
      <c r="J309" s="124"/>
      <c r="K309" s="124"/>
    </row>
    <row r="310" ht="15.75" customHeight="1">
      <c r="E310" s="124"/>
      <c r="F310" s="124"/>
      <c r="G310" s="124"/>
      <c r="H310" s="124"/>
      <c r="I310" s="124"/>
      <c r="J310" s="124"/>
      <c r="K310" s="124"/>
    </row>
    <row r="311" ht="15.75" customHeight="1">
      <c r="E311" s="124"/>
      <c r="F311" s="124"/>
      <c r="G311" s="124"/>
      <c r="H311" s="124"/>
      <c r="I311" s="124"/>
      <c r="J311" s="124"/>
      <c r="K311" s="124"/>
    </row>
    <row r="312" ht="15.75" customHeight="1">
      <c r="E312" s="124"/>
      <c r="F312" s="124"/>
      <c r="G312" s="124"/>
      <c r="H312" s="124"/>
      <c r="I312" s="124"/>
      <c r="J312" s="124"/>
      <c r="K312" s="124"/>
    </row>
    <row r="313" ht="15.75" customHeight="1">
      <c r="E313" s="124"/>
      <c r="F313" s="124"/>
      <c r="G313" s="124"/>
      <c r="H313" s="124"/>
      <c r="I313" s="124"/>
      <c r="J313" s="124"/>
      <c r="K313" s="124"/>
    </row>
    <row r="314" ht="15.75" customHeight="1">
      <c r="E314" s="124"/>
      <c r="F314" s="124"/>
      <c r="G314" s="124"/>
      <c r="H314" s="124"/>
      <c r="I314" s="124"/>
      <c r="J314" s="124"/>
      <c r="K314" s="124"/>
    </row>
    <row r="315" ht="15.75" customHeight="1">
      <c r="E315" s="124"/>
      <c r="F315" s="124"/>
      <c r="G315" s="124"/>
      <c r="H315" s="124"/>
      <c r="I315" s="124"/>
      <c r="J315" s="124"/>
      <c r="K315" s="124"/>
    </row>
    <row r="316" ht="15.75" customHeight="1">
      <c r="E316" s="124"/>
      <c r="F316" s="124"/>
      <c r="G316" s="124"/>
      <c r="H316" s="124"/>
      <c r="I316" s="124"/>
      <c r="J316" s="124"/>
      <c r="K316" s="124"/>
    </row>
    <row r="317" ht="15.75" customHeight="1">
      <c r="E317" s="124"/>
      <c r="F317" s="124"/>
      <c r="G317" s="124"/>
      <c r="H317" s="124"/>
      <c r="I317" s="124"/>
      <c r="J317" s="124"/>
      <c r="K317" s="124"/>
    </row>
    <row r="318" ht="15.75" customHeight="1">
      <c r="E318" s="124"/>
      <c r="F318" s="124"/>
      <c r="G318" s="124"/>
      <c r="H318" s="124"/>
      <c r="I318" s="124"/>
      <c r="J318" s="124"/>
      <c r="K318" s="124"/>
    </row>
    <row r="319" ht="15.75" customHeight="1">
      <c r="E319" s="124"/>
      <c r="F319" s="124"/>
      <c r="G319" s="124"/>
      <c r="H319" s="124"/>
      <c r="I319" s="124"/>
      <c r="J319" s="124"/>
      <c r="K319" s="124"/>
    </row>
    <row r="320" ht="15.75" customHeight="1">
      <c r="E320" s="124"/>
      <c r="F320" s="124"/>
      <c r="G320" s="124"/>
      <c r="H320" s="124"/>
      <c r="I320" s="124"/>
      <c r="J320" s="124"/>
      <c r="K320" s="124"/>
    </row>
    <row r="321" ht="15.75" customHeight="1">
      <c r="E321" s="124"/>
      <c r="F321" s="124"/>
      <c r="G321" s="124"/>
      <c r="H321" s="124"/>
      <c r="I321" s="124"/>
      <c r="J321" s="124"/>
      <c r="K321" s="124"/>
    </row>
    <row r="322" ht="15.75" customHeight="1">
      <c r="E322" s="124"/>
      <c r="F322" s="124"/>
      <c r="G322" s="124"/>
      <c r="H322" s="124"/>
      <c r="I322" s="124"/>
      <c r="J322" s="124"/>
      <c r="K322" s="124"/>
    </row>
    <row r="323" ht="15.75" customHeight="1">
      <c r="E323" s="124"/>
      <c r="F323" s="124"/>
      <c r="G323" s="124"/>
      <c r="H323" s="124"/>
      <c r="I323" s="124"/>
      <c r="J323" s="124"/>
      <c r="K323" s="124"/>
    </row>
    <row r="324" ht="15.75" customHeight="1">
      <c r="E324" s="124"/>
      <c r="F324" s="124"/>
      <c r="G324" s="124"/>
      <c r="H324" s="124"/>
      <c r="I324" s="124"/>
      <c r="J324" s="124"/>
      <c r="K324" s="124"/>
    </row>
    <row r="325" ht="15.75" customHeight="1">
      <c r="E325" s="124"/>
      <c r="F325" s="124"/>
      <c r="G325" s="124"/>
      <c r="H325" s="124"/>
      <c r="I325" s="124"/>
      <c r="J325" s="124"/>
      <c r="K325" s="124"/>
    </row>
    <row r="326" ht="15.75" customHeight="1">
      <c r="E326" s="124"/>
      <c r="F326" s="124"/>
      <c r="G326" s="124"/>
      <c r="H326" s="124"/>
      <c r="I326" s="124"/>
      <c r="J326" s="124"/>
      <c r="K326" s="124"/>
    </row>
    <row r="327" ht="15.75" customHeight="1">
      <c r="E327" s="124"/>
      <c r="F327" s="124"/>
      <c r="G327" s="124"/>
      <c r="H327" s="124"/>
      <c r="I327" s="124"/>
      <c r="J327" s="124"/>
      <c r="K327" s="124"/>
    </row>
    <row r="328" ht="15.75" customHeight="1">
      <c r="E328" s="124"/>
      <c r="F328" s="124"/>
      <c r="G328" s="124"/>
      <c r="H328" s="124"/>
      <c r="I328" s="124"/>
      <c r="J328" s="124"/>
      <c r="K328" s="124"/>
    </row>
    <row r="329" ht="15.75" customHeight="1">
      <c r="E329" s="124"/>
      <c r="F329" s="124"/>
      <c r="G329" s="124"/>
      <c r="H329" s="124"/>
      <c r="I329" s="124"/>
      <c r="J329" s="124"/>
      <c r="K329" s="124"/>
    </row>
    <row r="330" ht="15.75" customHeight="1">
      <c r="E330" s="124"/>
      <c r="F330" s="124"/>
      <c r="G330" s="124"/>
      <c r="H330" s="124"/>
      <c r="I330" s="124"/>
      <c r="J330" s="124"/>
      <c r="K330" s="124"/>
    </row>
    <row r="331" ht="15.75" customHeight="1">
      <c r="E331" s="124"/>
      <c r="F331" s="124"/>
      <c r="G331" s="124"/>
      <c r="H331" s="124"/>
      <c r="I331" s="124"/>
      <c r="J331" s="124"/>
      <c r="K331" s="124"/>
    </row>
    <row r="332" ht="15.75" customHeight="1">
      <c r="E332" s="124"/>
      <c r="F332" s="124"/>
      <c r="G332" s="124"/>
      <c r="H332" s="124"/>
      <c r="I332" s="124"/>
      <c r="J332" s="124"/>
      <c r="K332" s="124"/>
    </row>
    <row r="333" ht="15.75" customHeight="1">
      <c r="E333" s="124"/>
      <c r="F333" s="124"/>
      <c r="G333" s="124"/>
      <c r="H333" s="124"/>
      <c r="I333" s="124"/>
      <c r="J333" s="124"/>
      <c r="K333" s="124"/>
    </row>
    <row r="334" ht="15.75" customHeight="1">
      <c r="E334" s="124"/>
      <c r="F334" s="124"/>
      <c r="G334" s="124"/>
      <c r="H334" s="124"/>
      <c r="I334" s="124"/>
      <c r="J334" s="124"/>
      <c r="K334" s="124"/>
    </row>
    <row r="335" ht="15.75" customHeight="1">
      <c r="E335" s="124"/>
      <c r="F335" s="124"/>
      <c r="G335" s="124"/>
      <c r="H335" s="124"/>
      <c r="I335" s="124"/>
      <c r="J335" s="124"/>
      <c r="K335" s="124"/>
    </row>
    <row r="336" ht="15.75" customHeight="1">
      <c r="E336" s="124"/>
      <c r="F336" s="124"/>
      <c r="G336" s="124"/>
      <c r="H336" s="124"/>
      <c r="I336" s="124"/>
      <c r="J336" s="124"/>
      <c r="K336" s="124"/>
    </row>
    <row r="337" ht="15.75" customHeight="1">
      <c r="E337" s="124"/>
      <c r="F337" s="124"/>
      <c r="G337" s="124"/>
      <c r="H337" s="124"/>
      <c r="I337" s="124"/>
      <c r="J337" s="124"/>
      <c r="K337" s="124"/>
    </row>
    <row r="338" ht="15.75" customHeight="1">
      <c r="E338" s="124"/>
      <c r="F338" s="124"/>
      <c r="G338" s="124"/>
      <c r="H338" s="124"/>
      <c r="I338" s="124"/>
      <c r="J338" s="124"/>
      <c r="K338" s="124"/>
    </row>
    <row r="339" ht="15.75" customHeight="1">
      <c r="E339" s="124"/>
      <c r="F339" s="124"/>
      <c r="G339" s="124"/>
      <c r="H339" s="124"/>
      <c r="I339" s="124"/>
      <c r="J339" s="124"/>
      <c r="K339" s="124"/>
    </row>
    <row r="340" ht="15.75" customHeight="1">
      <c r="E340" s="124"/>
      <c r="F340" s="124"/>
      <c r="G340" s="124"/>
      <c r="H340" s="124"/>
      <c r="I340" s="124"/>
      <c r="J340" s="124"/>
      <c r="K340" s="124"/>
    </row>
    <row r="341" ht="15.75" customHeight="1">
      <c r="E341" s="124"/>
      <c r="F341" s="124"/>
      <c r="G341" s="124"/>
      <c r="H341" s="124"/>
      <c r="I341" s="124"/>
      <c r="J341" s="124"/>
      <c r="K341" s="124"/>
    </row>
    <row r="342" ht="15.75" customHeight="1">
      <c r="E342" s="124"/>
      <c r="F342" s="124"/>
      <c r="G342" s="124"/>
      <c r="H342" s="124"/>
      <c r="I342" s="124"/>
      <c r="J342" s="124"/>
      <c r="K342" s="124"/>
    </row>
    <row r="343" ht="15.75" customHeight="1">
      <c r="E343" s="124"/>
      <c r="F343" s="124"/>
      <c r="G343" s="124"/>
      <c r="H343" s="124"/>
      <c r="I343" s="124"/>
      <c r="J343" s="124"/>
      <c r="K343" s="124"/>
    </row>
    <row r="344" ht="15.75" customHeight="1">
      <c r="E344" s="124"/>
      <c r="F344" s="124"/>
      <c r="G344" s="124"/>
      <c r="H344" s="124"/>
      <c r="I344" s="124"/>
      <c r="J344" s="124"/>
      <c r="K344" s="124"/>
    </row>
    <row r="345" ht="15.75" customHeight="1">
      <c r="E345" s="124"/>
      <c r="F345" s="124"/>
      <c r="G345" s="124"/>
      <c r="H345" s="124"/>
      <c r="I345" s="124"/>
      <c r="J345" s="124"/>
      <c r="K345" s="124"/>
    </row>
    <row r="346" ht="15.75" customHeight="1">
      <c r="E346" s="124"/>
      <c r="F346" s="124"/>
      <c r="G346" s="124"/>
      <c r="H346" s="124"/>
      <c r="I346" s="124"/>
      <c r="J346" s="124"/>
      <c r="K346" s="124"/>
    </row>
    <row r="347" ht="15.75" customHeight="1">
      <c r="E347" s="124"/>
      <c r="F347" s="124"/>
      <c r="G347" s="124"/>
      <c r="H347" s="124"/>
      <c r="I347" s="124"/>
      <c r="J347" s="124"/>
      <c r="K347" s="124"/>
    </row>
    <row r="348" ht="15.75" customHeight="1">
      <c r="E348" s="124"/>
      <c r="F348" s="124"/>
      <c r="G348" s="124"/>
      <c r="H348" s="124"/>
      <c r="I348" s="124"/>
      <c r="J348" s="124"/>
      <c r="K348" s="124"/>
    </row>
    <row r="349" ht="15.75" customHeight="1">
      <c r="E349" s="124"/>
      <c r="F349" s="124"/>
      <c r="G349" s="124"/>
      <c r="H349" s="124"/>
      <c r="I349" s="124"/>
      <c r="J349" s="124"/>
      <c r="K349" s="124"/>
    </row>
    <row r="350" ht="15.75" customHeight="1">
      <c r="E350" s="124"/>
      <c r="F350" s="124"/>
      <c r="G350" s="124"/>
      <c r="H350" s="124"/>
      <c r="I350" s="124"/>
      <c r="J350" s="124"/>
      <c r="K350" s="124"/>
    </row>
    <row r="351" ht="15.75" customHeight="1">
      <c r="E351" s="124"/>
      <c r="F351" s="124"/>
      <c r="G351" s="124"/>
      <c r="H351" s="124"/>
      <c r="I351" s="124"/>
      <c r="J351" s="124"/>
      <c r="K351" s="124"/>
    </row>
    <row r="352" ht="15.75" customHeight="1">
      <c r="E352" s="124"/>
      <c r="F352" s="124"/>
      <c r="G352" s="124"/>
      <c r="H352" s="124"/>
      <c r="I352" s="124"/>
      <c r="J352" s="124"/>
      <c r="K352" s="124"/>
    </row>
    <row r="353" ht="15.75" customHeight="1">
      <c r="E353" s="124"/>
      <c r="F353" s="124"/>
      <c r="G353" s="124"/>
      <c r="H353" s="124"/>
      <c r="I353" s="124"/>
      <c r="J353" s="124"/>
      <c r="K353" s="124"/>
    </row>
    <row r="354" ht="15.75" customHeight="1">
      <c r="E354" s="124"/>
      <c r="F354" s="124"/>
      <c r="G354" s="124"/>
      <c r="H354" s="124"/>
      <c r="I354" s="124"/>
      <c r="J354" s="124"/>
      <c r="K354" s="124"/>
    </row>
    <row r="355" ht="15.75" customHeight="1">
      <c r="E355" s="124"/>
      <c r="F355" s="124"/>
      <c r="G355" s="124"/>
      <c r="H355" s="124"/>
      <c r="I355" s="124"/>
      <c r="J355" s="124"/>
      <c r="K355" s="124"/>
    </row>
    <row r="356" ht="15.75" customHeight="1">
      <c r="E356" s="124"/>
      <c r="F356" s="124"/>
      <c r="G356" s="124"/>
      <c r="H356" s="124"/>
      <c r="I356" s="124"/>
      <c r="J356" s="124"/>
      <c r="K356" s="124"/>
    </row>
    <row r="357" ht="15.75" customHeight="1">
      <c r="E357" s="124"/>
      <c r="F357" s="124"/>
      <c r="G357" s="124"/>
      <c r="H357" s="124"/>
      <c r="I357" s="124"/>
      <c r="J357" s="124"/>
      <c r="K357" s="124"/>
    </row>
    <row r="358" ht="15.75" customHeight="1">
      <c r="E358" s="124"/>
      <c r="F358" s="124"/>
      <c r="G358" s="124"/>
      <c r="H358" s="124"/>
      <c r="I358" s="124"/>
      <c r="J358" s="124"/>
      <c r="K358" s="124"/>
    </row>
    <row r="359" ht="15.75" customHeight="1">
      <c r="E359" s="124"/>
      <c r="F359" s="124"/>
      <c r="G359" s="124"/>
      <c r="H359" s="124"/>
      <c r="I359" s="124"/>
      <c r="J359" s="124"/>
      <c r="K359" s="124"/>
    </row>
    <row r="360" ht="15.75" customHeight="1">
      <c r="E360" s="124"/>
      <c r="F360" s="124"/>
      <c r="G360" s="124"/>
      <c r="H360" s="124"/>
      <c r="I360" s="124"/>
      <c r="J360" s="124"/>
      <c r="K360" s="124"/>
    </row>
    <row r="361" ht="15.75" customHeight="1">
      <c r="E361" s="124"/>
      <c r="F361" s="124"/>
      <c r="G361" s="124"/>
      <c r="H361" s="124"/>
      <c r="I361" s="124"/>
      <c r="J361" s="124"/>
      <c r="K361" s="124"/>
    </row>
    <row r="362" ht="15.75" customHeight="1">
      <c r="E362" s="124"/>
      <c r="F362" s="124"/>
      <c r="G362" s="124"/>
      <c r="H362" s="124"/>
      <c r="I362" s="124"/>
      <c r="J362" s="124"/>
      <c r="K362" s="124"/>
    </row>
    <row r="363" ht="15.75" customHeight="1">
      <c r="E363" s="124"/>
      <c r="F363" s="124"/>
      <c r="G363" s="124"/>
      <c r="H363" s="124"/>
      <c r="I363" s="124"/>
      <c r="J363" s="124"/>
      <c r="K363" s="124"/>
    </row>
    <row r="364" ht="15.75" customHeight="1">
      <c r="E364" s="124"/>
      <c r="F364" s="124"/>
      <c r="G364" s="124"/>
      <c r="H364" s="124"/>
      <c r="I364" s="124"/>
      <c r="J364" s="124"/>
      <c r="K364" s="124"/>
    </row>
    <row r="365" ht="15.75" customHeight="1">
      <c r="E365" s="124"/>
      <c r="F365" s="124"/>
      <c r="G365" s="124"/>
      <c r="H365" s="124"/>
      <c r="I365" s="124"/>
      <c r="J365" s="124"/>
      <c r="K365" s="124"/>
    </row>
    <row r="366" ht="15.75" customHeight="1">
      <c r="E366" s="124"/>
      <c r="F366" s="124"/>
      <c r="G366" s="124"/>
      <c r="H366" s="124"/>
      <c r="I366" s="124"/>
      <c r="J366" s="124"/>
      <c r="K366" s="124"/>
    </row>
    <row r="367" ht="15.75" customHeight="1">
      <c r="E367" s="124"/>
      <c r="F367" s="124"/>
      <c r="G367" s="124"/>
      <c r="H367" s="124"/>
      <c r="I367" s="124"/>
      <c r="J367" s="124"/>
      <c r="K367" s="124"/>
    </row>
    <row r="368" ht="15.75" customHeight="1">
      <c r="E368" s="124"/>
      <c r="F368" s="124"/>
      <c r="G368" s="124"/>
      <c r="H368" s="124"/>
      <c r="I368" s="124"/>
      <c r="J368" s="124"/>
      <c r="K368" s="124"/>
    </row>
    <row r="369" ht="15.75" customHeight="1">
      <c r="E369" s="124"/>
      <c r="F369" s="124"/>
      <c r="G369" s="124"/>
      <c r="H369" s="124"/>
      <c r="I369" s="124"/>
      <c r="J369" s="124"/>
      <c r="K369" s="124"/>
    </row>
    <row r="370" ht="15.75" customHeight="1">
      <c r="E370" s="124"/>
      <c r="F370" s="124"/>
      <c r="G370" s="124"/>
      <c r="H370" s="124"/>
      <c r="I370" s="124"/>
      <c r="J370" s="124"/>
      <c r="K370" s="124"/>
    </row>
    <row r="371" ht="15.75" customHeight="1">
      <c r="E371" s="124"/>
      <c r="F371" s="124"/>
      <c r="G371" s="124"/>
      <c r="H371" s="124"/>
      <c r="I371" s="124"/>
      <c r="J371" s="124"/>
      <c r="K371" s="124"/>
    </row>
    <row r="372" ht="15.75" customHeight="1">
      <c r="E372" s="124"/>
      <c r="F372" s="124"/>
      <c r="G372" s="124"/>
      <c r="H372" s="124"/>
      <c r="I372" s="124"/>
      <c r="J372" s="124"/>
      <c r="K372" s="124"/>
    </row>
    <row r="373" ht="15.75" customHeight="1">
      <c r="E373" s="124"/>
      <c r="F373" s="124"/>
      <c r="G373" s="124"/>
      <c r="H373" s="124"/>
      <c r="I373" s="124"/>
      <c r="J373" s="124"/>
      <c r="K373" s="124"/>
    </row>
    <row r="374" ht="15.75" customHeight="1">
      <c r="E374" s="124"/>
      <c r="F374" s="124"/>
      <c r="G374" s="124"/>
      <c r="H374" s="124"/>
      <c r="I374" s="124"/>
      <c r="J374" s="124"/>
      <c r="K374" s="124"/>
    </row>
    <row r="375" ht="15.75" customHeight="1">
      <c r="E375" s="124"/>
      <c r="F375" s="124"/>
      <c r="G375" s="124"/>
      <c r="H375" s="124"/>
      <c r="I375" s="124"/>
      <c r="J375" s="124"/>
      <c r="K375" s="124"/>
    </row>
    <row r="376" ht="15.75" customHeight="1">
      <c r="E376" s="124"/>
      <c r="F376" s="124"/>
      <c r="G376" s="124"/>
      <c r="H376" s="124"/>
      <c r="I376" s="124"/>
      <c r="J376" s="124"/>
      <c r="K376" s="124"/>
    </row>
    <row r="377" ht="15.75" customHeight="1">
      <c r="E377" s="124"/>
      <c r="F377" s="124"/>
      <c r="G377" s="124"/>
      <c r="H377" s="124"/>
      <c r="I377" s="124"/>
      <c r="J377" s="124"/>
      <c r="K377" s="124"/>
    </row>
    <row r="378" ht="15.75" customHeight="1">
      <c r="E378" s="124"/>
      <c r="F378" s="124"/>
      <c r="G378" s="124"/>
      <c r="H378" s="124"/>
      <c r="I378" s="124"/>
      <c r="J378" s="124"/>
      <c r="K378" s="124"/>
    </row>
    <row r="379" ht="15.75" customHeight="1">
      <c r="E379" s="124"/>
      <c r="F379" s="124"/>
      <c r="G379" s="124"/>
      <c r="H379" s="124"/>
      <c r="I379" s="124"/>
      <c r="J379" s="124"/>
      <c r="K379" s="124"/>
    </row>
    <row r="380" ht="15.75" customHeight="1">
      <c r="E380" s="124"/>
      <c r="F380" s="124"/>
      <c r="G380" s="124"/>
      <c r="H380" s="124"/>
      <c r="I380" s="124"/>
      <c r="J380" s="124"/>
      <c r="K380" s="124"/>
    </row>
    <row r="381" ht="15.75" customHeight="1">
      <c r="E381" s="124"/>
      <c r="F381" s="124"/>
      <c r="G381" s="124"/>
      <c r="H381" s="124"/>
      <c r="I381" s="124"/>
      <c r="J381" s="124"/>
      <c r="K381" s="124"/>
    </row>
    <row r="382" ht="15.75" customHeight="1">
      <c r="E382" s="124"/>
      <c r="F382" s="124"/>
      <c r="G382" s="124"/>
      <c r="H382" s="124"/>
      <c r="I382" s="124"/>
      <c r="J382" s="124"/>
      <c r="K382" s="124"/>
    </row>
    <row r="383" ht="15.75" customHeight="1">
      <c r="E383" s="124"/>
      <c r="F383" s="124"/>
      <c r="G383" s="124"/>
      <c r="H383" s="124"/>
      <c r="I383" s="124"/>
      <c r="J383" s="124"/>
      <c r="K383" s="124"/>
    </row>
    <row r="384" ht="15.75" customHeight="1">
      <c r="E384" s="124"/>
      <c r="F384" s="124"/>
      <c r="G384" s="124"/>
      <c r="H384" s="124"/>
      <c r="I384" s="124"/>
      <c r="J384" s="124"/>
      <c r="K384" s="124"/>
    </row>
    <row r="385" ht="15.75" customHeight="1">
      <c r="E385" s="124"/>
      <c r="F385" s="124"/>
      <c r="G385" s="124"/>
      <c r="H385" s="124"/>
      <c r="I385" s="124"/>
      <c r="J385" s="124"/>
      <c r="K385" s="124"/>
    </row>
    <row r="386" ht="15.75" customHeight="1">
      <c r="E386" s="124"/>
      <c r="F386" s="124"/>
      <c r="G386" s="124"/>
      <c r="H386" s="124"/>
      <c r="I386" s="124"/>
      <c r="J386" s="124"/>
      <c r="K386" s="124"/>
    </row>
    <row r="387" ht="15.75" customHeight="1">
      <c r="E387" s="124"/>
      <c r="F387" s="124"/>
      <c r="G387" s="124"/>
      <c r="H387" s="124"/>
      <c r="I387" s="124"/>
      <c r="J387" s="124"/>
      <c r="K387" s="124"/>
    </row>
    <row r="388" ht="15.75" customHeight="1">
      <c r="E388" s="124"/>
      <c r="F388" s="124"/>
      <c r="G388" s="124"/>
      <c r="H388" s="124"/>
      <c r="I388" s="124"/>
      <c r="J388" s="124"/>
      <c r="K388" s="124"/>
    </row>
    <row r="389" ht="15.75" customHeight="1">
      <c r="E389" s="124"/>
      <c r="F389" s="124"/>
      <c r="G389" s="124"/>
      <c r="H389" s="124"/>
      <c r="I389" s="124"/>
      <c r="J389" s="124"/>
      <c r="K389" s="124"/>
    </row>
    <row r="390" ht="15.75" customHeight="1">
      <c r="E390" s="124"/>
      <c r="F390" s="124"/>
      <c r="G390" s="124"/>
      <c r="H390" s="124"/>
      <c r="I390" s="124"/>
      <c r="J390" s="124"/>
      <c r="K390" s="124"/>
    </row>
    <row r="391" ht="15.75" customHeight="1">
      <c r="E391" s="124"/>
      <c r="F391" s="124"/>
      <c r="G391" s="124"/>
      <c r="H391" s="124"/>
      <c r="I391" s="124"/>
      <c r="J391" s="124"/>
      <c r="K391" s="124"/>
    </row>
    <row r="392" ht="15.75" customHeight="1">
      <c r="E392" s="124"/>
      <c r="F392" s="124"/>
      <c r="G392" s="124"/>
      <c r="H392" s="124"/>
      <c r="I392" s="124"/>
      <c r="J392" s="124"/>
      <c r="K392" s="124"/>
    </row>
    <row r="393" ht="15.75" customHeight="1">
      <c r="E393" s="124"/>
      <c r="F393" s="124"/>
      <c r="G393" s="124"/>
      <c r="H393" s="124"/>
      <c r="I393" s="124"/>
      <c r="J393" s="124"/>
      <c r="K393" s="124"/>
    </row>
    <row r="394" ht="15.75" customHeight="1">
      <c r="E394" s="124"/>
      <c r="F394" s="124"/>
      <c r="G394" s="124"/>
      <c r="H394" s="124"/>
      <c r="I394" s="124"/>
      <c r="J394" s="124"/>
      <c r="K394" s="124"/>
    </row>
    <row r="395" ht="15.75" customHeight="1">
      <c r="E395" s="124"/>
      <c r="F395" s="124"/>
      <c r="G395" s="124"/>
      <c r="H395" s="124"/>
      <c r="I395" s="124"/>
      <c r="J395" s="124"/>
      <c r="K395" s="124"/>
    </row>
    <row r="396" ht="15.75" customHeight="1">
      <c r="E396" s="124"/>
      <c r="F396" s="124"/>
      <c r="G396" s="124"/>
      <c r="H396" s="124"/>
      <c r="I396" s="124"/>
      <c r="J396" s="124"/>
      <c r="K396" s="124"/>
    </row>
    <row r="397" ht="15.75" customHeight="1">
      <c r="E397" s="124"/>
      <c r="F397" s="124"/>
      <c r="G397" s="124"/>
      <c r="H397" s="124"/>
      <c r="I397" s="124"/>
      <c r="J397" s="124"/>
      <c r="K397" s="124"/>
    </row>
    <row r="398" ht="15.75" customHeight="1">
      <c r="E398" s="124"/>
      <c r="F398" s="124"/>
      <c r="G398" s="124"/>
      <c r="H398" s="124"/>
      <c r="I398" s="124"/>
      <c r="J398" s="124"/>
      <c r="K398" s="124"/>
    </row>
    <row r="399" ht="15.75" customHeight="1">
      <c r="E399" s="124"/>
      <c r="F399" s="124"/>
      <c r="G399" s="124"/>
      <c r="H399" s="124"/>
      <c r="I399" s="124"/>
      <c r="J399" s="124"/>
      <c r="K399" s="124"/>
    </row>
    <row r="400" ht="15.75" customHeight="1">
      <c r="E400" s="124"/>
      <c r="F400" s="124"/>
      <c r="G400" s="124"/>
      <c r="H400" s="124"/>
      <c r="I400" s="124"/>
      <c r="J400" s="124"/>
      <c r="K400" s="124"/>
    </row>
    <row r="401" ht="15.75" customHeight="1">
      <c r="E401" s="124"/>
      <c r="F401" s="124"/>
      <c r="G401" s="124"/>
      <c r="H401" s="124"/>
      <c r="I401" s="124"/>
      <c r="J401" s="124"/>
      <c r="K401" s="124"/>
    </row>
    <row r="402" ht="15.75" customHeight="1">
      <c r="E402" s="124"/>
      <c r="F402" s="124"/>
      <c r="G402" s="124"/>
      <c r="H402" s="124"/>
      <c r="I402" s="124"/>
      <c r="J402" s="124"/>
      <c r="K402" s="124"/>
    </row>
    <row r="403" ht="15.75" customHeight="1">
      <c r="E403" s="124"/>
      <c r="F403" s="124"/>
      <c r="G403" s="124"/>
      <c r="H403" s="124"/>
      <c r="I403" s="124"/>
      <c r="J403" s="124"/>
      <c r="K403" s="124"/>
    </row>
    <row r="404" ht="15.75" customHeight="1">
      <c r="E404" s="124"/>
      <c r="F404" s="124"/>
      <c r="G404" s="124"/>
      <c r="H404" s="124"/>
      <c r="I404" s="124"/>
      <c r="J404" s="124"/>
      <c r="K404" s="124"/>
    </row>
    <row r="405" ht="15.75" customHeight="1">
      <c r="E405" s="124"/>
      <c r="F405" s="124"/>
      <c r="G405" s="124"/>
      <c r="H405" s="124"/>
      <c r="I405" s="124"/>
      <c r="J405" s="124"/>
      <c r="K405" s="124"/>
    </row>
    <row r="406" ht="15.75" customHeight="1">
      <c r="E406" s="124"/>
      <c r="F406" s="124"/>
      <c r="G406" s="124"/>
      <c r="H406" s="124"/>
      <c r="I406" s="124"/>
      <c r="J406" s="124"/>
      <c r="K406" s="124"/>
    </row>
    <row r="407" ht="15.75" customHeight="1">
      <c r="E407" s="124"/>
      <c r="F407" s="124"/>
      <c r="G407" s="124"/>
      <c r="H407" s="124"/>
      <c r="I407" s="124"/>
      <c r="J407" s="124"/>
      <c r="K407" s="124"/>
    </row>
    <row r="408" ht="15.75" customHeight="1">
      <c r="E408" s="124"/>
      <c r="F408" s="124"/>
      <c r="G408" s="124"/>
      <c r="H408" s="124"/>
      <c r="I408" s="124"/>
      <c r="J408" s="124"/>
      <c r="K408" s="124"/>
    </row>
    <row r="409" ht="15.75" customHeight="1">
      <c r="E409" s="124"/>
      <c r="F409" s="124"/>
      <c r="G409" s="124"/>
      <c r="H409" s="124"/>
      <c r="I409" s="124"/>
      <c r="J409" s="124"/>
      <c r="K409" s="124"/>
    </row>
    <row r="410" ht="15.75" customHeight="1">
      <c r="E410" s="124"/>
      <c r="F410" s="124"/>
      <c r="G410" s="124"/>
      <c r="H410" s="124"/>
      <c r="I410" s="124"/>
      <c r="J410" s="124"/>
      <c r="K410" s="124"/>
    </row>
    <row r="411" ht="15.75" customHeight="1">
      <c r="E411" s="124"/>
      <c r="F411" s="124"/>
      <c r="G411" s="124"/>
      <c r="H411" s="124"/>
      <c r="I411" s="124"/>
      <c r="J411" s="124"/>
      <c r="K411" s="124"/>
    </row>
    <row r="412" ht="15.75" customHeight="1">
      <c r="E412" s="124"/>
      <c r="F412" s="124"/>
      <c r="G412" s="124"/>
      <c r="H412" s="124"/>
      <c r="I412" s="124"/>
      <c r="J412" s="124"/>
      <c r="K412" s="124"/>
    </row>
    <row r="413" ht="15.75" customHeight="1">
      <c r="E413" s="124"/>
      <c r="F413" s="124"/>
      <c r="G413" s="124"/>
      <c r="H413" s="124"/>
      <c r="I413" s="124"/>
      <c r="J413" s="124"/>
      <c r="K413" s="124"/>
    </row>
    <row r="414" ht="15.75" customHeight="1">
      <c r="E414" s="124"/>
      <c r="F414" s="124"/>
      <c r="G414" s="124"/>
      <c r="H414" s="124"/>
      <c r="I414" s="124"/>
      <c r="J414" s="124"/>
      <c r="K414" s="124"/>
    </row>
    <row r="415" ht="15.75" customHeight="1">
      <c r="E415" s="124"/>
      <c r="F415" s="124"/>
      <c r="G415" s="124"/>
      <c r="H415" s="124"/>
      <c r="I415" s="124"/>
      <c r="J415" s="124"/>
      <c r="K415" s="124"/>
    </row>
    <row r="416" ht="15.75" customHeight="1">
      <c r="E416" s="124"/>
      <c r="F416" s="124"/>
      <c r="G416" s="124"/>
      <c r="H416" s="124"/>
      <c r="I416" s="124"/>
      <c r="J416" s="124"/>
      <c r="K416" s="124"/>
    </row>
    <row r="417" ht="15.75" customHeight="1">
      <c r="E417" s="124"/>
      <c r="F417" s="124"/>
      <c r="G417" s="124"/>
      <c r="H417" s="124"/>
      <c r="I417" s="124"/>
      <c r="J417" s="124"/>
      <c r="K417" s="124"/>
    </row>
    <row r="418" ht="15.75" customHeight="1">
      <c r="E418" s="124"/>
      <c r="F418" s="124"/>
      <c r="G418" s="124"/>
      <c r="H418" s="124"/>
      <c r="I418" s="124"/>
      <c r="J418" s="124"/>
      <c r="K418" s="124"/>
    </row>
    <row r="419" ht="15.75" customHeight="1">
      <c r="E419" s="124"/>
      <c r="F419" s="124"/>
      <c r="G419" s="124"/>
      <c r="H419" s="124"/>
      <c r="I419" s="124"/>
      <c r="J419" s="124"/>
      <c r="K419" s="124"/>
    </row>
    <row r="420" ht="15.75" customHeight="1">
      <c r="E420" s="124"/>
      <c r="F420" s="124"/>
      <c r="G420" s="124"/>
      <c r="H420" s="124"/>
      <c r="I420" s="124"/>
      <c r="J420" s="124"/>
      <c r="K420" s="124"/>
    </row>
    <row r="421" ht="15.75" customHeight="1">
      <c r="E421" s="124"/>
      <c r="F421" s="124"/>
      <c r="G421" s="124"/>
      <c r="H421" s="124"/>
      <c r="I421" s="124"/>
      <c r="J421" s="124"/>
      <c r="K421" s="124"/>
    </row>
    <row r="422" ht="15.75" customHeight="1">
      <c r="E422" s="124"/>
      <c r="F422" s="124"/>
      <c r="G422" s="124"/>
      <c r="H422" s="124"/>
      <c r="I422" s="124"/>
      <c r="J422" s="124"/>
      <c r="K422" s="124"/>
    </row>
    <row r="423" ht="15.75" customHeight="1">
      <c r="E423" s="124"/>
      <c r="F423" s="124"/>
      <c r="G423" s="124"/>
      <c r="H423" s="124"/>
      <c r="I423" s="124"/>
      <c r="J423" s="124"/>
      <c r="K423" s="124"/>
    </row>
    <row r="424" ht="15.75" customHeight="1">
      <c r="E424" s="124"/>
      <c r="F424" s="124"/>
      <c r="G424" s="124"/>
      <c r="H424" s="124"/>
      <c r="I424" s="124"/>
      <c r="J424" s="124"/>
      <c r="K424" s="124"/>
    </row>
    <row r="425" ht="15.75" customHeight="1">
      <c r="E425" s="124"/>
      <c r="F425" s="124"/>
      <c r="G425" s="124"/>
      <c r="H425" s="124"/>
      <c r="I425" s="124"/>
      <c r="J425" s="124"/>
      <c r="K425" s="124"/>
    </row>
    <row r="426" ht="15.75" customHeight="1">
      <c r="E426" s="124"/>
      <c r="F426" s="124"/>
      <c r="G426" s="124"/>
      <c r="H426" s="124"/>
      <c r="I426" s="124"/>
      <c r="J426" s="124"/>
      <c r="K426" s="124"/>
    </row>
    <row r="427" ht="15.75" customHeight="1">
      <c r="E427" s="124"/>
      <c r="F427" s="124"/>
      <c r="G427" s="124"/>
      <c r="H427" s="124"/>
      <c r="I427" s="124"/>
      <c r="J427" s="124"/>
      <c r="K427" s="124"/>
    </row>
    <row r="428" ht="15.75" customHeight="1">
      <c r="E428" s="124"/>
      <c r="F428" s="124"/>
      <c r="G428" s="124"/>
      <c r="H428" s="124"/>
      <c r="I428" s="124"/>
      <c r="J428" s="124"/>
      <c r="K428" s="124"/>
    </row>
    <row r="429" ht="15.75" customHeight="1">
      <c r="E429" s="124"/>
      <c r="F429" s="124"/>
      <c r="G429" s="124"/>
      <c r="H429" s="124"/>
      <c r="I429" s="124"/>
      <c r="J429" s="124"/>
      <c r="K429" s="124"/>
    </row>
    <row r="430" ht="15.75" customHeight="1">
      <c r="E430" s="124"/>
      <c r="F430" s="124"/>
      <c r="G430" s="124"/>
      <c r="H430" s="124"/>
      <c r="I430" s="124"/>
      <c r="J430" s="124"/>
      <c r="K430" s="124"/>
    </row>
    <row r="431" ht="15.75" customHeight="1">
      <c r="E431" s="124"/>
      <c r="F431" s="124"/>
      <c r="G431" s="124"/>
      <c r="H431" s="124"/>
      <c r="I431" s="124"/>
      <c r="J431" s="124"/>
      <c r="K431" s="124"/>
    </row>
    <row r="432" ht="15.75" customHeight="1">
      <c r="E432" s="124"/>
      <c r="F432" s="124"/>
      <c r="G432" s="124"/>
      <c r="H432" s="124"/>
      <c r="I432" s="124"/>
      <c r="J432" s="124"/>
      <c r="K432" s="124"/>
    </row>
    <row r="433" ht="15.75" customHeight="1">
      <c r="E433" s="124"/>
      <c r="F433" s="124"/>
      <c r="G433" s="124"/>
      <c r="H433" s="124"/>
      <c r="I433" s="124"/>
      <c r="J433" s="124"/>
      <c r="K433" s="124"/>
    </row>
    <row r="434" ht="15.75" customHeight="1">
      <c r="E434" s="124"/>
      <c r="F434" s="124"/>
      <c r="G434" s="124"/>
      <c r="H434" s="124"/>
      <c r="I434" s="124"/>
      <c r="J434" s="124"/>
      <c r="K434" s="124"/>
    </row>
    <row r="435" ht="15.75" customHeight="1">
      <c r="E435" s="124"/>
      <c r="F435" s="124"/>
      <c r="G435" s="124"/>
      <c r="H435" s="124"/>
      <c r="I435" s="124"/>
      <c r="J435" s="124"/>
      <c r="K435" s="124"/>
    </row>
    <row r="436" ht="15.75" customHeight="1">
      <c r="E436" s="124"/>
      <c r="F436" s="124"/>
      <c r="G436" s="124"/>
      <c r="H436" s="124"/>
      <c r="I436" s="124"/>
      <c r="J436" s="124"/>
      <c r="K436" s="124"/>
    </row>
    <row r="437" ht="15.75" customHeight="1">
      <c r="E437" s="124"/>
      <c r="F437" s="124"/>
      <c r="G437" s="124"/>
      <c r="H437" s="124"/>
      <c r="I437" s="124"/>
      <c r="J437" s="124"/>
      <c r="K437" s="124"/>
    </row>
    <row r="438" ht="15.75" customHeight="1">
      <c r="E438" s="124"/>
      <c r="F438" s="124"/>
      <c r="G438" s="124"/>
      <c r="H438" s="124"/>
      <c r="I438" s="124"/>
      <c r="J438" s="124"/>
      <c r="K438" s="124"/>
    </row>
    <row r="439" ht="15.75" customHeight="1">
      <c r="E439" s="124"/>
      <c r="F439" s="124"/>
      <c r="G439" s="124"/>
      <c r="H439" s="124"/>
      <c r="I439" s="124"/>
      <c r="J439" s="124"/>
      <c r="K439" s="124"/>
    </row>
    <row r="440" ht="15.75" customHeight="1">
      <c r="E440" s="124"/>
      <c r="F440" s="124"/>
      <c r="G440" s="124"/>
      <c r="H440" s="124"/>
      <c r="I440" s="124"/>
      <c r="J440" s="124"/>
      <c r="K440" s="124"/>
    </row>
    <row r="441" ht="15.75" customHeight="1">
      <c r="E441" s="124"/>
      <c r="F441" s="124"/>
      <c r="G441" s="124"/>
      <c r="H441" s="124"/>
      <c r="I441" s="124"/>
      <c r="J441" s="124"/>
      <c r="K441" s="124"/>
    </row>
    <row r="442" ht="15.75" customHeight="1">
      <c r="E442" s="124"/>
      <c r="F442" s="124"/>
      <c r="G442" s="124"/>
      <c r="H442" s="124"/>
      <c r="I442" s="124"/>
      <c r="J442" s="124"/>
      <c r="K442" s="124"/>
    </row>
    <row r="443" ht="15.75" customHeight="1">
      <c r="E443" s="124"/>
      <c r="F443" s="124"/>
      <c r="G443" s="124"/>
      <c r="H443" s="124"/>
      <c r="I443" s="124"/>
      <c r="J443" s="124"/>
      <c r="K443" s="124"/>
    </row>
    <row r="444" ht="15.75" customHeight="1">
      <c r="E444" s="124"/>
      <c r="F444" s="124"/>
      <c r="G444" s="124"/>
      <c r="H444" s="124"/>
      <c r="I444" s="124"/>
      <c r="J444" s="124"/>
      <c r="K444" s="124"/>
    </row>
    <row r="445" ht="15.75" customHeight="1">
      <c r="E445" s="124"/>
      <c r="F445" s="124"/>
      <c r="G445" s="124"/>
      <c r="H445" s="124"/>
      <c r="I445" s="124"/>
      <c r="J445" s="124"/>
      <c r="K445" s="124"/>
    </row>
    <row r="446" ht="15.75" customHeight="1">
      <c r="E446" s="124"/>
      <c r="F446" s="124"/>
      <c r="G446" s="124"/>
      <c r="H446" s="124"/>
      <c r="I446" s="124"/>
      <c r="J446" s="124"/>
      <c r="K446" s="124"/>
    </row>
    <row r="447" ht="15.75" customHeight="1">
      <c r="E447" s="124"/>
      <c r="F447" s="124"/>
      <c r="G447" s="124"/>
      <c r="H447" s="124"/>
      <c r="I447" s="124"/>
      <c r="J447" s="124"/>
      <c r="K447" s="124"/>
    </row>
    <row r="448" ht="15.75" customHeight="1">
      <c r="E448" s="124"/>
      <c r="F448" s="124"/>
      <c r="G448" s="124"/>
      <c r="H448" s="124"/>
      <c r="I448" s="124"/>
      <c r="J448" s="124"/>
      <c r="K448" s="124"/>
    </row>
    <row r="449" ht="15.75" customHeight="1">
      <c r="E449" s="124"/>
      <c r="F449" s="124"/>
      <c r="G449" s="124"/>
      <c r="H449" s="124"/>
      <c r="I449" s="124"/>
      <c r="J449" s="124"/>
      <c r="K449" s="124"/>
    </row>
    <row r="450" ht="15.75" customHeight="1">
      <c r="E450" s="124"/>
      <c r="F450" s="124"/>
      <c r="G450" s="124"/>
      <c r="H450" s="124"/>
      <c r="I450" s="124"/>
      <c r="J450" s="124"/>
      <c r="K450" s="124"/>
    </row>
    <row r="451" ht="15.75" customHeight="1">
      <c r="E451" s="124"/>
      <c r="F451" s="124"/>
      <c r="G451" s="124"/>
      <c r="H451" s="124"/>
      <c r="I451" s="124"/>
      <c r="J451" s="124"/>
      <c r="K451" s="124"/>
    </row>
    <row r="452" ht="15.75" customHeight="1">
      <c r="E452" s="124"/>
      <c r="F452" s="124"/>
      <c r="G452" s="124"/>
      <c r="H452" s="124"/>
      <c r="I452" s="124"/>
      <c r="J452" s="124"/>
      <c r="K452" s="124"/>
    </row>
    <row r="453" ht="15.75" customHeight="1">
      <c r="E453" s="124"/>
      <c r="F453" s="124"/>
      <c r="G453" s="124"/>
      <c r="H453" s="124"/>
      <c r="I453" s="124"/>
      <c r="J453" s="124"/>
      <c r="K453" s="124"/>
    </row>
    <row r="454" ht="15.75" customHeight="1">
      <c r="E454" s="124"/>
      <c r="F454" s="124"/>
      <c r="G454" s="124"/>
      <c r="H454" s="124"/>
      <c r="I454" s="124"/>
      <c r="J454" s="124"/>
      <c r="K454" s="124"/>
    </row>
    <row r="455" ht="15.75" customHeight="1">
      <c r="E455" s="124"/>
      <c r="F455" s="124"/>
      <c r="G455" s="124"/>
      <c r="H455" s="124"/>
      <c r="I455" s="124"/>
      <c r="J455" s="124"/>
      <c r="K455" s="124"/>
    </row>
    <row r="456" ht="15.75" customHeight="1">
      <c r="E456" s="124"/>
      <c r="F456" s="124"/>
      <c r="G456" s="124"/>
      <c r="H456" s="124"/>
      <c r="I456" s="124"/>
      <c r="J456" s="124"/>
      <c r="K456" s="124"/>
    </row>
    <row r="457" ht="15.75" customHeight="1">
      <c r="E457" s="124"/>
      <c r="F457" s="124"/>
      <c r="G457" s="124"/>
      <c r="H457" s="124"/>
      <c r="I457" s="124"/>
      <c r="J457" s="124"/>
      <c r="K457" s="124"/>
    </row>
    <row r="458" ht="15.75" customHeight="1">
      <c r="E458" s="124"/>
      <c r="F458" s="124"/>
      <c r="G458" s="124"/>
      <c r="H458" s="124"/>
      <c r="I458" s="124"/>
      <c r="J458" s="124"/>
      <c r="K458" s="124"/>
    </row>
    <row r="459" ht="15.75" customHeight="1">
      <c r="E459" s="124"/>
      <c r="F459" s="124"/>
      <c r="G459" s="124"/>
      <c r="H459" s="124"/>
      <c r="I459" s="124"/>
      <c r="J459" s="124"/>
      <c r="K459" s="124"/>
    </row>
    <row r="460" ht="15.75" customHeight="1">
      <c r="E460" s="124"/>
      <c r="F460" s="124"/>
      <c r="G460" s="124"/>
      <c r="H460" s="124"/>
      <c r="I460" s="124"/>
      <c r="J460" s="124"/>
      <c r="K460" s="124"/>
    </row>
    <row r="461" ht="15.75" customHeight="1">
      <c r="E461" s="124"/>
      <c r="F461" s="124"/>
      <c r="G461" s="124"/>
      <c r="H461" s="124"/>
      <c r="I461" s="124"/>
      <c r="J461" s="124"/>
      <c r="K461" s="124"/>
    </row>
    <row r="462" ht="15.75" customHeight="1">
      <c r="E462" s="124"/>
      <c r="F462" s="124"/>
      <c r="G462" s="124"/>
      <c r="H462" s="124"/>
      <c r="I462" s="124"/>
      <c r="J462" s="124"/>
      <c r="K462" s="124"/>
    </row>
    <row r="463" ht="15.75" customHeight="1">
      <c r="E463" s="124"/>
      <c r="F463" s="124"/>
      <c r="G463" s="124"/>
      <c r="H463" s="124"/>
      <c r="I463" s="124"/>
      <c r="J463" s="124"/>
      <c r="K463" s="124"/>
    </row>
    <row r="464" ht="15.75" customHeight="1">
      <c r="E464" s="124"/>
      <c r="F464" s="124"/>
      <c r="G464" s="124"/>
      <c r="H464" s="124"/>
      <c r="I464" s="124"/>
      <c r="J464" s="124"/>
      <c r="K464" s="124"/>
    </row>
    <row r="465" ht="15.75" customHeight="1">
      <c r="E465" s="124"/>
      <c r="F465" s="124"/>
      <c r="G465" s="124"/>
      <c r="H465" s="124"/>
      <c r="I465" s="124"/>
      <c r="J465" s="124"/>
      <c r="K465" s="124"/>
    </row>
    <row r="466" ht="15.75" customHeight="1">
      <c r="E466" s="124"/>
      <c r="F466" s="124"/>
      <c r="G466" s="124"/>
      <c r="H466" s="124"/>
      <c r="I466" s="124"/>
      <c r="J466" s="124"/>
      <c r="K466" s="124"/>
    </row>
    <row r="467" ht="15.75" customHeight="1">
      <c r="E467" s="124"/>
      <c r="F467" s="124"/>
      <c r="G467" s="124"/>
      <c r="H467" s="124"/>
      <c r="I467" s="124"/>
      <c r="J467" s="124"/>
      <c r="K467" s="124"/>
    </row>
    <row r="468" ht="15.75" customHeight="1">
      <c r="E468" s="124"/>
      <c r="F468" s="124"/>
      <c r="G468" s="124"/>
      <c r="H468" s="124"/>
      <c r="I468" s="124"/>
      <c r="J468" s="124"/>
      <c r="K468" s="124"/>
    </row>
    <row r="469" ht="15.75" customHeight="1">
      <c r="E469" s="124"/>
      <c r="F469" s="124"/>
      <c r="G469" s="124"/>
      <c r="H469" s="124"/>
      <c r="I469" s="124"/>
      <c r="J469" s="124"/>
      <c r="K469" s="124"/>
    </row>
    <row r="470" ht="15.75" customHeight="1">
      <c r="E470" s="124"/>
      <c r="F470" s="124"/>
      <c r="G470" s="124"/>
      <c r="H470" s="124"/>
      <c r="I470" s="124"/>
      <c r="J470" s="124"/>
      <c r="K470" s="124"/>
    </row>
    <row r="471" ht="15.75" customHeight="1">
      <c r="E471" s="124"/>
      <c r="F471" s="124"/>
      <c r="G471" s="124"/>
      <c r="H471" s="124"/>
      <c r="I471" s="124"/>
      <c r="J471" s="124"/>
      <c r="K471" s="124"/>
    </row>
    <row r="472" ht="15.75" customHeight="1">
      <c r="E472" s="124"/>
      <c r="F472" s="124"/>
      <c r="G472" s="124"/>
      <c r="H472" s="124"/>
      <c r="I472" s="124"/>
      <c r="J472" s="124"/>
      <c r="K472" s="124"/>
    </row>
    <row r="473" ht="15.75" customHeight="1">
      <c r="E473" s="124"/>
      <c r="F473" s="124"/>
      <c r="G473" s="124"/>
      <c r="H473" s="124"/>
      <c r="I473" s="124"/>
      <c r="J473" s="124"/>
      <c r="K473" s="124"/>
    </row>
    <row r="474" ht="15.75" customHeight="1">
      <c r="E474" s="124"/>
      <c r="F474" s="124"/>
      <c r="G474" s="124"/>
      <c r="H474" s="124"/>
      <c r="I474" s="124"/>
      <c r="J474" s="124"/>
      <c r="K474" s="124"/>
    </row>
    <row r="475" ht="15.75" customHeight="1">
      <c r="E475" s="124"/>
      <c r="F475" s="124"/>
      <c r="G475" s="124"/>
      <c r="H475" s="124"/>
      <c r="I475" s="124"/>
      <c r="J475" s="124"/>
      <c r="K475" s="124"/>
    </row>
    <row r="476" ht="15.75" customHeight="1">
      <c r="E476" s="124"/>
      <c r="F476" s="124"/>
      <c r="G476" s="124"/>
      <c r="H476" s="124"/>
      <c r="I476" s="124"/>
      <c r="J476" s="124"/>
      <c r="K476" s="124"/>
    </row>
    <row r="477" ht="15.75" customHeight="1">
      <c r="E477" s="124"/>
      <c r="F477" s="124"/>
      <c r="G477" s="124"/>
      <c r="H477" s="124"/>
      <c r="I477" s="124"/>
      <c r="J477" s="124"/>
      <c r="K477" s="124"/>
    </row>
    <row r="478" ht="15.75" customHeight="1">
      <c r="E478" s="124"/>
      <c r="F478" s="124"/>
      <c r="G478" s="124"/>
      <c r="H478" s="124"/>
      <c r="I478" s="124"/>
      <c r="J478" s="124"/>
      <c r="K478" s="124"/>
    </row>
    <row r="479" ht="15.75" customHeight="1">
      <c r="E479" s="124"/>
      <c r="F479" s="124"/>
      <c r="G479" s="124"/>
      <c r="H479" s="124"/>
      <c r="I479" s="124"/>
      <c r="J479" s="124"/>
      <c r="K479" s="124"/>
    </row>
    <row r="480" ht="15.75" customHeight="1">
      <c r="E480" s="124"/>
      <c r="F480" s="124"/>
      <c r="G480" s="124"/>
      <c r="H480" s="124"/>
      <c r="I480" s="124"/>
      <c r="J480" s="124"/>
      <c r="K480" s="124"/>
    </row>
    <row r="481" ht="15.75" customHeight="1">
      <c r="E481" s="124"/>
      <c r="F481" s="124"/>
      <c r="G481" s="124"/>
      <c r="H481" s="124"/>
      <c r="I481" s="124"/>
      <c r="J481" s="124"/>
      <c r="K481" s="124"/>
    </row>
    <row r="482" ht="15.75" customHeight="1">
      <c r="E482" s="124"/>
      <c r="F482" s="124"/>
      <c r="G482" s="124"/>
      <c r="H482" s="124"/>
      <c r="I482" s="124"/>
      <c r="J482" s="124"/>
      <c r="K482" s="124"/>
    </row>
    <row r="483" ht="15.75" customHeight="1">
      <c r="E483" s="124"/>
      <c r="F483" s="124"/>
      <c r="G483" s="124"/>
      <c r="H483" s="124"/>
      <c r="I483" s="124"/>
      <c r="J483" s="124"/>
      <c r="K483" s="124"/>
    </row>
    <row r="484" ht="15.75" customHeight="1">
      <c r="E484" s="124"/>
      <c r="F484" s="124"/>
      <c r="G484" s="124"/>
      <c r="H484" s="124"/>
      <c r="I484" s="124"/>
      <c r="J484" s="124"/>
      <c r="K484" s="124"/>
    </row>
    <row r="485" ht="15.75" customHeight="1">
      <c r="E485" s="124"/>
      <c r="F485" s="124"/>
      <c r="G485" s="124"/>
      <c r="H485" s="124"/>
      <c r="I485" s="124"/>
      <c r="J485" s="124"/>
      <c r="K485" s="124"/>
    </row>
    <row r="486" ht="15.75" customHeight="1">
      <c r="E486" s="124"/>
      <c r="F486" s="124"/>
      <c r="G486" s="124"/>
      <c r="H486" s="124"/>
      <c r="I486" s="124"/>
      <c r="J486" s="124"/>
      <c r="K486" s="124"/>
    </row>
    <row r="487" ht="15.75" customHeight="1">
      <c r="E487" s="124"/>
      <c r="F487" s="124"/>
      <c r="G487" s="124"/>
      <c r="H487" s="124"/>
      <c r="I487" s="124"/>
      <c r="J487" s="124"/>
      <c r="K487" s="124"/>
    </row>
    <row r="488" ht="15.75" customHeight="1">
      <c r="E488" s="124"/>
      <c r="F488" s="124"/>
      <c r="G488" s="124"/>
      <c r="H488" s="124"/>
      <c r="I488" s="124"/>
      <c r="J488" s="124"/>
      <c r="K488" s="124"/>
    </row>
    <row r="489" ht="15.75" customHeight="1">
      <c r="E489" s="124"/>
      <c r="F489" s="124"/>
      <c r="G489" s="124"/>
      <c r="H489" s="124"/>
      <c r="I489" s="124"/>
      <c r="J489" s="124"/>
      <c r="K489" s="124"/>
    </row>
    <row r="490" ht="15.75" customHeight="1">
      <c r="E490" s="124"/>
      <c r="F490" s="124"/>
      <c r="G490" s="124"/>
      <c r="H490" s="124"/>
      <c r="I490" s="124"/>
      <c r="J490" s="124"/>
      <c r="K490" s="124"/>
    </row>
    <row r="491" ht="15.75" customHeight="1">
      <c r="E491" s="124"/>
      <c r="F491" s="124"/>
      <c r="G491" s="124"/>
      <c r="H491" s="124"/>
      <c r="I491" s="124"/>
      <c r="J491" s="124"/>
      <c r="K491" s="124"/>
    </row>
    <row r="492" ht="15.75" customHeight="1">
      <c r="E492" s="124"/>
      <c r="F492" s="124"/>
      <c r="G492" s="124"/>
      <c r="H492" s="124"/>
      <c r="I492" s="124"/>
      <c r="J492" s="124"/>
      <c r="K492" s="124"/>
    </row>
    <row r="493" ht="15.75" customHeight="1">
      <c r="E493" s="124"/>
      <c r="F493" s="124"/>
      <c r="G493" s="124"/>
      <c r="H493" s="124"/>
      <c r="I493" s="124"/>
      <c r="J493" s="124"/>
      <c r="K493" s="124"/>
    </row>
    <row r="494" ht="15.75" customHeight="1">
      <c r="E494" s="124"/>
      <c r="F494" s="124"/>
      <c r="G494" s="124"/>
      <c r="H494" s="124"/>
      <c r="I494" s="124"/>
      <c r="J494" s="124"/>
      <c r="K494" s="124"/>
    </row>
    <row r="495" ht="15.75" customHeight="1">
      <c r="E495" s="124"/>
      <c r="F495" s="124"/>
      <c r="G495" s="124"/>
      <c r="H495" s="124"/>
      <c r="I495" s="124"/>
      <c r="J495" s="124"/>
      <c r="K495" s="124"/>
    </row>
    <row r="496" ht="15.75" customHeight="1">
      <c r="E496" s="124"/>
      <c r="F496" s="124"/>
      <c r="G496" s="124"/>
      <c r="H496" s="124"/>
      <c r="I496" s="124"/>
      <c r="J496" s="124"/>
      <c r="K496" s="124"/>
    </row>
    <row r="497" ht="15.75" customHeight="1">
      <c r="E497" s="124"/>
      <c r="F497" s="124"/>
      <c r="G497" s="124"/>
      <c r="H497" s="124"/>
      <c r="I497" s="124"/>
      <c r="J497" s="124"/>
      <c r="K497" s="124"/>
    </row>
    <row r="498" ht="15.75" customHeight="1">
      <c r="E498" s="124"/>
      <c r="F498" s="124"/>
      <c r="G498" s="124"/>
      <c r="H498" s="124"/>
      <c r="I498" s="124"/>
      <c r="J498" s="124"/>
      <c r="K498" s="124"/>
    </row>
    <row r="499" ht="15.75" customHeight="1">
      <c r="E499" s="124"/>
      <c r="F499" s="124"/>
      <c r="G499" s="124"/>
      <c r="H499" s="124"/>
      <c r="I499" s="124"/>
      <c r="J499" s="124"/>
      <c r="K499" s="124"/>
    </row>
    <row r="500" ht="15.75" customHeight="1">
      <c r="E500" s="124"/>
      <c r="F500" s="124"/>
      <c r="G500" s="124"/>
      <c r="H500" s="124"/>
      <c r="I500" s="124"/>
      <c r="J500" s="124"/>
      <c r="K500" s="124"/>
    </row>
    <row r="501" ht="15.75" customHeight="1">
      <c r="E501" s="124"/>
      <c r="F501" s="124"/>
      <c r="G501" s="124"/>
      <c r="H501" s="124"/>
      <c r="I501" s="124"/>
      <c r="J501" s="124"/>
      <c r="K501" s="124"/>
    </row>
    <row r="502" ht="15.75" customHeight="1">
      <c r="E502" s="124"/>
      <c r="F502" s="124"/>
      <c r="G502" s="124"/>
      <c r="H502" s="124"/>
      <c r="I502" s="124"/>
      <c r="J502" s="124"/>
      <c r="K502" s="124"/>
    </row>
    <row r="503" ht="15.75" customHeight="1">
      <c r="E503" s="124"/>
      <c r="F503" s="124"/>
      <c r="G503" s="124"/>
      <c r="H503" s="124"/>
      <c r="I503" s="124"/>
      <c r="J503" s="124"/>
      <c r="K503" s="124"/>
    </row>
    <row r="504" ht="15.75" customHeight="1">
      <c r="E504" s="124"/>
      <c r="F504" s="124"/>
      <c r="G504" s="124"/>
      <c r="H504" s="124"/>
      <c r="I504" s="124"/>
      <c r="J504" s="124"/>
      <c r="K504" s="124"/>
    </row>
    <row r="505" ht="15.75" customHeight="1">
      <c r="E505" s="124"/>
      <c r="F505" s="124"/>
      <c r="G505" s="124"/>
      <c r="H505" s="124"/>
      <c r="I505" s="124"/>
      <c r="J505" s="124"/>
      <c r="K505" s="124"/>
    </row>
    <row r="506" ht="15.75" customHeight="1">
      <c r="E506" s="124"/>
      <c r="F506" s="124"/>
      <c r="G506" s="124"/>
      <c r="H506" s="124"/>
      <c r="I506" s="124"/>
      <c r="J506" s="124"/>
      <c r="K506" s="124"/>
    </row>
    <row r="507" ht="15.75" customHeight="1">
      <c r="E507" s="124"/>
      <c r="F507" s="124"/>
      <c r="G507" s="124"/>
      <c r="H507" s="124"/>
      <c r="I507" s="124"/>
      <c r="J507" s="124"/>
      <c r="K507" s="124"/>
    </row>
    <row r="508" ht="15.75" customHeight="1">
      <c r="E508" s="124"/>
      <c r="F508" s="124"/>
      <c r="G508" s="124"/>
      <c r="H508" s="124"/>
      <c r="I508" s="124"/>
      <c r="J508" s="124"/>
      <c r="K508" s="124"/>
    </row>
    <row r="509" ht="15.75" customHeight="1">
      <c r="E509" s="124"/>
      <c r="F509" s="124"/>
      <c r="G509" s="124"/>
      <c r="H509" s="124"/>
      <c r="I509" s="124"/>
      <c r="J509" s="124"/>
      <c r="K509" s="124"/>
    </row>
    <row r="510" ht="15.75" customHeight="1">
      <c r="E510" s="124"/>
      <c r="F510" s="124"/>
      <c r="G510" s="124"/>
      <c r="H510" s="124"/>
      <c r="I510" s="124"/>
      <c r="J510" s="124"/>
      <c r="K510" s="124"/>
    </row>
    <row r="511" ht="15.75" customHeight="1">
      <c r="E511" s="124"/>
      <c r="F511" s="124"/>
      <c r="G511" s="124"/>
      <c r="H511" s="124"/>
      <c r="I511" s="124"/>
      <c r="J511" s="124"/>
      <c r="K511" s="124"/>
    </row>
    <row r="512" ht="15.75" customHeight="1">
      <c r="E512" s="124"/>
      <c r="F512" s="124"/>
      <c r="G512" s="124"/>
      <c r="H512" s="124"/>
      <c r="I512" s="124"/>
      <c r="J512" s="124"/>
      <c r="K512" s="124"/>
    </row>
    <row r="513" ht="15.75" customHeight="1">
      <c r="E513" s="124"/>
      <c r="F513" s="124"/>
      <c r="G513" s="124"/>
      <c r="H513" s="124"/>
      <c r="I513" s="124"/>
      <c r="J513" s="124"/>
      <c r="K513" s="124"/>
    </row>
    <row r="514" ht="15.75" customHeight="1">
      <c r="E514" s="124"/>
      <c r="F514" s="124"/>
      <c r="G514" s="124"/>
      <c r="H514" s="124"/>
      <c r="I514" s="124"/>
      <c r="J514" s="124"/>
      <c r="K514" s="124"/>
    </row>
    <row r="515" ht="15.75" customHeight="1">
      <c r="E515" s="124"/>
      <c r="F515" s="124"/>
      <c r="G515" s="124"/>
      <c r="H515" s="124"/>
      <c r="I515" s="124"/>
      <c r="J515" s="124"/>
      <c r="K515" s="124"/>
    </row>
    <row r="516" ht="15.75" customHeight="1">
      <c r="E516" s="124"/>
      <c r="F516" s="124"/>
      <c r="G516" s="124"/>
      <c r="H516" s="124"/>
      <c r="I516" s="124"/>
      <c r="J516" s="124"/>
      <c r="K516" s="124"/>
    </row>
    <row r="517" ht="15.75" customHeight="1">
      <c r="E517" s="124"/>
      <c r="F517" s="124"/>
      <c r="G517" s="124"/>
      <c r="H517" s="124"/>
      <c r="I517" s="124"/>
      <c r="J517" s="124"/>
      <c r="K517" s="124"/>
    </row>
    <row r="518" ht="15.75" customHeight="1">
      <c r="E518" s="124"/>
      <c r="F518" s="124"/>
      <c r="G518" s="124"/>
      <c r="H518" s="124"/>
      <c r="I518" s="124"/>
      <c r="J518" s="124"/>
      <c r="K518" s="124"/>
    </row>
    <row r="519" ht="15.75" customHeight="1">
      <c r="E519" s="124"/>
      <c r="F519" s="124"/>
      <c r="G519" s="124"/>
      <c r="H519" s="124"/>
      <c r="I519" s="124"/>
      <c r="J519" s="124"/>
      <c r="K519" s="124"/>
    </row>
    <row r="520" ht="15.75" customHeight="1">
      <c r="E520" s="124"/>
      <c r="F520" s="124"/>
      <c r="G520" s="124"/>
      <c r="H520" s="124"/>
      <c r="I520" s="124"/>
      <c r="J520" s="124"/>
      <c r="K520" s="124"/>
    </row>
    <row r="521" ht="15.75" customHeight="1">
      <c r="E521" s="124"/>
      <c r="F521" s="124"/>
      <c r="G521" s="124"/>
      <c r="H521" s="124"/>
      <c r="I521" s="124"/>
      <c r="J521" s="124"/>
      <c r="K521" s="124"/>
    </row>
    <row r="522" ht="15.75" customHeight="1">
      <c r="E522" s="124"/>
      <c r="F522" s="124"/>
      <c r="G522" s="124"/>
      <c r="H522" s="124"/>
      <c r="I522" s="124"/>
      <c r="J522" s="124"/>
      <c r="K522" s="124"/>
    </row>
    <row r="523" ht="15.75" customHeight="1">
      <c r="E523" s="124"/>
      <c r="F523" s="124"/>
      <c r="G523" s="124"/>
      <c r="H523" s="124"/>
      <c r="I523" s="124"/>
      <c r="J523" s="124"/>
      <c r="K523" s="124"/>
    </row>
    <row r="524" ht="15.75" customHeight="1">
      <c r="E524" s="124"/>
      <c r="F524" s="124"/>
      <c r="G524" s="124"/>
      <c r="H524" s="124"/>
      <c r="I524" s="124"/>
      <c r="J524" s="124"/>
      <c r="K524" s="124"/>
    </row>
    <row r="525" ht="15.75" customHeight="1">
      <c r="E525" s="124"/>
      <c r="F525" s="124"/>
      <c r="G525" s="124"/>
      <c r="H525" s="124"/>
      <c r="I525" s="124"/>
      <c r="J525" s="124"/>
      <c r="K525" s="124"/>
    </row>
    <row r="526" ht="15.75" customHeight="1">
      <c r="E526" s="124"/>
      <c r="F526" s="124"/>
      <c r="G526" s="124"/>
      <c r="H526" s="124"/>
      <c r="I526" s="124"/>
      <c r="J526" s="124"/>
      <c r="K526" s="124"/>
    </row>
    <row r="527" ht="15.75" customHeight="1">
      <c r="E527" s="124"/>
      <c r="F527" s="124"/>
      <c r="G527" s="124"/>
      <c r="H527" s="124"/>
      <c r="I527" s="124"/>
      <c r="J527" s="124"/>
      <c r="K527" s="124"/>
    </row>
    <row r="528" ht="15.75" customHeight="1">
      <c r="E528" s="124"/>
      <c r="F528" s="124"/>
      <c r="G528" s="124"/>
      <c r="H528" s="124"/>
      <c r="I528" s="124"/>
      <c r="J528" s="124"/>
      <c r="K528" s="124"/>
    </row>
    <row r="529" ht="15.75" customHeight="1">
      <c r="E529" s="124"/>
      <c r="F529" s="124"/>
      <c r="G529" s="124"/>
      <c r="H529" s="124"/>
      <c r="I529" s="124"/>
      <c r="J529" s="124"/>
      <c r="K529" s="124"/>
    </row>
    <row r="530" ht="15.75" customHeight="1">
      <c r="E530" s="124"/>
      <c r="F530" s="124"/>
      <c r="G530" s="124"/>
      <c r="H530" s="124"/>
      <c r="I530" s="124"/>
      <c r="J530" s="124"/>
      <c r="K530" s="124"/>
    </row>
    <row r="531" ht="15.75" customHeight="1">
      <c r="E531" s="124"/>
      <c r="F531" s="124"/>
      <c r="G531" s="124"/>
      <c r="H531" s="124"/>
      <c r="I531" s="124"/>
      <c r="J531" s="124"/>
      <c r="K531" s="124"/>
    </row>
    <row r="532" ht="15.75" customHeight="1">
      <c r="E532" s="124"/>
      <c r="F532" s="124"/>
      <c r="G532" s="124"/>
      <c r="H532" s="124"/>
      <c r="I532" s="124"/>
      <c r="J532" s="124"/>
      <c r="K532" s="124"/>
    </row>
    <row r="533" ht="15.75" customHeight="1">
      <c r="E533" s="124"/>
      <c r="F533" s="124"/>
      <c r="G533" s="124"/>
      <c r="H533" s="124"/>
      <c r="I533" s="124"/>
      <c r="J533" s="124"/>
      <c r="K533" s="124"/>
    </row>
    <row r="534" ht="15.75" customHeight="1">
      <c r="E534" s="124"/>
      <c r="F534" s="124"/>
      <c r="G534" s="124"/>
      <c r="H534" s="124"/>
      <c r="I534" s="124"/>
      <c r="J534" s="124"/>
      <c r="K534" s="124"/>
    </row>
    <row r="535" ht="15.75" customHeight="1">
      <c r="E535" s="124"/>
      <c r="F535" s="124"/>
      <c r="G535" s="124"/>
      <c r="H535" s="124"/>
      <c r="I535" s="124"/>
      <c r="J535" s="124"/>
      <c r="K535" s="124"/>
    </row>
    <row r="536" ht="15.75" customHeight="1">
      <c r="E536" s="124"/>
      <c r="F536" s="124"/>
      <c r="G536" s="124"/>
      <c r="H536" s="124"/>
      <c r="I536" s="124"/>
      <c r="J536" s="124"/>
      <c r="K536" s="124"/>
    </row>
    <row r="537" ht="15.75" customHeight="1">
      <c r="E537" s="124"/>
      <c r="F537" s="124"/>
      <c r="G537" s="124"/>
      <c r="H537" s="124"/>
      <c r="I537" s="124"/>
      <c r="J537" s="124"/>
      <c r="K537" s="124"/>
    </row>
    <row r="538" ht="15.75" customHeight="1">
      <c r="E538" s="124"/>
      <c r="F538" s="124"/>
      <c r="G538" s="124"/>
      <c r="H538" s="124"/>
      <c r="I538" s="124"/>
      <c r="J538" s="124"/>
      <c r="K538" s="124"/>
    </row>
    <row r="539" ht="15.75" customHeight="1">
      <c r="E539" s="124"/>
      <c r="F539" s="124"/>
      <c r="G539" s="124"/>
      <c r="H539" s="124"/>
      <c r="I539" s="124"/>
      <c r="J539" s="124"/>
      <c r="K539" s="124"/>
    </row>
    <row r="540" ht="15.75" customHeight="1">
      <c r="E540" s="124"/>
      <c r="F540" s="124"/>
      <c r="G540" s="124"/>
      <c r="H540" s="124"/>
      <c r="I540" s="124"/>
      <c r="J540" s="124"/>
      <c r="K540" s="124"/>
    </row>
    <row r="541" ht="15.75" customHeight="1">
      <c r="E541" s="124"/>
      <c r="F541" s="124"/>
      <c r="G541" s="124"/>
      <c r="H541" s="124"/>
      <c r="I541" s="124"/>
      <c r="J541" s="124"/>
      <c r="K541" s="124"/>
    </row>
    <row r="542" ht="15.75" customHeight="1">
      <c r="E542" s="124"/>
      <c r="F542" s="124"/>
      <c r="G542" s="124"/>
      <c r="H542" s="124"/>
      <c r="I542" s="124"/>
      <c r="J542" s="124"/>
      <c r="K542" s="124"/>
    </row>
    <row r="543" ht="15.75" customHeight="1">
      <c r="E543" s="124"/>
      <c r="F543" s="124"/>
      <c r="G543" s="124"/>
      <c r="H543" s="124"/>
      <c r="I543" s="124"/>
      <c r="J543" s="124"/>
      <c r="K543" s="124"/>
    </row>
    <row r="544" ht="15.75" customHeight="1">
      <c r="E544" s="124"/>
      <c r="F544" s="124"/>
      <c r="G544" s="124"/>
      <c r="H544" s="124"/>
      <c r="I544" s="124"/>
      <c r="J544" s="124"/>
      <c r="K544" s="124"/>
    </row>
    <row r="545" ht="15.75" customHeight="1">
      <c r="E545" s="124"/>
      <c r="F545" s="124"/>
      <c r="G545" s="124"/>
      <c r="H545" s="124"/>
      <c r="I545" s="124"/>
      <c r="J545" s="124"/>
      <c r="K545" s="124"/>
    </row>
    <row r="546" ht="15.75" customHeight="1">
      <c r="E546" s="124"/>
      <c r="F546" s="124"/>
      <c r="G546" s="124"/>
      <c r="H546" s="124"/>
      <c r="I546" s="124"/>
      <c r="J546" s="124"/>
      <c r="K546" s="124"/>
    </row>
    <row r="547" ht="15.75" customHeight="1">
      <c r="E547" s="124"/>
      <c r="F547" s="124"/>
      <c r="G547" s="124"/>
      <c r="H547" s="124"/>
      <c r="I547" s="124"/>
      <c r="J547" s="124"/>
      <c r="K547" s="124"/>
    </row>
    <row r="548" ht="15.75" customHeight="1">
      <c r="E548" s="124"/>
      <c r="F548" s="124"/>
      <c r="G548" s="124"/>
      <c r="H548" s="124"/>
      <c r="I548" s="124"/>
      <c r="J548" s="124"/>
      <c r="K548" s="124"/>
    </row>
    <row r="549" ht="15.75" customHeight="1">
      <c r="E549" s="124"/>
      <c r="F549" s="124"/>
      <c r="G549" s="124"/>
      <c r="H549" s="124"/>
      <c r="I549" s="124"/>
      <c r="J549" s="124"/>
      <c r="K549" s="124"/>
    </row>
    <row r="550" ht="15.75" customHeight="1">
      <c r="E550" s="124"/>
      <c r="F550" s="124"/>
      <c r="G550" s="124"/>
      <c r="H550" s="124"/>
      <c r="I550" s="124"/>
      <c r="J550" s="124"/>
      <c r="K550" s="124"/>
    </row>
    <row r="551" ht="15.75" customHeight="1">
      <c r="E551" s="124"/>
      <c r="F551" s="124"/>
      <c r="G551" s="124"/>
      <c r="H551" s="124"/>
      <c r="I551" s="124"/>
      <c r="J551" s="124"/>
      <c r="K551" s="124"/>
    </row>
    <row r="552" ht="15.75" customHeight="1">
      <c r="E552" s="124"/>
      <c r="F552" s="124"/>
      <c r="G552" s="124"/>
      <c r="H552" s="124"/>
      <c r="I552" s="124"/>
      <c r="J552" s="124"/>
      <c r="K552" s="124"/>
    </row>
    <row r="553" ht="15.75" customHeight="1">
      <c r="E553" s="124"/>
      <c r="F553" s="124"/>
      <c r="G553" s="124"/>
      <c r="H553" s="124"/>
      <c r="I553" s="124"/>
      <c r="J553" s="124"/>
      <c r="K553" s="124"/>
    </row>
    <row r="554" ht="15.75" customHeight="1">
      <c r="E554" s="124"/>
      <c r="F554" s="124"/>
      <c r="G554" s="124"/>
      <c r="H554" s="124"/>
      <c r="I554" s="124"/>
      <c r="J554" s="124"/>
      <c r="K554" s="124"/>
    </row>
    <row r="555" ht="15.75" customHeight="1">
      <c r="E555" s="124"/>
      <c r="F555" s="124"/>
      <c r="G555" s="124"/>
      <c r="H555" s="124"/>
      <c r="I555" s="124"/>
      <c r="J555" s="124"/>
      <c r="K555" s="124"/>
    </row>
    <row r="556" ht="15.75" customHeight="1">
      <c r="E556" s="124"/>
      <c r="F556" s="124"/>
      <c r="G556" s="124"/>
      <c r="H556" s="124"/>
      <c r="I556" s="124"/>
      <c r="J556" s="124"/>
      <c r="K556" s="124"/>
    </row>
    <row r="557" ht="15.75" customHeight="1">
      <c r="E557" s="124"/>
      <c r="F557" s="124"/>
      <c r="G557" s="124"/>
      <c r="H557" s="124"/>
      <c r="I557" s="124"/>
      <c r="J557" s="124"/>
      <c r="K557" s="124"/>
    </row>
    <row r="558" ht="15.75" customHeight="1">
      <c r="E558" s="124"/>
      <c r="F558" s="124"/>
      <c r="G558" s="124"/>
      <c r="H558" s="124"/>
      <c r="I558" s="124"/>
      <c r="J558" s="124"/>
      <c r="K558" s="124"/>
    </row>
    <row r="559" ht="15.75" customHeight="1">
      <c r="E559" s="124"/>
      <c r="F559" s="124"/>
      <c r="G559" s="124"/>
      <c r="H559" s="124"/>
      <c r="I559" s="124"/>
      <c r="J559" s="124"/>
      <c r="K559" s="124"/>
    </row>
    <row r="560" ht="15.75" customHeight="1">
      <c r="E560" s="124"/>
      <c r="F560" s="124"/>
      <c r="G560" s="124"/>
      <c r="H560" s="124"/>
      <c r="I560" s="124"/>
      <c r="J560" s="124"/>
      <c r="K560" s="124"/>
    </row>
    <row r="561" ht="15.75" customHeight="1">
      <c r="E561" s="124"/>
      <c r="F561" s="124"/>
      <c r="G561" s="124"/>
      <c r="H561" s="124"/>
      <c r="I561" s="124"/>
      <c r="J561" s="124"/>
      <c r="K561" s="124"/>
    </row>
    <row r="562" ht="15.75" customHeight="1">
      <c r="E562" s="124"/>
      <c r="F562" s="124"/>
      <c r="G562" s="124"/>
      <c r="H562" s="124"/>
      <c r="I562" s="124"/>
      <c r="J562" s="124"/>
      <c r="K562" s="124"/>
    </row>
    <row r="563" ht="15.75" customHeight="1">
      <c r="E563" s="124"/>
      <c r="F563" s="124"/>
      <c r="G563" s="124"/>
      <c r="H563" s="124"/>
      <c r="I563" s="124"/>
      <c r="J563" s="124"/>
      <c r="K563" s="124"/>
    </row>
    <row r="564" ht="15.75" customHeight="1">
      <c r="E564" s="124"/>
      <c r="F564" s="124"/>
      <c r="G564" s="124"/>
      <c r="H564" s="124"/>
      <c r="I564" s="124"/>
      <c r="J564" s="124"/>
      <c r="K564" s="124"/>
    </row>
    <row r="565" ht="15.75" customHeight="1">
      <c r="E565" s="124"/>
      <c r="F565" s="124"/>
      <c r="G565" s="124"/>
      <c r="H565" s="124"/>
      <c r="I565" s="124"/>
      <c r="J565" s="124"/>
      <c r="K565" s="124"/>
    </row>
    <row r="566" ht="15.75" customHeight="1">
      <c r="E566" s="124"/>
      <c r="F566" s="124"/>
      <c r="G566" s="124"/>
      <c r="H566" s="124"/>
      <c r="I566" s="124"/>
      <c r="J566" s="124"/>
      <c r="K566" s="124"/>
    </row>
    <row r="567" ht="15.75" customHeight="1">
      <c r="E567" s="124"/>
      <c r="F567" s="124"/>
      <c r="G567" s="124"/>
      <c r="H567" s="124"/>
      <c r="I567" s="124"/>
      <c r="J567" s="124"/>
      <c r="K567" s="124"/>
    </row>
    <row r="568" ht="15.75" customHeight="1">
      <c r="E568" s="124"/>
      <c r="F568" s="124"/>
      <c r="G568" s="124"/>
      <c r="H568" s="124"/>
      <c r="I568" s="124"/>
      <c r="J568" s="124"/>
      <c r="K568" s="124"/>
    </row>
    <row r="569" ht="15.75" customHeight="1">
      <c r="E569" s="124"/>
      <c r="F569" s="124"/>
      <c r="G569" s="124"/>
      <c r="H569" s="124"/>
      <c r="I569" s="124"/>
      <c r="J569" s="124"/>
      <c r="K569" s="124"/>
    </row>
    <row r="570" ht="15.75" customHeight="1">
      <c r="E570" s="124"/>
      <c r="F570" s="124"/>
      <c r="G570" s="124"/>
      <c r="H570" s="124"/>
      <c r="I570" s="124"/>
      <c r="J570" s="124"/>
      <c r="K570" s="124"/>
    </row>
    <row r="571" ht="15.75" customHeight="1">
      <c r="E571" s="124"/>
      <c r="F571" s="124"/>
      <c r="G571" s="124"/>
      <c r="H571" s="124"/>
      <c r="I571" s="124"/>
      <c r="J571" s="124"/>
      <c r="K571" s="124"/>
    </row>
    <row r="572" ht="15.75" customHeight="1">
      <c r="E572" s="124"/>
      <c r="F572" s="124"/>
      <c r="G572" s="124"/>
      <c r="H572" s="124"/>
      <c r="I572" s="124"/>
      <c r="J572" s="124"/>
      <c r="K572" s="124"/>
    </row>
    <row r="573" ht="15.75" customHeight="1">
      <c r="E573" s="124"/>
      <c r="F573" s="124"/>
      <c r="G573" s="124"/>
      <c r="H573" s="124"/>
      <c r="I573" s="124"/>
      <c r="J573" s="124"/>
      <c r="K573" s="124"/>
    </row>
    <row r="574" ht="15.75" customHeight="1">
      <c r="E574" s="124"/>
      <c r="F574" s="124"/>
      <c r="G574" s="124"/>
      <c r="H574" s="124"/>
      <c r="I574" s="124"/>
      <c r="J574" s="124"/>
      <c r="K574" s="124"/>
    </row>
    <row r="575" ht="15.75" customHeight="1">
      <c r="E575" s="124"/>
      <c r="F575" s="124"/>
      <c r="G575" s="124"/>
      <c r="H575" s="124"/>
      <c r="I575" s="124"/>
      <c r="J575" s="124"/>
      <c r="K575" s="124"/>
    </row>
    <row r="576" ht="15.75" customHeight="1">
      <c r="E576" s="124"/>
      <c r="F576" s="124"/>
      <c r="G576" s="124"/>
      <c r="H576" s="124"/>
      <c r="I576" s="124"/>
      <c r="J576" s="124"/>
      <c r="K576" s="124"/>
    </row>
    <row r="577" ht="15.75" customHeight="1">
      <c r="E577" s="124"/>
      <c r="F577" s="124"/>
      <c r="G577" s="124"/>
      <c r="H577" s="124"/>
      <c r="I577" s="124"/>
      <c r="J577" s="124"/>
      <c r="K577" s="124"/>
    </row>
    <row r="578" ht="15.75" customHeight="1">
      <c r="E578" s="124"/>
      <c r="F578" s="124"/>
      <c r="G578" s="124"/>
      <c r="H578" s="124"/>
      <c r="I578" s="124"/>
      <c r="J578" s="124"/>
      <c r="K578" s="124"/>
    </row>
    <row r="579" ht="15.75" customHeight="1">
      <c r="E579" s="124"/>
      <c r="F579" s="124"/>
      <c r="G579" s="124"/>
      <c r="H579" s="124"/>
      <c r="I579" s="124"/>
      <c r="J579" s="124"/>
      <c r="K579" s="124"/>
    </row>
    <row r="580" ht="15.75" customHeight="1">
      <c r="E580" s="124"/>
      <c r="F580" s="124"/>
      <c r="G580" s="124"/>
      <c r="H580" s="124"/>
      <c r="I580" s="124"/>
      <c r="J580" s="124"/>
      <c r="K580" s="124"/>
    </row>
    <row r="581" ht="15.75" customHeight="1">
      <c r="E581" s="124"/>
      <c r="F581" s="124"/>
      <c r="G581" s="124"/>
      <c r="H581" s="124"/>
      <c r="I581" s="124"/>
      <c r="J581" s="124"/>
      <c r="K581" s="124"/>
    </row>
    <row r="582" ht="15.75" customHeight="1">
      <c r="E582" s="124"/>
      <c r="F582" s="124"/>
      <c r="G582" s="124"/>
      <c r="H582" s="124"/>
      <c r="I582" s="124"/>
      <c r="J582" s="124"/>
      <c r="K582" s="124"/>
    </row>
    <row r="583" ht="15.75" customHeight="1">
      <c r="E583" s="124"/>
      <c r="F583" s="124"/>
      <c r="G583" s="124"/>
      <c r="H583" s="124"/>
      <c r="I583" s="124"/>
      <c r="J583" s="124"/>
      <c r="K583" s="124"/>
    </row>
    <row r="584" ht="15.75" customHeight="1">
      <c r="E584" s="124"/>
      <c r="F584" s="124"/>
      <c r="G584" s="124"/>
      <c r="H584" s="124"/>
      <c r="I584" s="124"/>
      <c r="J584" s="124"/>
      <c r="K584" s="124"/>
    </row>
    <row r="585" ht="15.75" customHeight="1">
      <c r="E585" s="124"/>
      <c r="F585" s="124"/>
      <c r="G585" s="124"/>
      <c r="H585" s="124"/>
      <c r="I585" s="124"/>
      <c r="J585" s="124"/>
      <c r="K585" s="124"/>
    </row>
    <row r="586" ht="15.75" customHeight="1">
      <c r="E586" s="124"/>
      <c r="F586" s="124"/>
      <c r="G586" s="124"/>
      <c r="H586" s="124"/>
      <c r="I586" s="124"/>
      <c r="J586" s="124"/>
      <c r="K586" s="124"/>
    </row>
    <row r="587" ht="15.75" customHeight="1">
      <c r="E587" s="124"/>
      <c r="F587" s="124"/>
      <c r="G587" s="124"/>
      <c r="H587" s="124"/>
      <c r="I587" s="124"/>
      <c r="J587" s="124"/>
      <c r="K587" s="124"/>
    </row>
    <row r="588" ht="15.75" customHeight="1">
      <c r="E588" s="124"/>
      <c r="F588" s="124"/>
      <c r="G588" s="124"/>
      <c r="H588" s="124"/>
      <c r="I588" s="124"/>
      <c r="J588" s="124"/>
      <c r="K588" s="124"/>
    </row>
    <row r="589" ht="15.75" customHeight="1">
      <c r="E589" s="124"/>
      <c r="F589" s="124"/>
      <c r="G589" s="124"/>
      <c r="H589" s="124"/>
      <c r="I589" s="124"/>
      <c r="J589" s="124"/>
      <c r="K589" s="124"/>
    </row>
    <row r="590" ht="15.75" customHeight="1">
      <c r="E590" s="124"/>
      <c r="F590" s="124"/>
      <c r="G590" s="124"/>
      <c r="H590" s="124"/>
      <c r="I590" s="124"/>
      <c r="J590" s="124"/>
      <c r="K590" s="124"/>
    </row>
    <row r="591" ht="15.75" customHeight="1">
      <c r="E591" s="124"/>
      <c r="F591" s="124"/>
      <c r="G591" s="124"/>
      <c r="H591" s="124"/>
      <c r="I591" s="124"/>
      <c r="J591" s="124"/>
      <c r="K591" s="124"/>
    </row>
    <row r="592" ht="15.75" customHeight="1">
      <c r="E592" s="124"/>
      <c r="F592" s="124"/>
      <c r="G592" s="124"/>
      <c r="H592" s="124"/>
      <c r="I592" s="124"/>
      <c r="J592" s="124"/>
      <c r="K592" s="124"/>
    </row>
    <row r="593" ht="15.75" customHeight="1">
      <c r="E593" s="124"/>
      <c r="F593" s="124"/>
      <c r="G593" s="124"/>
      <c r="H593" s="124"/>
      <c r="I593" s="124"/>
      <c r="J593" s="124"/>
      <c r="K593" s="124"/>
    </row>
    <row r="594" ht="15.75" customHeight="1">
      <c r="E594" s="124"/>
      <c r="F594" s="124"/>
      <c r="G594" s="124"/>
      <c r="H594" s="124"/>
      <c r="I594" s="124"/>
      <c r="J594" s="124"/>
      <c r="K594" s="124"/>
    </row>
    <row r="595" ht="15.75" customHeight="1">
      <c r="E595" s="124"/>
      <c r="F595" s="124"/>
      <c r="G595" s="124"/>
      <c r="H595" s="124"/>
      <c r="I595" s="124"/>
      <c r="J595" s="124"/>
      <c r="K595" s="124"/>
    </row>
    <row r="596" ht="15.75" customHeight="1">
      <c r="E596" s="124"/>
      <c r="F596" s="124"/>
      <c r="G596" s="124"/>
      <c r="H596" s="124"/>
      <c r="I596" s="124"/>
      <c r="J596" s="124"/>
      <c r="K596" s="124"/>
    </row>
    <row r="597" ht="15.75" customHeight="1">
      <c r="E597" s="124"/>
      <c r="F597" s="124"/>
      <c r="G597" s="124"/>
      <c r="H597" s="124"/>
      <c r="I597" s="124"/>
      <c r="J597" s="124"/>
      <c r="K597" s="124"/>
    </row>
    <row r="598" ht="15.75" customHeight="1">
      <c r="E598" s="124"/>
      <c r="F598" s="124"/>
      <c r="G598" s="124"/>
      <c r="H598" s="124"/>
      <c r="I598" s="124"/>
      <c r="J598" s="124"/>
      <c r="K598" s="124"/>
    </row>
    <row r="599" ht="15.75" customHeight="1">
      <c r="E599" s="124"/>
      <c r="F599" s="124"/>
      <c r="G599" s="124"/>
      <c r="H599" s="124"/>
      <c r="I599" s="124"/>
      <c r="J599" s="124"/>
      <c r="K599" s="124"/>
    </row>
    <row r="600" ht="15.75" customHeight="1">
      <c r="E600" s="124"/>
      <c r="F600" s="124"/>
      <c r="G600" s="124"/>
      <c r="H600" s="124"/>
      <c r="I600" s="124"/>
      <c r="J600" s="124"/>
      <c r="K600" s="124"/>
    </row>
    <row r="601" ht="15.75" customHeight="1">
      <c r="E601" s="124"/>
      <c r="F601" s="124"/>
      <c r="G601" s="124"/>
      <c r="H601" s="124"/>
      <c r="I601" s="124"/>
      <c r="J601" s="124"/>
      <c r="K601" s="124"/>
    </row>
    <row r="602" ht="15.75" customHeight="1">
      <c r="E602" s="124"/>
      <c r="F602" s="124"/>
      <c r="G602" s="124"/>
      <c r="H602" s="124"/>
      <c r="I602" s="124"/>
      <c r="J602" s="124"/>
      <c r="K602" s="124"/>
    </row>
    <row r="603" ht="15.75" customHeight="1">
      <c r="E603" s="124"/>
      <c r="F603" s="124"/>
      <c r="G603" s="124"/>
      <c r="H603" s="124"/>
      <c r="I603" s="124"/>
      <c r="J603" s="124"/>
      <c r="K603" s="124"/>
    </row>
    <row r="604" ht="15.75" customHeight="1">
      <c r="E604" s="124"/>
      <c r="F604" s="124"/>
      <c r="G604" s="124"/>
      <c r="H604" s="124"/>
      <c r="I604" s="124"/>
      <c r="J604" s="124"/>
      <c r="K604" s="124"/>
    </row>
    <row r="605" ht="15.75" customHeight="1">
      <c r="E605" s="124"/>
      <c r="F605" s="124"/>
      <c r="G605" s="124"/>
      <c r="H605" s="124"/>
      <c r="I605" s="124"/>
      <c r="J605" s="124"/>
      <c r="K605" s="124"/>
    </row>
    <row r="606" ht="15.75" customHeight="1">
      <c r="E606" s="124"/>
      <c r="F606" s="124"/>
      <c r="G606" s="124"/>
      <c r="H606" s="124"/>
      <c r="I606" s="124"/>
      <c r="J606" s="124"/>
      <c r="K606" s="124"/>
    </row>
    <row r="607" ht="15.75" customHeight="1">
      <c r="E607" s="124"/>
      <c r="F607" s="124"/>
      <c r="G607" s="124"/>
      <c r="H607" s="124"/>
      <c r="I607" s="124"/>
      <c r="J607" s="124"/>
      <c r="K607" s="124"/>
    </row>
    <row r="608" ht="15.75" customHeight="1">
      <c r="E608" s="124"/>
      <c r="F608" s="124"/>
      <c r="G608" s="124"/>
      <c r="H608" s="124"/>
      <c r="I608" s="124"/>
      <c r="J608" s="124"/>
      <c r="K608" s="124"/>
    </row>
    <row r="609" ht="15.75" customHeight="1">
      <c r="E609" s="124"/>
      <c r="F609" s="124"/>
      <c r="G609" s="124"/>
      <c r="H609" s="124"/>
      <c r="I609" s="124"/>
      <c r="J609" s="124"/>
      <c r="K609" s="124"/>
    </row>
    <row r="610" ht="15.75" customHeight="1">
      <c r="E610" s="124"/>
      <c r="F610" s="124"/>
      <c r="G610" s="124"/>
      <c r="H610" s="124"/>
      <c r="I610" s="124"/>
      <c r="J610" s="124"/>
      <c r="K610" s="124"/>
    </row>
    <row r="611" ht="15.75" customHeight="1">
      <c r="E611" s="124"/>
      <c r="F611" s="124"/>
      <c r="G611" s="124"/>
      <c r="H611" s="124"/>
      <c r="I611" s="124"/>
      <c r="J611" s="124"/>
      <c r="K611" s="124"/>
    </row>
    <row r="612" ht="15.75" customHeight="1">
      <c r="E612" s="124"/>
      <c r="F612" s="124"/>
      <c r="G612" s="124"/>
      <c r="H612" s="124"/>
      <c r="I612" s="124"/>
      <c r="J612" s="124"/>
      <c r="K612" s="124"/>
    </row>
    <row r="613" ht="15.75" customHeight="1">
      <c r="E613" s="124"/>
      <c r="F613" s="124"/>
      <c r="G613" s="124"/>
      <c r="H613" s="124"/>
      <c r="I613" s="124"/>
      <c r="J613" s="124"/>
      <c r="K613" s="124"/>
    </row>
    <row r="614" ht="15.75" customHeight="1">
      <c r="E614" s="124"/>
      <c r="F614" s="124"/>
      <c r="G614" s="124"/>
      <c r="H614" s="124"/>
      <c r="I614" s="124"/>
      <c r="J614" s="124"/>
      <c r="K614" s="124"/>
    </row>
    <row r="615" ht="15.75" customHeight="1">
      <c r="E615" s="124"/>
      <c r="F615" s="124"/>
      <c r="G615" s="124"/>
      <c r="H615" s="124"/>
      <c r="I615" s="124"/>
      <c r="J615" s="124"/>
      <c r="K615" s="124"/>
    </row>
    <row r="616" ht="15.75" customHeight="1">
      <c r="E616" s="124"/>
      <c r="F616" s="124"/>
      <c r="G616" s="124"/>
      <c r="H616" s="124"/>
      <c r="I616" s="124"/>
      <c r="J616" s="124"/>
      <c r="K616" s="124"/>
    </row>
    <row r="617" ht="15.75" customHeight="1">
      <c r="E617" s="124"/>
      <c r="F617" s="124"/>
      <c r="G617" s="124"/>
      <c r="H617" s="124"/>
      <c r="I617" s="124"/>
      <c r="J617" s="124"/>
      <c r="K617" s="124"/>
    </row>
    <row r="618" ht="15.75" customHeight="1">
      <c r="E618" s="124"/>
      <c r="F618" s="124"/>
      <c r="G618" s="124"/>
      <c r="H618" s="124"/>
      <c r="I618" s="124"/>
      <c r="J618" s="124"/>
      <c r="K618" s="124"/>
    </row>
    <row r="619" ht="15.75" customHeight="1">
      <c r="E619" s="124"/>
      <c r="F619" s="124"/>
      <c r="G619" s="124"/>
      <c r="H619" s="124"/>
      <c r="I619" s="124"/>
      <c r="J619" s="124"/>
      <c r="K619" s="124"/>
    </row>
    <row r="620" ht="15.75" customHeight="1">
      <c r="E620" s="124"/>
      <c r="F620" s="124"/>
      <c r="G620" s="124"/>
      <c r="H620" s="124"/>
      <c r="I620" s="124"/>
      <c r="J620" s="124"/>
      <c r="K620" s="124"/>
    </row>
    <row r="621" ht="15.75" customHeight="1">
      <c r="E621" s="124"/>
      <c r="F621" s="124"/>
      <c r="G621" s="124"/>
      <c r="H621" s="124"/>
      <c r="I621" s="124"/>
      <c r="J621" s="124"/>
      <c r="K621" s="124"/>
    </row>
    <row r="622" ht="15.75" customHeight="1">
      <c r="E622" s="124"/>
      <c r="F622" s="124"/>
      <c r="G622" s="124"/>
      <c r="H622" s="124"/>
      <c r="I622" s="124"/>
      <c r="J622" s="124"/>
      <c r="K622" s="124"/>
    </row>
    <row r="623" ht="15.75" customHeight="1">
      <c r="E623" s="124"/>
      <c r="F623" s="124"/>
      <c r="G623" s="124"/>
      <c r="H623" s="124"/>
      <c r="I623" s="124"/>
      <c r="J623" s="124"/>
      <c r="K623" s="124"/>
    </row>
    <row r="624" ht="15.75" customHeight="1">
      <c r="E624" s="124"/>
      <c r="F624" s="124"/>
      <c r="G624" s="124"/>
      <c r="H624" s="124"/>
      <c r="I624" s="124"/>
      <c r="J624" s="124"/>
      <c r="K624" s="124"/>
    </row>
    <row r="625" ht="15.75" customHeight="1">
      <c r="E625" s="124"/>
      <c r="F625" s="124"/>
      <c r="G625" s="124"/>
      <c r="H625" s="124"/>
      <c r="I625" s="124"/>
      <c r="J625" s="124"/>
      <c r="K625" s="124"/>
    </row>
    <row r="626" ht="15.75" customHeight="1">
      <c r="E626" s="124"/>
      <c r="F626" s="124"/>
      <c r="G626" s="124"/>
      <c r="H626" s="124"/>
      <c r="I626" s="124"/>
      <c r="J626" s="124"/>
      <c r="K626" s="124"/>
    </row>
    <row r="627" ht="15.75" customHeight="1">
      <c r="E627" s="124"/>
      <c r="F627" s="124"/>
      <c r="G627" s="124"/>
      <c r="H627" s="124"/>
      <c r="I627" s="124"/>
      <c r="J627" s="124"/>
      <c r="K627" s="124"/>
    </row>
    <row r="628" ht="15.75" customHeight="1">
      <c r="E628" s="124"/>
      <c r="F628" s="124"/>
      <c r="G628" s="124"/>
      <c r="H628" s="124"/>
      <c r="I628" s="124"/>
      <c r="J628" s="124"/>
      <c r="K628" s="124"/>
    </row>
    <row r="629" ht="15.75" customHeight="1">
      <c r="E629" s="124"/>
      <c r="F629" s="124"/>
      <c r="G629" s="124"/>
      <c r="H629" s="124"/>
      <c r="I629" s="124"/>
      <c r="J629" s="124"/>
      <c r="K629" s="124"/>
    </row>
    <row r="630" ht="15.75" customHeight="1">
      <c r="E630" s="124"/>
      <c r="F630" s="124"/>
      <c r="G630" s="124"/>
      <c r="H630" s="124"/>
      <c r="I630" s="124"/>
      <c r="J630" s="124"/>
      <c r="K630" s="124"/>
    </row>
    <row r="631" ht="15.75" customHeight="1">
      <c r="E631" s="124"/>
      <c r="F631" s="124"/>
      <c r="G631" s="124"/>
      <c r="H631" s="124"/>
      <c r="I631" s="124"/>
      <c r="J631" s="124"/>
      <c r="K631" s="124"/>
    </row>
    <row r="632" ht="15.75" customHeight="1">
      <c r="E632" s="124"/>
      <c r="F632" s="124"/>
      <c r="G632" s="124"/>
      <c r="H632" s="124"/>
      <c r="I632" s="124"/>
      <c r="J632" s="124"/>
      <c r="K632" s="124"/>
    </row>
    <row r="633" ht="15.75" customHeight="1">
      <c r="E633" s="124"/>
      <c r="F633" s="124"/>
      <c r="G633" s="124"/>
      <c r="H633" s="124"/>
      <c r="I633" s="124"/>
      <c r="J633" s="124"/>
      <c r="K633" s="124"/>
    </row>
    <row r="634" ht="15.75" customHeight="1">
      <c r="E634" s="124"/>
      <c r="F634" s="124"/>
      <c r="G634" s="124"/>
      <c r="H634" s="124"/>
      <c r="I634" s="124"/>
      <c r="J634" s="124"/>
      <c r="K634" s="124"/>
    </row>
    <row r="635" ht="15.75" customHeight="1">
      <c r="E635" s="124"/>
      <c r="F635" s="124"/>
      <c r="G635" s="124"/>
      <c r="H635" s="124"/>
      <c r="I635" s="124"/>
      <c r="J635" s="124"/>
      <c r="K635" s="124"/>
    </row>
    <row r="636" ht="15.75" customHeight="1">
      <c r="E636" s="124"/>
      <c r="F636" s="124"/>
      <c r="G636" s="124"/>
      <c r="H636" s="124"/>
      <c r="I636" s="124"/>
      <c r="J636" s="124"/>
      <c r="K636" s="124"/>
    </row>
    <row r="637" ht="15.75" customHeight="1">
      <c r="E637" s="124"/>
      <c r="F637" s="124"/>
      <c r="G637" s="124"/>
      <c r="H637" s="124"/>
      <c r="I637" s="124"/>
      <c r="J637" s="124"/>
      <c r="K637" s="124"/>
    </row>
    <row r="638" ht="15.75" customHeight="1">
      <c r="E638" s="124"/>
      <c r="F638" s="124"/>
      <c r="G638" s="124"/>
      <c r="H638" s="124"/>
      <c r="I638" s="124"/>
      <c r="J638" s="124"/>
      <c r="K638" s="124"/>
    </row>
    <row r="639" ht="15.75" customHeight="1">
      <c r="E639" s="124"/>
      <c r="F639" s="124"/>
      <c r="G639" s="124"/>
      <c r="H639" s="124"/>
      <c r="I639" s="124"/>
      <c r="J639" s="124"/>
      <c r="K639" s="124"/>
    </row>
    <row r="640" ht="15.75" customHeight="1">
      <c r="E640" s="124"/>
      <c r="F640" s="124"/>
      <c r="G640" s="124"/>
      <c r="H640" s="124"/>
      <c r="I640" s="124"/>
      <c r="J640" s="124"/>
      <c r="K640" s="124"/>
    </row>
    <row r="641" ht="15.75" customHeight="1">
      <c r="E641" s="124"/>
      <c r="F641" s="124"/>
      <c r="G641" s="124"/>
      <c r="H641" s="124"/>
      <c r="I641" s="124"/>
      <c r="J641" s="124"/>
      <c r="K641" s="124"/>
    </row>
    <row r="642" ht="15.75" customHeight="1">
      <c r="E642" s="124"/>
      <c r="F642" s="124"/>
      <c r="G642" s="124"/>
      <c r="H642" s="124"/>
      <c r="I642" s="124"/>
      <c r="J642" s="124"/>
      <c r="K642" s="124"/>
    </row>
    <row r="643" ht="15.75" customHeight="1">
      <c r="E643" s="124"/>
      <c r="F643" s="124"/>
      <c r="G643" s="124"/>
      <c r="H643" s="124"/>
      <c r="I643" s="124"/>
      <c r="J643" s="124"/>
      <c r="K643" s="124"/>
    </row>
    <row r="644" ht="15.75" customHeight="1">
      <c r="E644" s="124"/>
      <c r="F644" s="124"/>
      <c r="G644" s="124"/>
      <c r="H644" s="124"/>
      <c r="I644" s="124"/>
      <c r="J644" s="124"/>
      <c r="K644" s="124"/>
    </row>
    <row r="645" ht="15.75" customHeight="1">
      <c r="E645" s="124"/>
      <c r="F645" s="124"/>
      <c r="G645" s="124"/>
      <c r="H645" s="124"/>
      <c r="I645" s="124"/>
      <c r="J645" s="124"/>
      <c r="K645" s="124"/>
    </row>
    <row r="646" ht="15.75" customHeight="1">
      <c r="E646" s="124"/>
      <c r="F646" s="124"/>
      <c r="G646" s="124"/>
      <c r="H646" s="124"/>
      <c r="I646" s="124"/>
      <c r="J646" s="124"/>
      <c r="K646" s="124"/>
    </row>
    <row r="647" ht="15.75" customHeight="1">
      <c r="E647" s="124"/>
      <c r="F647" s="124"/>
      <c r="G647" s="124"/>
      <c r="H647" s="124"/>
      <c r="I647" s="124"/>
      <c r="J647" s="124"/>
      <c r="K647" s="124"/>
    </row>
    <row r="648" ht="15.75" customHeight="1">
      <c r="E648" s="124"/>
      <c r="F648" s="124"/>
      <c r="G648" s="124"/>
      <c r="H648" s="124"/>
      <c r="I648" s="124"/>
      <c r="J648" s="124"/>
      <c r="K648" s="124"/>
    </row>
    <row r="649" ht="15.75" customHeight="1">
      <c r="E649" s="124"/>
      <c r="F649" s="124"/>
      <c r="G649" s="124"/>
      <c r="H649" s="124"/>
      <c r="I649" s="124"/>
      <c r="J649" s="124"/>
      <c r="K649" s="124"/>
    </row>
    <row r="650" ht="15.75" customHeight="1">
      <c r="E650" s="124"/>
      <c r="F650" s="124"/>
      <c r="G650" s="124"/>
      <c r="H650" s="124"/>
      <c r="I650" s="124"/>
      <c r="J650" s="124"/>
      <c r="K650" s="124"/>
    </row>
    <row r="651" ht="15.75" customHeight="1">
      <c r="E651" s="124"/>
      <c r="F651" s="124"/>
      <c r="G651" s="124"/>
      <c r="H651" s="124"/>
      <c r="I651" s="124"/>
      <c r="J651" s="124"/>
      <c r="K651" s="124"/>
    </row>
    <row r="652" ht="15.75" customHeight="1">
      <c r="E652" s="124"/>
      <c r="F652" s="124"/>
      <c r="G652" s="124"/>
      <c r="H652" s="124"/>
      <c r="I652" s="124"/>
      <c r="J652" s="124"/>
      <c r="K652" s="124"/>
    </row>
    <row r="653" ht="15.75" customHeight="1">
      <c r="E653" s="124"/>
      <c r="F653" s="124"/>
      <c r="G653" s="124"/>
      <c r="H653" s="124"/>
      <c r="I653" s="124"/>
      <c r="J653" s="124"/>
      <c r="K653" s="124"/>
    </row>
    <row r="654" ht="15.75" customHeight="1">
      <c r="E654" s="124"/>
      <c r="F654" s="124"/>
      <c r="G654" s="124"/>
      <c r="H654" s="124"/>
      <c r="I654" s="124"/>
      <c r="J654" s="124"/>
      <c r="K654" s="124"/>
    </row>
    <row r="655" ht="15.75" customHeight="1">
      <c r="E655" s="124"/>
      <c r="F655" s="124"/>
      <c r="G655" s="124"/>
      <c r="H655" s="124"/>
      <c r="I655" s="124"/>
      <c r="J655" s="124"/>
      <c r="K655" s="124"/>
    </row>
    <row r="656" ht="15.75" customHeight="1">
      <c r="E656" s="124"/>
      <c r="F656" s="124"/>
      <c r="G656" s="124"/>
      <c r="H656" s="124"/>
      <c r="I656" s="124"/>
      <c r="J656" s="124"/>
      <c r="K656" s="124"/>
    </row>
    <row r="657" ht="15.75" customHeight="1">
      <c r="E657" s="124"/>
      <c r="F657" s="124"/>
      <c r="G657" s="124"/>
      <c r="H657" s="124"/>
      <c r="I657" s="124"/>
      <c r="J657" s="124"/>
      <c r="K657" s="124"/>
    </row>
    <row r="658" ht="15.75" customHeight="1">
      <c r="E658" s="124"/>
      <c r="F658" s="124"/>
      <c r="G658" s="124"/>
      <c r="H658" s="124"/>
      <c r="I658" s="124"/>
      <c r="J658" s="124"/>
      <c r="K658" s="124"/>
    </row>
    <row r="659" ht="15.75" customHeight="1">
      <c r="E659" s="124"/>
      <c r="F659" s="124"/>
      <c r="G659" s="124"/>
      <c r="H659" s="124"/>
      <c r="I659" s="124"/>
      <c r="J659" s="124"/>
      <c r="K659" s="124"/>
    </row>
    <row r="660" ht="15.75" customHeight="1">
      <c r="E660" s="124"/>
      <c r="F660" s="124"/>
      <c r="G660" s="124"/>
      <c r="H660" s="124"/>
      <c r="I660" s="124"/>
      <c r="J660" s="124"/>
      <c r="K660" s="124"/>
    </row>
    <row r="661" ht="15.75" customHeight="1">
      <c r="E661" s="124"/>
      <c r="F661" s="124"/>
      <c r="G661" s="124"/>
      <c r="H661" s="124"/>
      <c r="I661" s="124"/>
      <c r="J661" s="124"/>
      <c r="K661" s="124"/>
    </row>
    <row r="662" ht="15.75" customHeight="1">
      <c r="E662" s="124"/>
      <c r="F662" s="124"/>
      <c r="G662" s="124"/>
      <c r="H662" s="124"/>
      <c r="I662" s="124"/>
      <c r="J662" s="124"/>
      <c r="K662" s="124"/>
    </row>
    <row r="663" ht="15.75" customHeight="1">
      <c r="E663" s="124"/>
      <c r="F663" s="124"/>
      <c r="G663" s="124"/>
      <c r="H663" s="124"/>
      <c r="I663" s="124"/>
      <c r="J663" s="124"/>
      <c r="K663" s="124"/>
    </row>
    <row r="664" ht="15.75" customHeight="1">
      <c r="E664" s="124"/>
      <c r="F664" s="124"/>
      <c r="G664" s="124"/>
      <c r="H664" s="124"/>
      <c r="I664" s="124"/>
      <c r="J664" s="124"/>
      <c r="K664" s="124"/>
    </row>
    <row r="665" ht="15.75" customHeight="1">
      <c r="E665" s="124"/>
      <c r="F665" s="124"/>
      <c r="G665" s="124"/>
      <c r="H665" s="124"/>
      <c r="I665" s="124"/>
      <c r="J665" s="124"/>
      <c r="K665" s="124"/>
    </row>
    <row r="666" ht="15.75" customHeight="1">
      <c r="E666" s="124"/>
      <c r="F666" s="124"/>
      <c r="G666" s="124"/>
      <c r="H666" s="124"/>
      <c r="I666" s="124"/>
      <c r="J666" s="124"/>
      <c r="K666" s="124"/>
    </row>
    <row r="667" ht="15.75" customHeight="1">
      <c r="E667" s="124"/>
      <c r="F667" s="124"/>
      <c r="G667" s="124"/>
      <c r="H667" s="124"/>
      <c r="I667" s="124"/>
      <c r="J667" s="124"/>
      <c r="K667" s="124"/>
    </row>
    <row r="668" ht="15.75" customHeight="1">
      <c r="E668" s="124"/>
      <c r="F668" s="124"/>
      <c r="G668" s="124"/>
      <c r="H668" s="124"/>
      <c r="I668" s="124"/>
      <c r="J668" s="124"/>
      <c r="K668" s="124"/>
    </row>
    <row r="669" ht="15.75" customHeight="1">
      <c r="E669" s="124"/>
      <c r="F669" s="124"/>
      <c r="G669" s="124"/>
      <c r="H669" s="124"/>
      <c r="I669" s="124"/>
      <c r="J669" s="124"/>
      <c r="K669" s="124"/>
    </row>
    <row r="670" ht="15.75" customHeight="1">
      <c r="E670" s="124"/>
      <c r="F670" s="124"/>
      <c r="G670" s="124"/>
      <c r="H670" s="124"/>
      <c r="I670" s="124"/>
      <c r="J670" s="124"/>
      <c r="K670" s="124"/>
    </row>
    <row r="671" ht="15.75" customHeight="1">
      <c r="E671" s="124"/>
      <c r="F671" s="124"/>
      <c r="G671" s="124"/>
      <c r="H671" s="124"/>
      <c r="I671" s="124"/>
      <c r="J671" s="124"/>
      <c r="K671" s="124"/>
    </row>
    <row r="672" ht="15.75" customHeight="1">
      <c r="E672" s="124"/>
      <c r="F672" s="124"/>
      <c r="G672" s="124"/>
      <c r="H672" s="124"/>
      <c r="I672" s="124"/>
      <c r="J672" s="124"/>
      <c r="K672" s="124"/>
    </row>
    <row r="673" ht="15.75" customHeight="1">
      <c r="E673" s="124"/>
      <c r="F673" s="124"/>
      <c r="G673" s="124"/>
      <c r="H673" s="124"/>
      <c r="I673" s="124"/>
      <c r="J673" s="124"/>
      <c r="K673" s="124"/>
    </row>
    <row r="674" ht="15.75" customHeight="1">
      <c r="E674" s="124"/>
      <c r="F674" s="124"/>
      <c r="G674" s="124"/>
      <c r="H674" s="124"/>
      <c r="I674" s="124"/>
      <c r="J674" s="124"/>
      <c r="K674" s="124"/>
    </row>
    <row r="675" ht="15.75" customHeight="1">
      <c r="E675" s="124"/>
      <c r="F675" s="124"/>
      <c r="G675" s="124"/>
      <c r="H675" s="124"/>
      <c r="I675" s="124"/>
      <c r="J675" s="124"/>
      <c r="K675" s="124"/>
    </row>
    <row r="676" ht="15.75" customHeight="1">
      <c r="E676" s="124"/>
      <c r="F676" s="124"/>
      <c r="G676" s="124"/>
      <c r="H676" s="124"/>
      <c r="I676" s="124"/>
      <c r="J676" s="124"/>
      <c r="K676" s="124"/>
    </row>
    <row r="677" ht="15.75" customHeight="1">
      <c r="E677" s="124"/>
      <c r="F677" s="124"/>
      <c r="G677" s="124"/>
      <c r="H677" s="124"/>
      <c r="I677" s="124"/>
      <c r="J677" s="124"/>
      <c r="K677" s="124"/>
    </row>
    <row r="678" ht="15.75" customHeight="1">
      <c r="E678" s="124"/>
      <c r="F678" s="124"/>
      <c r="G678" s="124"/>
      <c r="H678" s="124"/>
      <c r="I678" s="124"/>
      <c r="J678" s="124"/>
      <c r="K678" s="124"/>
    </row>
    <row r="679" ht="15.75" customHeight="1">
      <c r="E679" s="124"/>
      <c r="F679" s="124"/>
      <c r="G679" s="124"/>
      <c r="H679" s="124"/>
      <c r="I679" s="124"/>
      <c r="J679" s="124"/>
      <c r="K679" s="124"/>
    </row>
    <row r="680" ht="15.75" customHeight="1">
      <c r="E680" s="124"/>
      <c r="F680" s="124"/>
      <c r="G680" s="124"/>
      <c r="H680" s="124"/>
      <c r="I680" s="124"/>
      <c r="J680" s="124"/>
      <c r="K680" s="124"/>
    </row>
    <row r="681" ht="15.75" customHeight="1">
      <c r="E681" s="124"/>
      <c r="F681" s="124"/>
      <c r="G681" s="124"/>
      <c r="H681" s="124"/>
      <c r="I681" s="124"/>
      <c r="J681" s="124"/>
      <c r="K681" s="124"/>
    </row>
    <row r="682" ht="15.75" customHeight="1">
      <c r="E682" s="124"/>
      <c r="F682" s="124"/>
      <c r="G682" s="124"/>
      <c r="H682" s="124"/>
      <c r="I682" s="124"/>
      <c r="J682" s="124"/>
      <c r="K682" s="124"/>
    </row>
    <row r="683" ht="15.75" customHeight="1">
      <c r="E683" s="124"/>
      <c r="F683" s="124"/>
      <c r="G683" s="124"/>
      <c r="H683" s="124"/>
      <c r="I683" s="124"/>
      <c r="J683" s="124"/>
      <c r="K683" s="124"/>
    </row>
    <row r="684" ht="15.75" customHeight="1">
      <c r="E684" s="124"/>
      <c r="F684" s="124"/>
      <c r="G684" s="124"/>
      <c r="H684" s="124"/>
      <c r="I684" s="124"/>
      <c r="J684" s="124"/>
      <c r="K684" s="124"/>
    </row>
    <row r="685" ht="15.75" customHeight="1">
      <c r="E685" s="124"/>
      <c r="F685" s="124"/>
      <c r="G685" s="124"/>
      <c r="H685" s="124"/>
      <c r="I685" s="124"/>
      <c r="J685" s="124"/>
      <c r="K685" s="124"/>
    </row>
    <row r="686" ht="15.75" customHeight="1">
      <c r="E686" s="124"/>
      <c r="F686" s="124"/>
      <c r="G686" s="124"/>
      <c r="H686" s="124"/>
      <c r="I686" s="124"/>
      <c r="J686" s="124"/>
      <c r="K686" s="124"/>
    </row>
    <row r="687" ht="15.75" customHeight="1">
      <c r="E687" s="124"/>
      <c r="F687" s="124"/>
      <c r="G687" s="124"/>
      <c r="H687" s="124"/>
      <c r="I687" s="124"/>
      <c r="J687" s="124"/>
      <c r="K687" s="124"/>
    </row>
    <row r="688" ht="15.75" customHeight="1">
      <c r="E688" s="124"/>
      <c r="F688" s="124"/>
      <c r="G688" s="124"/>
      <c r="H688" s="124"/>
      <c r="I688" s="124"/>
      <c r="J688" s="124"/>
      <c r="K688" s="124"/>
    </row>
    <row r="689" ht="15.75" customHeight="1">
      <c r="E689" s="124"/>
      <c r="F689" s="124"/>
      <c r="G689" s="124"/>
      <c r="H689" s="124"/>
      <c r="I689" s="124"/>
      <c r="J689" s="124"/>
      <c r="K689" s="124"/>
    </row>
    <row r="690" ht="15.75" customHeight="1">
      <c r="E690" s="124"/>
      <c r="F690" s="124"/>
      <c r="G690" s="124"/>
      <c r="H690" s="124"/>
      <c r="I690" s="124"/>
      <c r="J690" s="124"/>
      <c r="K690" s="124"/>
    </row>
    <row r="691" ht="15.75" customHeight="1">
      <c r="E691" s="124"/>
      <c r="F691" s="124"/>
      <c r="G691" s="124"/>
      <c r="H691" s="124"/>
      <c r="I691" s="124"/>
      <c r="J691" s="124"/>
      <c r="K691" s="124"/>
    </row>
    <row r="692" ht="15.75" customHeight="1">
      <c r="E692" s="124"/>
      <c r="F692" s="124"/>
      <c r="G692" s="124"/>
      <c r="H692" s="124"/>
      <c r="I692" s="124"/>
      <c r="J692" s="124"/>
      <c r="K692" s="124"/>
    </row>
    <row r="693" ht="15.75" customHeight="1">
      <c r="E693" s="124"/>
      <c r="F693" s="124"/>
      <c r="G693" s="124"/>
      <c r="H693" s="124"/>
      <c r="I693" s="124"/>
      <c r="J693" s="124"/>
      <c r="K693" s="124"/>
    </row>
    <row r="694" ht="15.75" customHeight="1">
      <c r="E694" s="124"/>
      <c r="F694" s="124"/>
      <c r="G694" s="124"/>
      <c r="H694" s="124"/>
      <c r="I694" s="124"/>
      <c r="J694" s="124"/>
      <c r="K694" s="124"/>
    </row>
    <row r="695" ht="15.75" customHeight="1">
      <c r="E695" s="124"/>
      <c r="F695" s="124"/>
      <c r="G695" s="124"/>
      <c r="H695" s="124"/>
      <c r="I695" s="124"/>
      <c r="J695" s="124"/>
      <c r="K695" s="124"/>
    </row>
    <row r="696" ht="15.75" customHeight="1">
      <c r="E696" s="124"/>
      <c r="F696" s="124"/>
      <c r="G696" s="124"/>
      <c r="H696" s="124"/>
      <c r="I696" s="124"/>
      <c r="J696" s="124"/>
      <c r="K696" s="124"/>
    </row>
    <row r="697" ht="15.75" customHeight="1">
      <c r="E697" s="124"/>
      <c r="F697" s="124"/>
      <c r="G697" s="124"/>
      <c r="H697" s="124"/>
      <c r="I697" s="124"/>
      <c r="J697" s="124"/>
      <c r="K697" s="124"/>
    </row>
    <row r="698" ht="15.75" customHeight="1">
      <c r="E698" s="124"/>
      <c r="F698" s="124"/>
      <c r="G698" s="124"/>
      <c r="H698" s="124"/>
      <c r="I698" s="124"/>
      <c r="J698" s="124"/>
      <c r="K698" s="124"/>
    </row>
    <row r="699" ht="15.75" customHeight="1">
      <c r="E699" s="124"/>
      <c r="F699" s="124"/>
      <c r="G699" s="124"/>
      <c r="H699" s="124"/>
      <c r="I699" s="124"/>
      <c r="J699" s="124"/>
      <c r="K699" s="124"/>
    </row>
    <row r="700" ht="15.75" customHeight="1">
      <c r="E700" s="124"/>
      <c r="F700" s="124"/>
      <c r="G700" s="124"/>
      <c r="H700" s="124"/>
      <c r="I700" s="124"/>
      <c r="J700" s="124"/>
      <c r="K700" s="124"/>
    </row>
    <row r="701" ht="15.75" customHeight="1">
      <c r="E701" s="124"/>
      <c r="F701" s="124"/>
      <c r="G701" s="124"/>
      <c r="H701" s="124"/>
      <c r="I701" s="124"/>
      <c r="J701" s="124"/>
      <c r="K701" s="124"/>
    </row>
    <row r="702" ht="15.75" customHeight="1">
      <c r="E702" s="124"/>
      <c r="F702" s="124"/>
      <c r="G702" s="124"/>
      <c r="H702" s="124"/>
      <c r="I702" s="124"/>
      <c r="J702" s="124"/>
      <c r="K702" s="124"/>
    </row>
    <row r="703" ht="15.75" customHeight="1">
      <c r="E703" s="124"/>
      <c r="F703" s="124"/>
      <c r="G703" s="124"/>
      <c r="H703" s="124"/>
      <c r="I703" s="124"/>
      <c r="J703" s="124"/>
      <c r="K703" s="124"/>
    </row>
    <row r="704" ht="15.75" customHeight="1">
      <c r="E704" s="124"/>
      <c r="F704" s="124"/>
      <c r="G704" s="124"/>
      <c r="H704" s="124"/>
      <c r="I704" s="124"/>
      <c r="J704" s="124"/>
      <c r="K704" s="124"/>
    </row>
    <row r="705" ht="15.75" customHeight="1">
      <c r="E705" s="124"/>
      <c r="F705" s="124"/>
      <c r="G705" s="124"/>
      <c r="H705" s="124"/>
      <c r="I705" s="124"/>
      <c r="J705" s="124"/>
      <c r="K705" s="124"/>
    </row>
    <row r="706" ht="15.75" customHeight="1">
      <c r="E706" s="124"/>
      <c r="F706" s="124"/>
      <c r="G706" s="124"/>
      <c r="H706" s="124"/>
      <c r="I706" s="124"/>
      <c r="J706" s="124"/>
      <c r="K706" s="124"/>
    </row>
    <row r="707" ht="15.75" customHeight="1">
      <c r="E707" s="124"/>
      <c r="F707" s="124"/>
      <c r="G707" s="124"/>
      <c r="H707" s="124"/>
      <c r="I707" s="124"/>
      <c r="J707" s="124"/>
      <c r="K707" s="124"/>
    </row>
    <row r="708" ht="15.75" customHeight="1">
      <c r="E708" s="124"/>
      <c r="F708" s="124"/>
      <c r="G708" s="124"/>
      <c r="H708" s="124"/>
      <c r="I708" s="124"/>
      <c r="J708" s="124"/>
      <c r="K708" s="124"/>
    </row>
    <row r="709" ht="15.75" customHeight="1">
      <c r="E709" s="124"/>
      <c r="F709" s="124"/>
      <c r="G709" s="124"/>
      <c r="H709" s="124"/>
      <c r="I709" s="124"/>
      <c r="J709" s="124"/>
      <c r="K709" s="124"/>
    </row>
    <row r="710" ht="15.75" customHeight="1">
      <c r="E710" s="124"/>
      <c r="F710" s="124"/>
      <c r="G710" s="124"/>
      <c r="H710" s="124"/>
      <c r="I710" s="124"/>
      <c r="J710" s="124"/>
      <c r="K710" s="124"/>
    </row>
    <row r="711" ht="15.75" customHeight="1">
      <c r="E711" s="124"/>
      <c r="F711" s="124"/>
      <c r="G711" s="124"/>
      <c r="H711" s="124"/>
      <c r="I711" s="124"/>
      <c r="J711" s="124"/>
      <c r="K711" s="124"/>
    </row>
    <row r="712" ht="15.75" customHeight="1">
      <c r="E712" s="124"/>
      <c r="F712" s="124"/>
      <c r="G712" s="124"/>
      <c r="H712" s="124"/>
      <c r="I712" s="124"/>
      <c r="J712" s="124"/>
      <c r="K712" s="124"/>
    </row>
    <row r="713" ht="15.75" customHeight="1">
      <c r="E713" s="124"/>
      <c r="F713" s="124"/>
      <c r="G713" s="124"/>
      <c r="H713" s="124"/>
      <c r="I713" s="124"/>
      <c r="J713" s="124"/>
      <c r="K713" s="124"/>
    </row>
    <row r="714" ht="15.75" customHeight="1">
      <c r="E714" s="124"/>
      <c r="F714" s="124"/>
      <c r="G714" s="124"/>
      <c r="H714" s="124"/>
      <c r="I714" s="124"/>
      <c r="J714" s="124"/>
      <c r="K714" s="124"/>
    </row>
    <row r="715" ht="15.75" customHeight="1">
      <c r="E715" s="124"/>
      <c r="F715" s="124"/>
      <c r="G715" s="124"/>
      <c r="H715" s="124"/>
      <c r="I715" s="124"/>
      <c r="J715" s="124"/>
      <c r="K715" s="124"/>
    </row>
    <row r="716" ht="15.75" customHeight="1">
      <c r="E716" s="124"/>
      <c r="F716" s="124"/>
      <c r="G716" s="124"/>
      <c r="H716" s="124"/>
      <c r="I716" s="124"/>
      <c r="J716" s="124"/>
      <c r="K716" s="124"/>
    </row>
    <row r="717" ht="15.75" customHeight="1">
      <c r="E717" s="124"/>
      <c r="F717" s="124"/>
      <c r="G717" s="124"/>
      <c r="H717" s="124"/>
      <c r="I717" s="124"/>
      <c r="J717" s="124"/>
      <c r="K717" s="124"/>
    </row>
    <row r="718" ht="15.75" customHeight="1">
      <c r="E718" s="124"/>
      <c r="F718" s="124"/>
      <c r="G718" s="124"/>
      <c r="H718" s="124"/>
      <c r="I718" s="124"/>
      <c r="J718" s="124"/>
      <c r="K718" s="124"/>
    </row>
    <row r="719" ht="15.75" customHeight="1">
      <c r="E719" s="124"/>
      <c r="F719" s="124"/>
      <c r="G719" s="124"/>
      <c r="H719" s="124"/>
      <c r="I719" s="124"/>
      <c r="J719" s="124"/>
      <c r="K719" s="124"/>
    </row>
    <row r="720" ht="15.75" customHeight="1">
      <c r="E720" s="124"/>
      <c r="F720" s="124"/>
      <c r="G720" s="124"/>
      <c r="H720" s="124"/>
      <c r="I720" s="124"/>
      <c r="J720" s="124"/>
      <c r="K720" s="124"/>
    </row>
    <row r="721" ht="15.75" customHeight="1">
      <c r="E721" s="124"/>
      <c r="F721" s="124"/>
      <c r="G721" s="124"/>
      <c r="H721" s="124"/>
      <c r="I721" s="124"/>
      <c r="J721" s="124"/>
      <c r="K721" s="124"/>
    </row>
    <row r="722" ht="15.75" customHeight="1">
      <c r="E722" s="124"/>
      <c r="F722" s="124"/>
      <c r="G722" s="124"/>
      <c r="H722" s="124"/>
      <c r="I722" s="124"/>
      <c r="J722" s="124"/>
      <c r="K722" s="124"/>
    </row>
    <row r="723" ht="15.75" customHeight="1">
      <c r="E723" s="124"/>
      <c r="F723" s="124"/>
      <c r="G723" s="124"/>
      <c r="H723" s="124"/>
      <c r="I723" s="124"/>
      <c r="J723" s="124"/>
      <c r="K723" s="124"/>
    </row>
    <row r="724" ht="15.75" customHeight="1">
      <c r="E724" s="124"/>
      <c r="F724" s="124"/>
      <c r="G724" s="124"/>
      <c r="H724" s="124"/>
      <c r="I724" s="124"/>
      <c r="J724" s="124"/>
      <c r="K724" s="124"/>
    </row>
    <row r="725" ht="15.75" customHeight="1">
      <c r="E725" s="124"/>
      <c r="F725" s="124"/>
      <c r="G725" s="124"/>
      <c r="H725" s="124"/>
      <c r="I725" s="124"/>
      <c r="J725" s="124"/>
      <c r="K725" s="124"/>
    </row>
    <row r="726" ht="15.75" customHeight="1">
      <c r="E726" s="124"/>
      <c r="F726" s="124"/>
      <c r="G726" s="124"/>
      <c r="H726" s="124"/>
      <c r="I726" s="124"/>
      <c r="J726" s="124"/>
      <c r="K726" s="124"/>
    </row>
    <row r="727" ht="15.75" customHeight="1">
      <c r="E727" s="124"/>
      <c r="F727" s="124"/>
      <c r="G727" s="124"/>
      <c r="H727" s="124"/>
      <c r="I727" s="124"/>
      <c r="J727" s="124"/>
      <c r="K727" s="124"/>
    </row>
    <row r="728" ht="15.75" customHeight="1">
      <c r="E728" s="124"/>
      <c r="F728" s="124"/>
      <c r="G728" s="124"/>
      <c r="H728" s="124"/>
      <c r="I728" s="124"/>
      <c r="J728" s="124"/>
      <c r="K728" s="124"/>
    </row>
    <row r="729" ht="15.75" customHeight="1">
      <c r="E729" s="124"/>
      <c r="F729" s="124"/>
      <c r="G729" s="124"/>
      <c r="H729" s="124"/>
      <c r="I729" s="124"/>
      <c r="J729" s="124"/>
      <c r="K729" s="124"/>
    </row>
    <row r="730" ht="15.75" customHeight="1">
      <c r="E730" s="124"/>
      <c r="F730" s="124"/>
      <c r="G730" s="124"/>
      <c r="H730" s="124"/>
      <c r="I730" s="124"/>
      <c r="J730" s="124"/>
      <c r="K730" s="124"/>
    </row>
    <row r="731" ht="15.75" customHeight="1">
      <c r="E731" s="124"/>
      <c r="F731" s="124"/>
      <c r="G731" s="124"/>
      <c r="H731" s="124"/>
      <c r="I731" s="124"/>
      <c r="J731" s="124"/>
      <c r="K731" s="124"/>
    </row>
    <row r="732" ht="15.75" customHeight="1">
      <c r="E732" s="124"/>
      <c r="F732" s="124"/>
      <c r="G732" s="124"/>
      <c r="H732" s="124"/>
      <c r="I732" s="124"/>
      <c r="J732" s="124"/>
      <c r="K732" s="124"/>
    </row>
    <row r="733" ht="15.75" customHeight="1">
      <c r="E733" s="124"/>
      <c r="F733" s="124"/>
      <c r="G733" s="124"/>
      <c r="H733" s="124"/>
      <c r="I733" s="124"/>
      <c r="J733" s="124"/>
      <c r="K733" s="124"/>
    </row>
    <row r="734" ht="15.75" customHeight="1">
      <c r="E734" s="124"/>
      <c r="F734" s="124"/>
      <c r="G734" s="124"/>
      <c r="H734" s="124"/>
      <c r="I734" s="124"/>
      <c r="J734" s="124"/>
      <c r="K734" s="124"/>
    </row>
    <row r="735" ht="15.75" customHeight="1">
      <c r="E735" s="124"/>
      <c r="F735" s="124"/>
      <c r="G735" s="124"/>
      <c r="H735" s="124"/>
      <c r="I735" s="124"/>
      <c r="J735" s="124"/>
      <c r="K735" s="124"/>
    </row>
    <row r="736" ht="15.75" customHeight="1">
      <c r="E736" s="124"/>
      <c r="F736" s="124"/>
      <c r="G736" s="124"/>
      <c r="H736" s="124"/>
      <c r="I736" s="124"/>
      <c r="J736" s="124"/>
      <c r="K736" s="124"/>
    </row>
    <row r="737" ht="15.75" customHeight="1">
      <c r="E737" s="124"/>
      <c r="F737" s="124"/>
      <c r="G737" s="124"/>
      <c r="H737" s="124"/>
      <c r="I737" s="124"/>
      <c r="J737" s="124"/>
      <c r="K737" s="124"/>
    </row>
    <row r="738" ht="15.75" customHeight="1">
      <c r="E738" s="124"/>
      <c r="F738" s="124"/>
      <c r="G738" s="124"/>
      <c r="H738" s="124"/>
      <c r="I738" s="124"/>
      <c r="J738" s="124"/>
      <c r="K738" s="124"/>
    </row>
    <row r="739" ht="15.75" customHeight="1">
      <c r="E739" s="124"/>
      <c r="F739" s="124"/>
      <c r="G739" s="124"/>
      <c r="H739" s="124"/>
      <c r="I739" s="124"/>
      <c r="J739" s="124"/>
      <c r="K739" s="124"/>
    </row>
    <row r="740" ht="15.75" customHeight="1">
      <c r="E740" s="124"/>
      <c r="F740" s="124"/>
      <c r="G740" s="124"/>
      <c r="H740" s="124"/>
      <c r="I740" s="124"/>
      <c r="J740" s="124"/>
      <c r="K740" s="124"/>
    </row>
    <row r="741" ht="15.75" customHeight="1">
      <c r="E741" s="124"/>
      <c r="F741" s="124"/>
      <c r="G741" s="124"/>
      <c r="H741" s="124"/>
      <c r="I741" s="124"/>
      <c r="J741" s="124"/>
      <c r="K741" s="124"/>
    </row>
    <row r="742" ht="15.75" customHeight="1">
      <c r="E742" s="124"/>
      <c r="F742" s="124"/>
      <c r="G742" s="124"/>
      <c r="H742" s="124"/>
      <c r="I742" s="124"/>
      <c r="J742" s="124"/>
      <c r="K742" s="124"/>
    </row>
    <row r="743" ht="15.75" customHeight="1">
      <c r="E743" s="124"/>
      <c r="F743" s="124"/>
      <c r="G743" s="124"/>
      <c r="H743" s="124"/>
      <c r="I743" s="124"/>
      <c r="J743" s="124"/>
      <c r="K743" s="124"/>
    </row>
    <row r="744" ht="15.75" customHeight="1">
      <c r="E744" s="124"/>
      <c r="F744" s="124"/>
      <c r="G744" s="124"/>
      <c r="H744" s="124"/>
      <c r="I744" s="124"/>
      <c r="J744" s="124"/>
      <c r="K744" s="124"/>
    </row>
    <row r="745" ht="15.75" customHeight="1">
      <c r="E745" s="124"/>
      <c r="F745" s="124"/>
      <c r="G745" s="124"/>
      <c r="H745" s="124"/>
      <c r="I745" s="124"/>
      <c r="J745" s="124"/>
      <c r="K745" s="124"/>
    </row>
    <row r="746" ht="15.75" customHeight="1">
      <c r="E746" s="124"/>
      <c r="F746" s="124"/>
      <c r="G746" s="124"/>
      <c r="H746" s="124"/>
      <c r="I746" s="124"/>
      <c r="J746" s="124"/>
      <c r="K746" s="124"/>
    </row>
    <row r="747" ht="15.75" customHeight="1">
      <c r="E747" s="124"/>
      <c r="F747" s="124"/>
      <c r="G747" s="124"/>
      <c r="H747" s="124"/>
      <c r="I747" s="124"/>
      <c r="J747" s="124"/>
      <c r="K747" s="124"/>
    </row>
    <row r="748" ht="15.75" customHeight="1">
      <c r="E748" s="124"/>
      <c r="F748" s="124"/>
      <c r="G748" s="124"/>
      <c r="H748" s="124"/>
      <c r="I748" s="124"/>
      <c r="J748" s="124"/>
      <c r="K748" s="124"/>
    </row>
    <row r="749" ht="15.75" customHeight="1">
      <c r="E749" s="124"/>
      <c r="F749" s="124"/>
      <c r="G749" s="124"/>
      <c r="H749" s="124"/>
      <c r="I749" s="124"/>
      <c r="J749" s="124"/>
      <c r="K749" s="124"/>
    </row>
    <row r="750" ht="15.75" customHeight="1">
      <c r="E750" s="124"/>
      <c r="F750" s="124"/>
      <c r="G750" s="124"/>
      <c r="H750" s="124"/>
      <c r="I750" s="124"/>
      <c r="J750" s="124"/>
      <c r="K750" s="124"/>
    </row>
    <row r="751" ht="15.75" customHeight="1">
      <c r="E751" s="124"/>
      <c r="F751" s="124"/>
      <c r="G751" s="124"/>
      <c r="H751" s="124"/>
      <c r="I751" s="124"/>
      <c r="J751" s="124"/>
      <c r="K751" s="124"/>
    </row>
    <row r="752" ht="15.75" customHeight="1">
      <c r="E752" s="124"/>
      <c r="F752" s="124"/>
      <c r="G752" s="124"/>
      <c r="H752" s="124"/>
      <c r="I752" s="124"/>
      <c r="J752" s="124"/>
      <c r="K752" s="124"/>
    </row>
    <row r="753" ht="15.75" customHeight="1">
      <c r="E753" s="124"/>
      <c r="F753" s="124"/>
      <c r="G753" s="124"/>
      <c r="H753" s="124"/>
      <c r="I753" s="124"/>
      <c r="J753" s="124"/>
      <c r="K753" s="124"/>
    </row>
    <row r="754" ht="15.75" customHeight="1">
      <c r="E754" s="124"/>
      <c r="F754" s="124"/>
      <c r="G754" s="124"/>
      <c r="H754" s="124"/>
      <c r="I754" s="124"/>
      <c r="J754" s="124"/>
      <c r="K754" s="124"/>
    </row>
    <row r="755" ht="15.75" customHeight="1">
      <c r="E755" s="124"/>
      <c r="F755" s="124"/>
      <c r="G755" s="124"/>
      <c r="H755" s="124"/>
      <c r="I755" s="124"/>
      <c r="J755" s="124"/>
      <c r="K755" s="124"/>
    </row>
    <row r="756" ht="15.75" customHeight="1">
      <c r="E756" s="124"/>
      <c r="F756" s="124"/>
      <c r="G756" s="124"/>
      <c r="H756" s="124"/>
      <c r="I756" s="124"/>
      <c r="J756" s="124"/>
      <c r="K756" s="124"/>
    </row>
    <row r="757" ht="15.75" customHeight="1">
      <c r="E757" s="124"/>
      <c r="F757" s="124"/>
      <c r="G757" s="124"/>
      <c r="H757" s="124"/>
      <c r="I757" s="124"/>
      <c r="J757" s="124"/>
      <c r="K757" s="124"/>
    </row>
    <row r="758" ht="15.75" customHeight="1">
      <c r="E758" s="124"/>
      <c r="F758" s="124"/>
      <c r="G758" s="124"/>
      <c r="H758" s="124"/>
      <c r="I758" s="124"/>
      <c r="J758" s="124"/>
      <c r="K758" s="124"/>
    </row>
    <row r="759" ht="15.75" customHeight="1">
      <c r="E759" s="124"/>
      <c r="F759" s="124"/>
      <c r="G759" s="124"/>
      <c r="H759" s="124"/>
      <c r="I759" s="124"/>
      <c r="J759" s="124"/>
      <c r="K759" s="124"/>
    </row>
    <row r="760" ht="15.75" customHeight="1">
      <c r="E760" s="124"/>
      <c r="F760" s="124"/>
      <c r="G760" s="124"/>
      <c r="H760" s="124"/>
      <c r="I760" s="124"/>
      <c r="J760" s="124"/>
      <c r="K760" s="124"/>
    </row>
    <row r="761" ht="15.75" customHeight="1">
      <c r="E761" s="124"/>
      <c r="F761" s="124"/>
      <c r="G761" s="124"/>
      <c r="H761" s="124"/>
      <c r="I761" s="124"/>
      <c r="J761" s="124"/>
      <c r="K761" s="124"/>
    </row>
    <row r="762" ht="15.75" customHeight="1">
      <c r="E762" s="124"/>
      <c r="F762" s="124"/>
      <c r="G762" s="124"/>
      <c r="H762" s="124"/>
      <c r="I762" s="124"/>
      <c r="J762" s="124"/>
      <c r="K762" s="124"/>
    </row>
    <row r="763" ht="15.75" customHeight="1">
      <c r="E763" s="124"/>
      <c r="F763" s="124"/>
      <c r="G763" s="124"/>
      <c r="H763" s="124"/>
      <c r="I763" s="124"/>
      <c r="J763" s="124"/>
      <c r="K763" s="124"/>
    </row>
    <row r="764" ht="15.75" customHeight="1">
      <c r="E764" s="124"/>
      <c r="F764" s="124"/>
      <c r="G764" s="124"/>
      <c r="H764" s="124"/>
      <c r="I764" s="124"/>
      <c r="J764" s="124"/>
      <c r="K764" s="124"/>
    </row>
    <row r="765" ht="15.75" customHeight="1">
      <c r="E765" s="124"/>
      <c r="F765" s="124"/>
      <c r="G765" s="124"/>
      <c r="H765" s="124"/>
      <c r="I765" s="124"/>
      <c r="J765" s="124"/>
      <c r="K765" s="124"/>
    </row>
    <row r="766" ht="15.75" customHeight="1">
      <c r="E766" s="124"/>
      <c r="F766" s="124"/>
      <c r="G766" s="124"/>
      <c r="H766" s="124"/>
      <c r="I766" s="124"/>
      <c r="J766" s="124"/>
      <c r="K766" s="124"/>
    </row>
    <row r="767" ht="15.75" customHeight="1">
      <c r="E767" s="124"/>
      <c r="F767" s="124"/>
      <c r="G767" s="124"/>
      <c r="H767" s="124"/>
      <c r="I767" s="124"/>
      <c r="J767" s="124"/>
      <c r="K767" s="124"/>
    </row>
    <row r="768" ht="15.75" customHeight="1">
      <c r="E768" s="124"/>
      <c r="F768" s="124"/>
      <c r="G768" s="124"/>
      <c r="H768" s="124"/>
      <c r="I768" s="124"/>
      <c r="J768" s="124"/>
      <c r="K768" s="124"/>
    </row>
    <row r="769" ht="15.75" customHeight="1">
      <c r="E769" s="124"/>
      <c r="F769" s="124"/>
      <c r="G769" s="124"/>
      <c r="H769" s="124"/>
      <c r="I769" s="124"/>
      <c r="J769" s="124"/>
      <c r="K769" s="124"/>
    </row>
    <row r="770" ht="15.75" customHeight="1">
      <c r="E770" s="124"/>
      <c r="F770" s="124"/>
      <c r="G770" s="124"/>
      <c r="H770" s="124"/>
      <c r="I770" s="124"/>
      <c r="J770" s="124"/>
      <c r="K770" s="124"/>
    </row>
    <row r="771" ht="15.75" customHeight="1">
      <c r="E771" s="124"/>
      <c r="F771" s="124"/>
      <c r="G771" s="124"/>
      <c r="H771" s="124"/>
      <c r="I771" s="124"/>
      <c r="J771" s="124"/>
      <c r="K771" s="124"/>
    </row>
    <row r="772" ht="15.75" customHeight="1">
      <c r="E772" s="124"/>
      <c r="F772" s="124"/>
      <c r="G772" s="124"/>
      <c r="H772" s="124"/>
      <c r="I772" s="124"/>
      <c r="J772" s="124"/>
      <c r="K772" s="124"/>
    </row>
    <row r="773" ht="15.75" customHeight="1">
      <c r="E773" s="124"/>
      <c r="F773" s="124"/>
      <c r="G773" s="124"/>
      <c r="H773" s="124"/>
      <c r="I773" s="124"/>
      <c r="J773" s="124"/>
      <c r="K773" s="124"/>
    </row>
    <row r="774" ht="15.75" customHeight="1">
      <c r="E774" s="124"/>
      <c r="F774" s="124"/>
      <c r="G774" s="124"/>
      <c r="H774" s="124"/>
      <c r="I774" s="124"/>
      <c r="J774" s="124"/>
      <c r="K774" s="124"/>
    </row>
    <row r="775" ht="15.75" customHeight="1">
      <c r="E775" s="124"/>
      <c r="F775" s="124"/>
      <c r="G775" s="124"/>
      <c r="H775" s="124"/>
      <c r="I775" s="124"/>
      <c r="J775" s="124"/>
      <c r="K775" s="124"/>
    </row>
    <row r="776" ht="15.75" customHeight="1">
      <c r="E776" s="124"/>
      <c r="F776" s="124"/>
      <c r="G776" s="124"/>
      <c r="H776" s="124"/>
      <c r="I776" s="124"/>
      <c r="J776" s="124"/>
      <c r="K776" s="124"/>
    </row>
    <row r="777" ht="15.75" customHeight="1">
      <c r="E777" s="124"/>
      <c r="F777" s="124"/>
      <c r="G777" s="124"/>
      <c r="H777" s="124"/>
      <c r="I777" s="124"/>
      <c r="J777" s="124"/>
      <c r="K777" s="124"/>
    </row>
    <row r="778" ht="15.75" customHeight="1">
      <c r="E778" s="124"/>
      <c r="F778" s="124"/>
      <c r="G778" s="124"/>
      <c r="H778" s="124"/>
      <c r="I778" s="124"/>
      <c r="J778" s="124"/>
      <c r="K778" s="124"/>
    </row>
    <row r="779" ht="15.75" customHeight="1">
      <c r="E779" s="124"/>
      <c r="F779" s="124"/>
      <c r="G779" s="124"/>
      <c r="H779" s="124"/>
      <c r="I779" s="124"/>
      <c r="J779" s="124"/>
      <c r="K779" s="124"/>
    </row>
    <row r="780" ht="15.75" customHeight="1">
      <c r="E780" s="124"/>
      <c r="F780" s="124"/>
      <c r="G780" s="124"/>
      <c r="H780" s="124"/>
      <c r="I780" s="124"/>
      <c r="J780" s="124"/>
      <c r="K780" s="124"/>
    </row>
    <row r="781" ht="15.75" customHeight="1">
      <c r="E781" s="124"/>
      <c r="F781" s="124"/>
      <c r="G781" s="124"/>
      <c r="H781" s="124"/>
      <c r="I781" s="124"/>
      <c r="J781" s="124"/>
      <c r="K781" s="124"/>
    </row>
    <row r="782" ht="15.75" customHeight="1">
      <c r="E782" s="124"/>
      <c r="F782" s="124"/>
      <c r="G782" s="124"/>
      <c r="H782" s="124"/>
      <c r="I782" s="124"/>
      <c r="J782" s="124"/>
      <c r="K782" s="124"/>
    </row>
    <row r="783" ht="15.75" customHeight="1">
      <c r="E783" s="124"/>
      <c r="F783" s="124"/>
      <c r="G783" s="124"/>
      <c r="H783" s="124"/>
      <c r="I783" s="124"/>
      <c r="J783" s="124"/>
      <c r="K783" s="124"/>
    </row>
    <row r="784" ht="15.75" customHeight="1">
      <c r="E784" s="124"/>
      <c r="F784" s="124"/>
      <c r="G784" s="124"/>
      <c r="H784" s="124"/>
      <c r="I784" s="124"/>
      <c r="J784" s="124"/>
      <c r="K784" s="124"/>
    </row>
    <row r="785" ht="15.75" customHeight="1">
      <c r="E785" s="124"/>
      <c r="F785" s="124"/>
      <c r="G785" s="124"/>
      <c r="H785" s="124"/>
      <c r="I785" s="124"/>
      <c r="J785" s="124"/>
      <c r="K785" s="124"/>
    </row>
    <row r="786" ht="15.75" customHeight="1">
      <c r="E786" s="124"/>
      <c r="F786" s="124"/>
      <c r="G786" s="124"/>
      <c r="H786" s="124"/>
      <c r="I786" s="124"/>
      <c r="J786" s="124"/>
      <c r="K786" s="124"/>
    </row>
    <row r="787" ht="15.75" customHeight="1">
      <c r="E787" s="124"/>
      <c r="F787" s="124"/>
      <c r="G787" s="124"/>
      <c r="H787" s="124"/>
      <c r="I787" s="124"/>
      <c r="J787" s="124"/>
      <c r="K787" s="124"/>
    </row>
    <row r="788" ht="15.75" customHeight="1">
      <c r="E788" s="124"/>
      <c r="F788" s="124"/>
      <c r="G788" s="124"/>
      <c r="H788" s="124"/>
      <c r="I788" s="124"/>
      <c r="J788" s="124"/>
      <c r="K788" s="124"/>
    </row>
    <row r="789" ht="15.75" customHeight="1">
      <c r="E789" s="124"/>
      <c r="F789" s="124"/>
      <c r="G789" s="124"/>
      <c r="H789" s="124"/>
      <c r="I789" s="124"/>
      <c r="J789" s="124"/>
      <c r="K789" s="124"/>
    </row>
    <row r="790" ht="15.75" customHeight="1">
      <c r="E790" s="124"/>
      <c r="F790" s="124"/>
      <c r="G790" s="124"/>
      <c r="H790" s="124"/>
      <c r="I790" s="124"/>
      <c r="J790" s="124"/>
      <c r="K790" s="124"/>
    </row>
    <row r="791" ht="15.75" customHeight="1">
      <c r="E791" s="124"/>
      <c r="F791" s="124"/>
      <c r="G791" s="124"/>
      <c r="H791" s="124"/>
      <c r="I791" s="124"/>
      <c r="J791" s="124"/>
      <c r="K791" s="124"/>
    </row>
    <row r="792" ht="15.75" customHeight="1">
      <c r="E792" s="124"/>
      <c r="F792" s="124"/>
      <c r="G792" s="124"/>
      <c r="H792" s="124"/>
      <c r="I792" s="124"/>
      <c r="J792" s="124"/>
      <c r="K792" s="124"/>
    </row>
    <row r="793" ht="15.75" customHeight="1">
      <c r="E793" s="124"/>
      <c r="F793" s="124"/>
      <c r="G793" s="124"/>
      <c r="H793" s="124"/>
      <c r="I793" s="124"/>
      <c r="J793" s="124"/>
      <c r="K793" s="124"/>
    </row>
    <row r="794" ht="15.75" customHeight="1">
      <c r="E794" s="124"/>
      <c r="F794" s="124"/>
      <c r="G794" s="124"/>
      <c r="H794" s="124"/>
      <c r="I794" s="124"/>
      <c r="J794" s="124"/>
      <c r="K794" s="124"/>
    </row>
    <row r="795" ht="15.75" customHeight="1">
      <c r="E795" s="124"/>
      <c r="F795" s="124"/>
      <c r="G795" s="124"/>
      <c r="H795" s="124"/>
      <c r="I795" s="124"/>
      <c r="J795" s="124"/>
      <c r="K795" s="124"/>
    </row>
    <row r="796" ht="15.75" customHeight="1">
      <c r="E796" s="124"/>
      <c r="F796" s="124"/>
      <c r="G796" s="124"/>
      <c r="H796" s="124"/>
      <c r="I796" s="124"/>
      <c r="J796" s="124"/>
      <c r="K796" s="124"/>
    </row>
    <row r="797" ht="15.75" customHeight="1">
      <c r="E797" s="124"/>
      <c r="F797" s="124"/>
      <c r="G797" s="124"/>
      <c r="H797" s="124"/>
      <c r="I797" s="124"/>
      <c r="J797" s="124"/>
      <c r="K797" s="124"/>
    </row>
    <row r="798" ht="15.75" customHeight="1">
      <c r="E798" s="124"/>
      <c r="F798" s="124"/>
      <c r="G798" s="124"/>
      <c r="H798" s="124"/>
      <c r="I798" s="124"/>
      <c r="J798" s="124"/>
      <c r="K798" s="124"/>
    </row>
    <row r="799" ht="15.75" customHeight="1">
      <c r="E799" s="124"/>
      <c r="F799" s="124"/>
      <c r="G799" s="124"/>
      <c r="H799" s="124"/>
      <c r="I799" s="124"/>
      <c r="J799" s="124"/>
      <c r="K799" s="124"/>
    </row>
    <row r="800" ht="15.75" customHeight="1">
      <c r="E800" s="124"/>
      <c r="F800" s="124"/>
      <c r="G800" s="124"/>
      <c r="H800" s="124"/>
      <c r="I800" s="124"/>
      <c r="J800" s="124"/>
      <c r="K800" s="124"/>
    </row>
    <row r="801" ht="15.75" customHeight="1">
      <c r="E801" s="124"/>
      <c r="F801" s="124"/>
      <c r="G801" s="124"/>
      <c r="H801" s="124"/>
      <c r="I801" s="124"/>
      <c r="J801" s="124"/>
      <c r="K801" s="124"/>
    </row>
    <row r="802" ht="15.75" customHeight="1">
      <c r="E802" s="124"/>
      <c r="F802" s="124"/>
      <c r="G802" s="124"/>
      <c r="H802" s="124"/>
      <c r="I802" s="124"/>
      <c r="J802" s="124"/>
      <c r="K802" s="124"/>
    </row>
    <row r="803" ht="15.75" customHeight="1">
      <c r="E803" s="124"/>
      <c r="F803" s="124"/>
      <c r="G803" s="124"/>
      <c r="H803" s="124"/>
      <c r="I803" s="124"/>
      <c r="J803" s="124"/>
      <c r="K803" s="124"/>
    </row>
    <row r="804" ht="15.75" customHeight="1">
      <c r="E804" s="124"/>
      <c r="F804" s="124"/>
      <c r="G804" s="124"/>
      <c r="H804" s="124"/>
      <c r="I804" s="124"/>
      <c r="J804" s="124"/>
      <c r="K804" s="124"/>
    </row>
    <row r="805" ht="15.75" customHeight="1">
      <c r="E805" s="124"/>
      <c r="F805" s="124"/>
      <c r="G805" s="124"/>
      <c r="H805" s="124"/>
      <c r="I805" s="124"/>
      <c r="J805" s="124"/>
      <c r="K805" s="124"/>
    </row>
    <row r="806" ht="15.75" customHeight="1">
      <c r="E806" s="124"/>
      <c r="F806" s="124"/>
      <c r="G806" s="124"/>
      <c r="H806" s="124"/>
      <c r="I806" s="124"/>
      <c r="J806" s="124"/>
      <c r="K806" s="124"/>
    </row>
    <row r="807" ht="15.75" customHeight="1">
      <c r="E807" s="124"/>
      <c r="F807" s="124"/>
      <c r="G807" s="124"/>
      <c r="H807" s="124"/>
      <c r="I807" s="124"/>
      <c r="J807" s="124"/>
      <c r="K807" s="124"/>
    </row>
    <row r="808" ht="15.75" customHeight="1">
      <c r="E808" s="124"/>
      <c r="F808" s="124"/>
      <c r="G808" s="124"/>
      <c r="H808" s="124"/>
      <c r="I808" s="124"/>
      <c r="J808" s="124"/>
      <c r="K808" s="124"/>
    </row>
    <row r="809" ht="15.75" customHeight="1">
      <c r="E809" s="124"/>
      <c r="F809" s="124"/>
      <c r="G809" s="124"/>
      <c r="H809" s="124"/>
      <c r="I809" s="124"/>
      <c r="J809" s="124"/>
      <c r="K809" s="124"/>
    </row>
    <row r="810" ht="15.75" customHeight="1">
      <c r="E810" s="124"/>
      <c r="F810" s="124"/>
      <c r="G810" s="124"/>
      <c r="H810" s="124"/>
      <c r="I810" s="124"/>
      <c r="J810" s="124"/>
      <c r="K810" s="124"/>
    </row>
    <row r="811" ht="15.75" customHeight="1">
      <c r="E811" s="124"/>
      <c r="F811" s="124"/>
      <c r="G811" s="124"/>
      <c r="H811" s="124"/>
      <c r="I811" s="124"/>
      <c r="J811" s="124"/>
      <c r="K811" s="124"/>
    </row>
    <row r="812" ht="15.75" customHeight="1">
      <c r="E812" s="124"/>
      <c r="F812" s="124"/>
      <c r="G812" s="124"/>
      <c r="H812" s="124"/>
      <c r="I812" s="124"/>
      <c r="J812" s="124"/>
      <c r="K812" s="124"/>
    </row>
    <row r="813" ht="15.75" customHeight="1">
      <c r="E813" s="124"/>
      <c r="F813" s="124"/>
      <c r="G813" s="124"/>
      <c r="H813" s="124"/>
      <c r="I813" s="124"/>
      <c r="J813" s="124"/>
      <c r="K813" s="124"/>
    </row>
    <row r="814" ht="15.75" customHeight="1">
      <c r="E814" s="124"/>
      <c r="F814" s="124"/>
      <c r="G814" s="124"/>
      <c r="H814" s="124"/>
      <c r="I814" s="124"/>
      <c r="J814" s="124"/>
      <c r="K814" s="124"/>
    </row>
    <row r="815" ht="15.75" customHeight="1">
      <c r="E815" s="124"/>
      <c r="F815" s="124"/>
      <c r="G815" s="124"/>
      <c r="H815" s="124"/>
      <c r="I815" s="124"/>
      <c r="J815" s="124"/>
      <c r="K815" s="124"/>
    </row>
    <row r="816" ht="15.75" customHeight="1">
      <c r="E816" s="124"/>
      <c r="F816" s="124"/>
      <c r="G816" s="124"/>
      <c r="H816" s="124"/>
      <c r="I816" s="124"/>
      <c r="J816" s="124"/>
      <c r="K816" s="124"/>
    </row>
    <row r="817" ht="15.75" customHeight="1">
      <c r="E817" s="124"/>
      <c r="F817" s="124"/>
      <c r="G817" s="124"/>
      <c r="H817" s="124"/>
      <c r="I817" s="124"/>
      <c r="J817" s="124"/>
      <c r="K817" s="124"/>
    </row>
    <row r="818" ht="15.75" customHeight="1">
      <c r="E818" s="124"/>
      <c r="F818" s="124"/>
      <c r="G818" s="124"/>
      <c r="H818" s="124"/>
      <c r="I818" s="124"/>
      <c r="J818" s="124"/>
      <c r="K818" s="124"/>
    </row>
    <row r="819" ht="15.75" customHeight="1">
      <c r="E819" s="124"/>
      <c r="F819" s="124"/>
      <c r="G819" s="124"/>
      <c r="H819" s="124"/>
      <c r="I819" s="124"/>
      <c r="J819" s="124"/>
      <c r="K819" s="124"/>
    </row>
    <row r="820" ht="15.75" customHeight="1">
      <c r="E820" s="124"/>
      <c r="F820" s="124"/>
      <c r="G820" s="124"/>
      <c r="H820" s="124"/>
      <c r="I820" s="124"/>
      <c r="J820" s="124"/>
      <c r="K820" s="124"/>
    </row>
    <row r="821" ht="15.75" customHeight="1">
      <c r="E821" s="124"/>
      <c r="F821" s="124"/>
      <c r="G821" s="124"/>
      <c r="H821" s="124"/>
      <c r="I821" s="124"/>
      <c r="J821" s="124"/>
      <c r="K821" s="124"/>
    </row>
    <row r="822" ht="15.75" customHeight="1">
      <c r="E822" s="124"/>
      <c r="F822" s="124"/>
      <c r="G822" s="124"/>
      <c r="H822" s="124"/>
      <c r="I822" s="124"/>
      <c r="J822" s="124"/>
      <c r="K822" s="124"/>
    </row>
    <row r="823" ht="15.75" customHeight="1">
      <c r="E823" s="124"/>
      <c r="F823" s="124"/>
      <c r="G823" s="124"/>
      <c r="H823" s="124"/>
      <c r="I823" s="124"/>
      <c r="J823" s="124"/>
      <c r="K823" s="124"/>
    </row>
    <row r="824" ht="15.75" customHeight="1">
      <c r="E824" s="124"/>
      <c r="F824" s="124"/>
      <c r="G824" s="124"/>
      <c r="H824" s="124"/>
      <c r="I824" s="124"/>
      <c r="J824" s="124"/>
      <c r="K824" s="124"/>
    </row>
    <row r="825" ht="15.75" customHeight="1">
      <c r="E825" s="124"/>
      <c r="F825" s="124"/>
      <c r="G825" s="124"/>
      <c r="H825" s="124"/>
      <c r="I825" s="124"/>
      <c r="J825" s="124"/>
      <c r="K825" s="124"/>
    </row>
    <row r="826" ht="15.75" customHeight="1">
      <c r="E826" s="124"/>
      <c r="F826" s="124"/>
      <c r="G826" s="124"/>
      <c r="H826" s="124"/>
      <c r="I826" s="124"/>
      <c r="J826" s="124"/>
      <c r="K826" s="124"/>
    </row>
    <row r="827" ht="15.75" customHeight="1">
      <c r="E827" s="124"/>
      <c r="F827" s="124"/>
      <c r="G827" s="124"/>
      <c r="H827" s="124"/>
      <c r="I827" s="124"/>
      <c r="J827" s="124"/>
      <c r="K827" s="124"/>
    </row>
    <row r="828" ht="15.75" customHeight="1">
      <c r="E828" s="124"/>
      <c r="F828" s="124"/>
      <c r="G828" s="124"/>
      <c r="H828" s="124"/>
      <c r="I828" s="124"/>
      <c r="J828" s="124"/>
      <c r="K828" s="124"/>
    </row>
    <row r="829" ht="15.75" customHeight="1">
      <c r="E829" s="124"/>
      <c r="F829" s="124"/>
      <c r="G829" s="124"/>
      <c r="H829" s="124"/>
      <c r="I829" s="124"/>
      <c r="J829" s="124"/>
      <c r="K829" s="124"/>
    </row>
    <row r="830" ht="15.75" customHeight="1">
      <c r="E830" s="124"/>
      <c r="F830" s="124"/>
      <c r="G830" s="124"/>
      <c r="H830" s="124"/>
      <c r="I830" s="124"/>
      <c r="J830" s="124"/>
      <c r="K830" s="124"/>
    </row>
    <row r="831" ht="15.75" customHeight="1">
      <c r="E831" s="124"/>
      <c r="F831" s="124"/>
      <c r="G831" s="124"/>
      <c r="H831" s="124"/>
      <c r="I831" s="124"/>
      <c r="J831" s="124"/>
      <c r="K831" s="124"/>
    </row>
    <row r="832" ht="15.75" customHeight="1">
      <c r="E832" s="124"/>
      <c r="F832" s="124"/>
      <c r="G832" s="124"/>
      <c r="H832" s="124"/>
      <c r="I832" s="124"/>
      <c r="J832" s="124"/>
      <c r="K832" s="124"/>
    </row>
    <row r="833" ht="15.75" customHeight="1">
      <c r="E833" s="124"/>
      <c r="F833" s="124"/>
      <c r="G833" s="124"/>
      <c r="H833" s="124"/>
      <c r="I833" s="124"/>
      <c r="J833" s="124"/>
      <c r="K833" s="124"/>
    </row>
    <row r="834" ht="15.75" customHeight="1">
      <c r="E834" s="124"/>
      <c r="F834" s="124"/>
      <c r="G834" s="124"/>
      <c r="H834" s="124"/>
      <c r="I834" s="124"/>
      <c r="J834" s="124"/>
      <c r="K834" s="124"/>
    </row>
    <row r="835" ht="15.75" customHeight="1">
      <c r="E835" s="124"/>
      <c r="F835" s="124"/>
      <c r="G835" s="124"/>
      <c r="H835" s="124"/>
      <c r="I835" s="124"/>
      <c r="J835" s="124"/>
      <c r="K835" s="124"/>
    </row>
    <row r="836" ht="15.75" customHeight="1">
      <c r="E836" s="124"/>
      <c r="F836" s="124"/>
      <c r="G836" s="124"/>
      <c r="H836" s="124"/>
      <c r="I836" s="124"/>
      <c r="J836" s="124"/>
      <c r="K836" s="124"/>
    </row>
    <row r="837" ht="15.75" customHeight="1">
      <c r="E837" s="124"/>
      <c r="F837" s="124"/>
      <c r="G837" s="124"/>
      <c r="H837" s="124"/>
      <c r="I837" s="124"/>
      <c r="J837" s="124"/>
      <c r="K837" s="124"/>
    </row>
    <row r="838" ht="15.75" customHeight="1">
      <c r="E838" s="124"/>
      <c r="F838" s="124"/>
      <c r="G838" s="124"/>
      <c r="H838" s="124"/>
      <c r="I838" s="124"/>
      <c r="J838" s="124"/>
      <c r="K838" s="124"/>
    </row>
    <row r="839" ht="15.75" customHeight="1">
      <c r="E839" s="124"/>
      <c r="F839" s="124"/>
      <c r="G839" s="124"/>
      <c r="H839" s="124"/>
      <c r="I839" s="124"/>
      <c r="J839" s="124"/>
      <c r="K839" s="124"/>
    </row>
    <row r="840" ht="15.75" customHeight="1">
      <c r="E840" s="124"/>
      <c r="F840" s="124"/>
      <c r="G840" s="124"/>
      <c r="H840" s="124"/>
      <c r="I840" s="124"/>
      <c r="J840" s="124"/>
      <c r="K840" s="124"/>
    </row>
    <row r="841" ht="15.75" customHeight="1">
      <c r="E841" s="124"/>
      <c r="F841" s="124"/>
      <c r="G841" s="124"/>
      <c r="H841" s="124"/>
      <c r="I841" s="124"/>
      <c r="J841" s="124"/>
      <c r="K841" s="124"/>
    </row>
    <row r="842" ht="15.75" customHeight="1">
      <c r="E842" s="124"/>
      <c r="F842" s="124"/>
      <c r="G842" s="124"/>
      <c r="H842" s="124"/>
      <c r="I842" s="124"/>
      <c r="J842" s="124"/>
      <c r="K842" s="124"/>
    </row>
    <row r="843" ht="15.75" customHeight="1">
      <c r="E843" s="124"/>
      <c r="F843" s="124"/>
      <c r="G843" s="124"/>
      <c r="H843" s="124"/>
      <c r="I843" s="124"/>
      <c r="J843" s="124"/>
      <c r="K843" s="124"/>
    </row>
    <row r="844" ht="15.75" customHeight="1">
      <c r="E844" s="124"/>
      <c r="F844" s="124"/>
      <c r="G844" s="124"/>
      <c r="H844" s="124"/>
      <c r="I844" s="124"/>
      <c r="J844" s="124"/>
      <c r="K844" s="124"/>
    </row>
    <row r="845" ht="15.75" customHeight="1">
      <c r="E845" s="124"/>
      <c r="F845" s="124"/>
      <c r="G845" s="124"/>
      <c r="H845" s="124"/>
      <c r="I845" s="124"/>
      <c r="J845" s="124"/>
      <c r="K845" s="124"/>
    </row>
    <row r="846" ht="15.75" customHeight="1">
      <c r="E846" s="124"/>
      <c r="F846" s="124"/>
      <c r="G846" s="124"/>
      <c r="H846" s="124"/>
      <c r="I846" s="124"/>
      <c r="J846" s="124"/>
      <c r="K846" s="124"/>
    </row>
    <row r="847" ht="15.75" customHeight="1">
      <c r="E847" s="124"/>
      <c r="F847" s="124"/>
      <c r="G847" s="124"/>
      <c r="H847" s="124"/>
      <c r="I847" s="124"/>
      <c r="J847" s="124"/>
      <c r="K847" s="124"/>
    </row>
    <row r="848" ht="15.75" customHeight="1">
      <c r="E848" s="124"/>
      <c r="F848" s="124"/>
      <c r="G848" s="124"/>
      <c r="H848" s="124"/>
      <c r="I848" s="124"/>
      <c r="J848" s="124"/>
      <c r="K848" s="124"/>
    </row>
    <row r="849" ht="15.75" customHeight="1">
      <c r="E849" s="124"/>
      <c r="F849" s="124"/>
      <c r="G849" s="124"/>
      <c r="H849" s="124"/>
      <c r="I849" s="124"/>
      <c r="J849" s="124"/>
      <c r="K849" s="124"/>
    </row>
    <row r="850" ht="15.75" customHeight="1">
      <c r="E850" s="124"/>
      <c r="F850" s="124"/>
      <c r="G850" s="124"/>
      <c r="H850" s="124"/>
      <c r="I850" s="124"/>
      <c r="J850" s="124"/>
      <c r="K850" s="124"/>
    </row>
    <row r="851" ht="15.75" customHeight="1">
      <c r="E851" s="124"/>
      <c r="F851" s="124"/>
      <c r="G851" s="124"/>
      <c r="H851" s="124"/>
      <c r="I851" s="124"/>
      <c r="J851" s="124"/>
      <c r="K851" s="124"/>
    </row>
    <row r="852" ht="15.75" customHeight="1">
      <c r="E852" s="124"/>
      <c r="F852" s="124"/>
      <c r="G852" s="124"/>
      <c r="H852" s="124"/>
      <c r="I852" s="124"/>
      <c r="J852" s="124"/>
      <c r="K852" s="124"/>
    </row>
    <row r="853" ht="15.75" customHeight="1">
      <c r="E853" s="124"/>
      <c r="F853" s="124"/>
      <c r="G853" s="124"/>
      <c r="H853" s="124"/>
      <c r="I853" s="124"/>
      <c r="J853" s="124"/>
      <c r="K853" s="124"/>
    </row>
    <row r="854" ht="15.75" customHeight="1">
      <c r="E854" s="124"/>
      <c r="F854" s="124"/>
      <c r="G854" s="124"/>
      <c r="H854" s="124"/>
      <c r="I854" s="124"/>
      <c r="J854" s="124"/>
      <c r="K854" s="124"/>
    </row>
    <row r="855" ht="15.75" customHeight="1">
      <c r="E855" s="124"/>
      <c r="F855" s="124"/>
      <c r="G855" s="124"/>
      <c r="H855" s="124"/>
      <c r="I855" s="124"/>
      <c r="J855" s="124"/>
      <c r="K855" s="124"/>
    </row>
    <row r="856" ht="15.75" customHeight="1">
      <c r="E856" s="124"/>
      <c r="F856" s="124"/>
      <c r="G856" s="124"/>
      <c r="H856" s="124"/>
      <c r="I856" s="124"/>
      <c r="J856" s="124"/>
      <c r="K856" s="124"/>
    </row>
    <row r="857" ht="15.75" customHeight="1">
      <c r="E857" s="124"/>
      <c r="F857" s="124"/>
      <c r="G857" s="124"/>
      <c r="H857" s="124"/>
      <c r="I857" s="124"/>
      <c r="J857" s="124"/>
      <c r="K857" s="124"/>
    </row>
    <row r="858" ht="15.75" customHeight="1">
      <c r="E858" s="124"/>
      <c r="F858" s="124"/>
      <c r="G858" s="124"/>
      <c r="H858" s="124"/>
      <c r="I858" s="124"/>
      <c r="J858" s="124"/>
      <c r="K858" s="124"/>
    </row>
    <row r="859" ht="15.75" customHeight="1">
      <c r="E859" s="124"/>
      <c r="F859" s="124"/>
      <c r="G859" s="124"/>
      <c r="H859" s="124"/>
      <c r="I859" s="124"/>
      <c r="J859" s="124"/>
      <c r="K859" s="124"/>
    </row>
    <row r="860" ht="15.75" customHeight="1">
      <c r="E860" s="124"/>
      <c r="F860" s="124"/>
      <c r="G860" s="124"/>
      <c r="H860" s="124"/>
      <c r="I860" s="124"/>
      <c r="J860" s="124"/>
      <c r="K860" s="124"/>
    </row>
    <row r="861" ht="15.75" customHeight="1">
      <c r="E861" s="124"/>
      <c r="F861" s="124"/>
      <c r="G861" s="124"/>
      <c r="H861" s="124"/>
      <c r="I861" s="124"/>
      <c r="J861" s="124"/>
      <c r="K861" s="124"/>
    </row>
    <row r="862" ht="15.75" customHeight="1">
      <c r="E862" s="124"/>
      <c r="F862" s="124"/>
      <c r="G862" s="124"/>
      <c r="H862" s="124"/>
      <c r="I862" s="124"/>
      <c r="J862" s="124"/>
      <c r="K862" s="124"/>
    </row>
    <row r="863" ht="15.75" customHeight="1">
      <c r="E863" s="124"/>
      <c r="F863" s="124"/>
      <c r="G863" s="124"/>
      <c r="H863" s="124"/>
      <c r="I863" s="124"/>
      <c r="J863" s="124"/>
      <c r="K863" s="124"/>
    </row>
    <row r="864" ht="15.75" customHeight="1">
      <c r="E864" s="124"/>
      <c r="F864" s="124"/>
      <c r="G864" s="124"/>
      <c r="H864" s="124"/>
      <c r="I864" s="124"/>
      <c r="J864" s="124"/>
      <c r="K864" s="124"/>
    </row>
    <row r="865" ht="15.75" customHeight="1">
      <c r="E865" s="124"/>
      <c r="F865" s="124"/>
      <c r="G865" s="124"/>
      <c r="H865" s="124"/>
      <c r="I865" s="124"/>
      <c r="J865" s="124"/>
      <c r="K865" s="124"/>
    </row>
    <row r="866" ht="15.75" customHeight="1">
      <c r="E866" s="124"/>
      <c r="F866" s="124"/>
      <c r="G866" s="124"/>
      <c r="H866" s="124"/>
      <c r="I866" s="124"/>
      <c r="J866" s="124"/>
      <c r="K866" s="124"/>
    </row>
    <row r="867" ht="15.75" customHeight="1">
      <c r="E867" s="124"/>
      <c r="F867" s="124"/>
      <c r="G867" s="124"/>
      <c r="H867" s="124"/>
      <c r="I867" s="124"/>
      <c r="J867" s="124"/>
      <c r="K867" s="124"/>
    </row>
    <row r="868" ht="15.75" customHeight="1">
      <c r="E868" s="124"/>
      <c r="F868" s="124"/>
      <c r="G868" s="124"/>
      <c r="H868" s="124"/>
      <c r="I868" s="124"/>
      <c r="J868" s="124"/>
      <c r="K868" s="124"/>
    </row>
    <row r="869" ht="15.75" customHeight="1">
      <c r="E869" s="124"/>
      <c r="F869" s="124"/>
      <c r="G869" s="124"/>
      <c r="H869" s="124"/>
      <c r="I869" s="124"/>
      <c r="J869" s="124"/>
      <c r="K869" s="124"/>
    </row>
    <row r="870" ht="15.75" customHeight="1">
      <c r="E870" s="124"/>
      <c r="F870" s="124"/>
      <c r="G870" s="124"/>
      <c r="H870" s="124"/>
      <c r="I870" s="124"/>
      <c r="J870" s="124"/>
      <c r="K870" s="124"/>
    </row>
    <row r="871" ht="15.75" customHeight="1">
      <c r="E871" s="124"/>
      <c r="F871" s="124"/>
      <c r="G871" s="124"/>
      <c r="H871" s="124"/>
      <c r="I871" s="124"/>
      <c r="J871" s="124"/>
      <c r="K871" s="124"/>
    </row>
    <row r="872" ht="15.75" customHeight="1">
      <c r="E872" s="124"/>
      <c r="F872" s="124"/>
      <c r="G872" s="124"/>
      <c r="H872" s="124"/>
      <c r="I872" s="124"/>
      <c r="J872" s="124"/>
      <c r="K872" s="124"/>
    </row>
    <row r="873" ht="15.75" customHeight="1">
      <c r="E873" s="124"/>
      <c r="F873" s="124"/>
      <c r="G873" s="124"/>
      <c r="H873" s="124"/>
      <c r="I873" s="124"/>
      <c r="J873" s="124"/>
      <c r="K873" s="124"/>
    </row>
    <row r="874" ht="15.75" customHeight="1">
      <c r="E874" s="124"/>
      <c r="F874" s="124"/>
      <c r="G874" s="124"/>
      <c r="H874" s="124"/>
      <c r="I874" s="124"/>
      <c r="J874" s="124"/>
      <c r="K874" s="124"/>
    </row>
    <row r="875" ht="15.75" customHeight="1">
      <c r="E875" s="124"/>
      <c r="F875" s="124"/>
      <c r="G875" s="124"/>
      <c r="H875" s="124"/>
      <c r="I875" s="124"/>
      <c r="J875" s="124"/>
      <c r="K875" s="124"/>
    </row>
    <row r="876" ht="15.75" customHeight="1">
      <c r="E876" s="124"/>
      <c r="F876" s="124"/>
      <c r="G876" s="124"/>
      <c r="H876" s="124"/>
      <c r="I876" s="124"/>
      <c r="J876" s="124"/>
      <c r="K876" s="124"/>
    </row>
    <row r="877" ht="15.75" customHeight="1">
      <c r="E877" s="124"/>
      <c r="F877" s="124"/>
      <c r="G877" s="124"/>
      <c r="H877" s="124"/>
      <c r="I877" s="124"/>
      <c r="J877" s="124"/>
      <c r="K877" s="124"/>
    </row>
    <row r="878" ht="15.75" customHeight="1">
      <c r="E878" s="124"/>
      <c r="F878" s="124"/>
      <c r="G878" s="124"/>
      <c r="H878" s="124"/>
      <c r="I878" s="124"/>
      <c r="J878" s="124"/>
      <c r="K878" s="124"/>
    </row>
    <row r="879" ht="15.75" customHeight="1">
      <c r="E879" s="124"/>
      <c r="F879" s="124"/>
      <c r="G879" s="124"/>
      <c r="H879" s="124"/>
      <c r="I879" s="124"/>
      <c r="J879" s="124"/>
      <c r="K879" s="124"/>
    </row>
    <row r="880" ht="15.75" customHeight="1">
      <c r="E880" s="124"/>
      <c r="F880" s="124"/>
      <c r="G880" s="124"/>
      <c r="H880" s="124"/>
      <c r="I880" s="124"/>
      <c r="J880" s="124"/>
      <c r="K880" s="124"/>
    </row>
    <row r="881" ht="15.75" customHeight="1">
      <c r="E881" s="124"/>
      <c r="F881" s="124"/>
      <c r="G881" s="124"/>
      <c r="H881" s="124"/>
      <c r="I881" s="124"/>
      <c r="J881" s="124"/>
      <c r="K881" s="124"/>
    </row>
    <row r="882" ht="15.75" customHeight="1">
      <c r="E882" s="124"/>
      <c r="F882" s="124"/>
      <c r="G882" s="124"/>
      <c r="H882" s="124"/>
      <c r="I882" s="124"/>
      <c r="J882" s="124"/>
      <c r="K882" s="124"/>
    </row>
    <row r="883" ht="15.75" customHeight="1">
      <c r="E883" s="124"/>
      <c r="F883" s="124"/>
      <c r="G883" s="124"/>
      <c r="H883" s="124"/>
      <c r="I883" s="124"/>
      <c r="J883" s="124"/>
      <c r="K883" s="124"/>
    </row>
    <row r="884" ht="15.75" customHeight="1">
      <c r="E884" s="124"/>
      <c r="F884" s="124"/>
      <c r="G884" s="124"/>
      <c r="H884" s="124"/>
      <c r="I884" s="124"/>
      <c r="J884" s="124"/>
      <c r="K884" s="124"/>
    </row>
    <row r="885" ht="15.75" customHeight="1">
      <c r="E885" s="124"/>
      <c r="F885" s="124"/>
      <c r="G885" s="124"/>
      <c r="H885" s="124"/>
      <c r="I885" s="124"/>
      <c r="J885" s="124"/>
      <c r="K885" s="124"/>
    </row>
    <row r="886" ht="15.75" customHeight="1">
      <c r="E886" s="124"/>
      <c r="F886" s="124"/>
      <c r="G886" s="124"/>
      <c r="H886" s="124"/>
      <c r="I886" s="124"/>
      <c r="J886" s="124"/>
      <c r="K886" s="124"/>
    </row>
    <row r="887" ht="15.75" customHeight="1">
      <c r="E887" s="124"/>
      <c r="F887" s="124"/>
      <c r="G887" s="124"/>
      <c r="H887" s="124"/>
      <c r="I887" s="124"/>
      <c r="J887" s="124"/>
      <c r="K887" s="124"/>
    </row>
    <row r="888" ht="15.75" customHeight="1">
      <c r="E888" s="124"/>
      <c r="F888" s="124"/>
      <c r="G888" s="124"/>
      <c r="H888" s="124"/>
      <c r="I888" s="124"/>
      <c r="J888" s="124"/>
      <c r="K888" s="124"/>
    </row>
    <row r="889" ht="15.75" customHeight="1">
      <c r="E889" s="124"/>
      <c r="F889" s="124"/>
      <c r="G889" s="124"/>
      <c r="H889" s="124"/>
      <c r="I889" s="124"/>
      <c r="J889" s="124"/>
      <c r="K889" s="124"/>
    </row>
    <row r="890" ht="15.75" customHeight="1">
      <c r="E890" s="124"/>
      <c r="F890" s="124"/>
      <c r="G890" s="124"/>
      <c r="H890" s="124"/>
      <c r="I890" s="124"/>
      <c r="J890" s="124"/>
      <c r="K890" s="124"/>
    </row>
    <row r="891" ht="15.75" customHeight="1">
      <c r="E891" s="124"/>
      <c r="F891" s="124"/>
      <c r="G891" s="124"/>
      <c r="H891" s="124"/>
      <c r="I891" s="124"/>
      <c r="J891" s="124"/>
      <c r="K891" s="124"/>
    </row>
    <row r="892" ht="15.75" customHeight="1">
      <c r="E892" s="124"/>
      <c r="F892" s="124"/>
      <c r="G892" s="124"/>
      <c r="H892" s="124"/>
      <c r="I892" s="124"/>
      <c r="J892" s="124"/>
      <c r="K892" s="124"/>
    </row>
    <row r="893" ht="15.75" customHeight="1">
      <c r="E893" s="124"/>
      <c r="F893" s="124"/>
      <c r="G893" s="124"/>
      <c r="H893" s="124"/>
      <c r="I893" s="124"/>
      <c r="J893" s="124"/>
      <c r="K893" s="124"/>
    </row>
    <row r="894" ht="15.75" customHeight="1">
      <c r="E894" s="124"/>
      <c r="F894" s="124"/>
      <c r="G894" s="124"/>
      <c r="H894" s="124"/>
      <c r="I894" s="124"/>
      <c r="J894" s="124"/>
      <c r="K894" s="124"/>
    </row>
    <row r="895" ht="15.75" customHeight="1">
      <c r="E895" s="124"/>
      <c r="F895" s="124"/>
      <c r="G895" s="124"/>
      <c r="H895" s="124"/>
      <c r="I895" s="124"/>
      <c r="J895" s="124"/>
      <c r="K895" s="124"/>
    </row>
    <row r="896" ht="15.75" customHeight="1">
      <c r="E896" s="124"/>
      <c r="F896" s="124"/>
      <c r="G896" s="124"/>
      <c r="H896" s="124"/>
      <c r="I896" s="124"/>
      <c r="J896" s="124"/>
      <c r="K896" s="124"/>
    </row>
    <row r="897" ht="15.75" customHeight="1">
      <c r="E897" s="124"/>
      <c r="F897" s="124"/>
      <c r="G897" s="124"/>
      <c r="H897" s="124"/>
      <c r="I897" s="124"/>
      <c r="J897" s="124"/>
      <c r="K897" s="124"/>
    </row>
    <row r="898" ht="15.75" customHeight="1">
      <c r="E898" s="124"/>
      <c r="F898" s="124"/>
      <c r="G898" s="124"/>
      <c r="H898" s="124"/>
      <c r="I898" s="124"/>
      <c r="J898" s="124"/>
      <c r="K898" s="124"/>
    </row>
    <row r="899" ht="15.75" customHeight="1">
      <c r="E899" s="124"/>
      <c r="F899" s="124"/>
      <c r="G899" s="124"/>
      <c r="H899" s="124"/>
      <c r="I899" s="124"/>
      <c r="J899" s="124"/>
      <c r="K899" s="124"/>
    </row>
    <row r="900" ht="15.75" customHeight="1">
      <c r="E900" s="124"/>
      <c r="F900" s="124"/>
      <c r="G900" s="124"/>
      <c r="H900" s="124"/>
      <c r="I900" s="124"/>
      <c r="J900" s="124"/>
      <c r="K900" s="124"/>
    </row>
    <row r="901" ht="15.75" customHeight="1">
      <c r="E901" s="124"/>
      <c r="F901" s="124"/>
      <c r="G901" s="124"/>
      <c r="H901" s="124"/>
      <c r="I901" s="124"/>
      <c r="J901" s="124"/>
      <c r="K901" s="124"/>
    </row>
    <row r="902" ht="15.75" customHeight="1">
      <c r="E902" s="124"/>
      <c r="F902" s="124"/>
      <c r="G902" s="124"/>
      <c r="H902" s="124"/>
      <c r="I902" s="124"/>
      <c r="J902" s="124"/>
      <c r="K902" s="124"/>
    </row>
    <row r="903" ht="15.75" customHeight="1">
      <c r="E903" s="124"/>
      <c r="F903" s="124"/>
      <c r="G903" s="124"/>
      <c r="H903" s="124"/>
      <c r="I903" s="124"/>
      <c r="J903" s="124"/>
      <c r="K903" s="124"/>
    </row>
    <row r="904" ht="15.75" customHeight="1">
      <c r="E904" s="124"/>
      <c r="F904" s="124"/>
      <c r="G904" s="124"/>
      <c r="H904" s="124"/>
      <c r="I904" s="124"/>
      <c r="J904" s="124"/>
      <c r="K904" s="124"/>
    </row>
    <row r="905" ht="15.75" customHeight="1">
      <c r="E905" s="124"/>
      <c r="F905" s="124"/>
      <c r="G905" s="124"/>
      <c r="H905" s="124"/>
      <c r="I905" s="124"/>
      <c r="J905" s="124"/>
      <c r="K905" s="124"/>
    </row>
    <row r="906" ht="15.75" customHeight="1">
      <c r="E906" s="124"/>
      <c r="F906" s="124"/>
      <c r="G906" s="124"/>
      <c r="H906" s="124"/>
      <c r="I906" s="124"/>
      <c r="J906" s="124"/>
      <c r="K906" s="124"/>
    </row>
    <row r="907" ht="15.75" customHeight="1">
      <c r="E907" s="124"/>
      <c r="F907" s="124"/>
      <c r="G907" s="124"/>
      <c r="H907" s="124"/>
      <c r="I907" s="124"/>
      <c r="J907" s="124"/>
      <c r="K907" s="124"/>
    </row>
    <row r="908" ht="15.75" customHeight="1">
      <c r="E908" s="124"/>
      <c r="F908" s="124"/>
      <c r="G908" s="124"/>
      <c r="H908" s="124"/>
      <c r="I908" s="124"/>
      <c r="J908" s="124"/>
      <c r="K908" s="124"/>
    </row>
    <row r="909" ht="15.75" customHeight="1">
      <c r="E909" s="124"/>
      <c r="F909" s="124"/>
      <c r="G909" s="124"/>
      <c r="H909" s="124"/>
      <c r="I909" s="124"/>
      <c r="J909" s="124"/>
      <c r="K909" s="124"/>
    </row>
    <row r="910" ht="15.75" customHeight="1">
      <c r="E910" s="124"/>
      <c r="F910" s="124"/>
      <c r="G910" s="124"/>
      <c r="H910" s="124"/>
      <c r="I910" s="124"/>
      <c r="J910" s="124"/>
      <c r="K910" s="124"/>
    </row>
    <row r="911" ht="15.75" customHeight="1">
      <c r="E911" s="124"/>
      <c r="F911" s="124"/>
      <c r="G911" s="124"/>
      <c r="H911" s="124"/>
      <c r="I911" s="124"/>
      <c r="J911" s="124"/>
      <c r="K911" s="124"/>
    </row>
    <row r="912" ht="15.75" customHeight="1">
      <c r="E912" s="124"/>
      <c r="F912" s="124"/>
      <c r="G912" s="124"/>
      <c r="H912" s="124"/>
      <c r="I912" s="124"/>
      <c r="J912" s="124"/>
      <c r="K912" s="124"/>
    </row>
    <row r="913" ht="15.75" customHeight="1">
      <c r="E913" s="124"/>
      <c r="F913" s="124"/>
      <c r="G913" s="124"/>
      <c r="H913" s="124"/>
      <c r="I913" s="124"/>
      <c r="J913" s="124"/>
      <c r="K913" s="124"/>
    </row>
    <row r="914" ht="15.75" customHeight="1">
      <c r="E914" s="124"/>
      <c r="F914" s="124"/>
      <c r="G914" s="124"/>
      <c r="H914" s="124"/>
      <c r="I914" s="124"/>
      <c r="J914" s="124"/>
      <c r="K914" s="124"/>
    </row>
    <row r="915" ht="15.75" customHeight="1">
      <c r="E915" s="124"/>
      <c r="F915" s="124"/>
      <c r="G915" s="124"/>
      <c r="H915" s="124"/>
      <c r="I915" s="124"/>
      <c r="J915" s="124"/>
      <c r="K915" s="124"/>
    </row>
    <row r="916" ht="15.75" customHeight="1">
      <c r="E916" s="124"/>
      <c r="F916" s="124"/>
      <c r="G916" s="124"/>
      <c r="H916" s="124"/>
      <c r="I916" s="124"/>
      <c r="J916" s="124"/>
      <c r="K916" s="124"/>
    </row>
    <row r="917" ht="15.75" customHeight="1">
      <c r="E917" s="124"/>
      <c r="F917" s="124"/>
      <c r="G917" s="124"/>
      <c r="H917" s="124"/>
      <c r="I917" s="124"/>
      <c r="J917" s="124"/>
      <c r="K917" s="124"/>
    </row>
    <row r="918" ht="15.75" customHeight="1">
      <c r="E918" s="124"/>
      <c r="F918" s="124"/>
      <c r="G918" s="124"/>
      <c r="H918" s="124"/>
      <c r="I918" s="124"/>
      <c r="J918" s="124"/>
      <c r="K918" s="124"/>
    </row>
    <row r="919" ht="15.75" customHeight="1">
      <c r="E919" s="124"/>
      <c r="F919" s="124"/>
      <c r="G919" s="124"/>
      <c r="H919" s="124"/>
      <c r="I919" s="124"/>
      <c r="J919" s="124"/>
      <c r="K919" s="124"/>
    </row>
    <row r="920" ht="15.75" customHeight="1">
      <c r="E920" s="124"/>
      <c r="F920" s="124"/>
      <c r="G920" s="124"/>
      <c r="H920" s="124"/>
      <c r="I920" s="124"/>
      <c r="J920" s="124"/>
      <c r="K920" s="124"/>
    </row>
    <row r="921" ht="15.75" customHeight="1">
      <c r="E921" s="124"/>
      <c r="F921" s="124"/>
      <c r="G921" s="124"/>
      <c r="H921" s="124"/>
      <c r="I921" s="124"/>
      <c r="J921" s="124"/>
      <c r="K921" s="124"/>
    </row>
    <row r="922" ht="15.75" customHeight="1">
      <c r="E922" s="124"/>
      <c r="F922" s="124"/>
      <c r="G922" s="124"/>
      <c r="H922" s="124"/>
      <c r="I922" s="124"/>
      <c r="J922" s="124"/>
      <c r="K922" s="124"/>
    </row>
    <row r="923" ht="15.75" customHeight="1">
      <c r="E923" s="124"/>
      <c r="F923" s="124"/>
      <c r="G923" s="124"/>
      <c r="H923" s="124"/>
      <c r="I923" s="124"/>
      <c r="J923" s="124"/>
      <c r="K923" s="124"/>
    </row>
    <row r="924" ht="15.75" customHeight="1">
      <c r="E924" s="124"/>
      <c r="F924" s="124"/>
      <c r="G924" s="124"/>
      <c r="H924" s="124"/>
      <c r="I924" s="124"/>
      <c r="J924" s="124"/>
      <c r="K924" s="124"/>
    </row>
    <row r="925" ht="15.75" customHeight="1">
      <c r="E925" s="124"/>
      <c r="F925" s="124"/>
      <c r="G925" s="124"/>
      <c r="H925" s="124"/>
      <c r="I925" s="124"/>
      <c r="J925" s="124"/>
      <c r="K925" s="124"/>
    </row>
    <row r="926" ht="15.75" customHeight="1">
      <c r="E926" s="124"/>
      <c r="F926" s="124"/>
      <c r="G926" s="124"/>
      <c r="H926" s="124"/>
      <c r="I926" s="124"/>
      <c r="J926" s="124"/>
      <c r="K926" s="124"/>
    </row>
    <row r="927" ht="15.75" customHeight="1">
      <c r="E927" s="124"/>
      <c r="F927" s="124"/>
      <c r="G927" s="124"/>
      <c r="H927" s="124"/>
      <c r="I927" s="124"/>
      <c r="J927" s="124"/>
      <c r="K927" s="124"/>
    </row>
    <row r="928" ht="15.75" customHeight="1">
      <c r="E928" s="124"/>
      <c r="F928" s="124"/>
      <c r="G928" s="124"/>
      <c r="H928" s="124"/>
      <c r="I928" s="124"/>
      <c r="J928" s="124"/>
      <c r="K928" s="124"/>
    </row>
    <row r="929" ht="15.75" customHeight="1">
      <c r="E929" s="124"/>
      <c r="F929" s="124"/>
      <c r="G929" s="124"/>
      <c r="H929" s="124"/>
      <c r="I929" s="124"/>
      <c r="J929" s="124"/>
      <c r="K929" s="124"/>
    </row>
    <row r="930" ht="15.75" customHeight="1">
      <c r="E930" s="124"/>
      <c r="F930" s="124"/>
      <c r="G930" s="124"/>
      <c r="H930" s="124"/>
      <c r="I930" s="124"/>
      <c r="J930" s="124"/>
      <c r="K930" s="124"/>
    </row>
    <row r="931" ht="15.75" customHeight="1">
      <c r="E931" s="124"/>
      <c r="F931" s="124"/>
      <c r="G931" s="124"/>
      <c r="H931" s="124"/>
      <c r="I931" s="124"/>
      <c r="J931" s="124"/>
      <c r="K931" s="124"/>
    </row>
    <row r="932" ht="15.75" customHeight="1">
      <c r="E932" s="124"/>
      <c r="F932" s="124"/>
      <c r="G932" s="124"/>
      <c r="H932" s="124"/>
      <c r="I932" s="124"/>
      <c r="J932" s="124"/>
      <c r="K932" s="124"/>
    </row>
    <row r="933" ht="15.75" customHeight="1">
      <c r="E933" s="124"/>
      <c r="F933" s="124"/>
      <c r="G933" s="124"/>
      <c r="H933" s="124"/>
      <c r="I933" s="124"/>
      <c r="J933" s="124"/>
      <c r="K933" s="124"/>
    </row>
    <row r="934" ht="15.75" customHeight="1">
      <c r="E934" s="124"/>
      <c r="F934" s="124"/>
      <c r="G934" s="124"/>
      <c r="H934" s="124"/>
      <c r="I934" s="124"/>
      <c r="J934" s="124"/>
      <c r="K934" s="124"/>
    </row>
    <row r="935" ht="15.75" customHeight="1">
      <c r="E935" s="124"/>
      <c r="F935" s="124"/>
      <c r="G935" s="124"/>
      <c r="H935" s="124"/>
      <c r="I935" s="124"/>
      <c r="J935" s="124"/>
      <c r="K935" s="124"/>
    </row>
    <row r="936" ht="15.75" customHeight="1">
      <c r="E936" s="124"/>
      <c r="F936" s="124"/>
      <c r="G936" s="124"/>
      <c r="H936" s="124"/>
      <c r="I936" s="124"/>
      <c r="J936" s="124"/>
      <c r="K936" s="124"/>
    </row>
    <row r="937" ht="15.75" customHeight="1">
      <c r="E937" s="124"/>
      <c r="F937" s="124"/>
      <c r="G937" s="124"/>
      <c r="H937" s="124"/>
      <c r="I937" s="124"/>
      <c r="J937" s="124"/>
      <c r="K937" s="124"/>
    </row>
    <row r="938" ht="15.75" customHeight="1">
      <c r="E938" s="124"/>
      <c r="F938" s="124"/>
      <c r="G938" s="124"/>
      <c r="H938" s="124"/>
      <c r="I938" s="124"/>
      <c r="J938" s="124"/>
      <c r="K938" s="124"/>
    </row>
    <row r="939" ht="15.75" customHeight="1">
      <c r="E939" s="124"/>
      <c r="F939" s="124"/>
      <c r="G939" s="124"/>
      <c r="H939" s="124"/>
      <c r="I939" s="124"/>
      <c r="J939" s="124"/>
      <c r="K939" s="124"/>
    </row>
    <row r="940" ht="15.75" customHeight="1">
      <c r="E940" s="124"/>
      <c r="F940" s="124"/>
      <c r="G940" s="124"/>
      <c r="H940" s="124"/>
      <c r="I940" s="124"/>
      <c r="J940" s="124"/>
      <c r="K940" s="124"/>
    </row>
    <row r="941" ht="15.75" customHeight="1">
      <c r="E941" s="124"/>
      <c r="F941" s="124"/>
      <c r="G941" s="124"/>
      <c r="H941" s="124"/>
      <c r="I941" s="124"/>
      <c r="J941" s="124"/>
      <c r="K941" s="124"/>
    </row>
    <row r="942" ht="15.75" customHeight="1">
      <c r="E942" s="124"/>
      <c r="F942" s="124"/>
      <c r="G942" s="124"/>
      <c r="H942" s="124"/>
      <c r="I942" s="124"/>
      <c r="J942" s="124"/>
      <c r="K942" s="124"/>
    </row>
    <row r="943" ht="15.75" customHeight="1">
      <c r="E943" s="124"/>
      <c r="F943" s="124"/>
      <c r="G943" s="124"/>
      <c r="H943" s="124"/>
      <c r="I943" s="124"/>
      <c r="J943" s="124"/>
      <c r="K943" s="124"/>
    </row>
    <row r="944" ht="15.75" customHeight="1">
      <c r="E944" s="124"/>
      <c r="F944" s="124"/>
      <c r="G944" s="124"/>
      <c r="H944" s="124"/>
      <c r="I944" s="124"/>
      <c r="J944" s="124"/>
      <c r="K944" s="124"/>
    </row>
    <row r="945" ht="15.75" customHeight="1">
      <c r="E945" s="124"/>
      <c r="F945" s="124"/>
      <c r="G945" s="124"/>
      <c r="H945" s="124"/>
      <c r="I945" s="124"/>
      <c r="J945" s="124"/>
      <c r="K945" s="124"/>
    </row>
    <row r="946" ht="15.75" customHeight="1">
      <c r="E946" s="124"/>
      <c r="F946" s="124"/>
      <c r="G946" s="124"/>
      <c r="H946" s="124"/>
      <c r="I946" s="124"/>
      <c r="J946" s="124"/>
      <c r="K946" s="124"/>
    </row>
    <row r="947" ht="15.75" customHeight="1">
      <c r="E947" s="124"/>
      <c r="F947" s="124"/>
      <c r="G947" s="124"/>
      <c r="H947" s="124"/>
      <c r="I947" s="124"/>
      <c r="J947" s="124"/>
      <c r="K947" s="124"/>
    </row>
    <row r="948" ht="15.75" customHeight="1">
      <c r="E948" s="124"/>
      <c r="F948" s="124"/>
      <c r="G948" s="124"/>
      <c r="H948" s="124"/>
      <c r="I948" s="124"/>
      <c r="J948" s="124"/>
      <c r="K948" s="124"/>
    </row>
    <row r="949" ht="15.75" customHeight="1">
      <c r="E949" s="124"/>
      <c r="F949" s="124"/>
      <c r="G949" s="124"/>
      <c r="H949" s="124"/>
      <c r="I949" s="124"/>
      <c r="J949" s="124"/>
      <c r="K949" s="124"/>
    </row>
    <row r="950" ht="15.75" customHeight="1">
      <c r="E950" s="124"/>
      <c r="F950" s="124"/>
      <c r="G950" s="124"/>
      <c r="H950" s="124"/>
      <c r="I950" s="124"/>
      <c r="J950" s="124"/>
      <c r="K950" s="124"/>
    </row>
    <row r="951" ht="15.75" customHeight="1">
      <c r="E951" s="124"/>
      <c r="F951" s="124"/>
      <c r="G951" s="124"/>
      <c r="H951" s="124"/>
      <c r="I951" s="124"/>
      <c r="J951" s="124"/>
      <c r="K951" s="124"/>
    </row>
    <row r="952" ht="15.75" customHeight="1">
      <c r="E952" s="124"/>
      <c r="F952" s="124"/>
      <c r="G952" s="124"/>
      <c r="H952" s="124"/>
      <c r="I952" s="124"/>
      <c r="J952" s="124"/>
      <c r="K952" s="124"/>
    </row>
    <row r="953" ht="15.75" customHeight="1">
      <c r="E953" s="124"/>
      <c r="F953" s="124"/>
      <c r="G953" s="124"/>
      <c r="H953" s="124"/>
      <c r="I953" s="124"/>
      <c r="J953" s="124"/>
      <c r="K953" s="124"/>
    </row>
    <row r="954" ht="15.75" customHeight="1">
      <c r="E954" s="124"/>
      <c r="F954" s="124"/>
      <c r="G954" s="124"/>
      <c r="H954" s="124"/>
      <c r="I954" s="124"/>
      <c r="J954" s="124"/>
      <c r="K954" s="124"/>
    </row>
    <row r="955" ht="15.75" customHeight="1">
      <c r="E955" s="124"/>
      <c r="F955" s="124"/>
      <c r="G955" s="124"/>
      <c r="H955" s="124"/>
      <c r="I955" s="124"/>
      <c r="J955" s="124"/>
      <c r="K955" s="124"/>
    </row>
    <row r="956" ht="15.75" customHeight="1">
      <c r="E956" s="124"/>
      <c r="F956" s="124"/>
      <c r="G956" s="124"/>
      <c r="H956" s="124"/>
      <c r="I956" s="124"/>
      <c r="J956" s="124"/>
      <c r="K956" s="124"/>
    </row>
    <row r="957" ht="15.75" customHeight="1">
      <c r="E957" s="124"/>
      <c r="F957" s="124"/>
      <c r="G957" s="124"/>
      <c r="H957" s="124"/>
      <c r="I957" s="124"/>
      <c r="J957" s="124"/>
      <c r="K957" s="124"/>
    </row>
    <row r="958" ht="15.75" customHeight="1">
      <c r="E958" s="124"/>
      <c r="F958" s="124"/>
      <c r="G958" s="124"/>
      <c r="H958" s="124"/>
      <c r="I958" s="124"/>
      <c r="J958" s="124"/>
      <c r="K958" s="124"/>
    </row>
    <row r="959" ht="15.75" customHeight="1">
      <c r="E959" s="124"/>
      <c r="F959" s="124"/>
      <c r="G959" s="124"/>
      <c r="H959" s="124"/>
      <c r="I959" s="124"/>
      <c r="J959" s="124"/>
      <c r="K959" s="124"/>
    </row>
    <row r="960" ht="15.75" customHeight="1">
      <c r="E960" s="124"/>
      <c r="F960" s="124"/>
      <c r="G960" s="124"/>
      <c r="H960" s="124"/>
      <c r="I960" s="124"/>
      <c r="J960" s="124"/>
      <c r="K960" s="124"/>
    </row>
    <row r="961" ht="15.75" customHeight="1">
      <c r="E961" s="124"/>
      <c r="F961" s="124"/>
      <c r="G961" s="124"/>
      <c r="H961" s="124"/>
      <c r="I961" s="124"/>
      <c r="J961" s="124"/>
      <c r="K961" s="124"/>
    </row>
    <row r="962" ht="15.75" customHeight="1">
      <c r="E962" s="124"/>
      <c r="F962" s="124"/>
      <c r="G962" s="124"/>
      <c r="H962" s="124"/>
      <c r="I962" s="124"/>
      <c r="J962" s="124"/>
      <c r="K962" s="124"/>
    </row>
    <row r="963" ht="15.75" customHeight="1">
      <c r="E963" s="124"/>
      <c r="F963" s="124"/>
      <c r="G963" s="124"/>
      <c r="H963" s="124"/>
      <c r="I963" s="124"/>
      <c r="J963" s="124"/>
      <c r="K963" s="124"/>
    </row>
    <row r="964" ht="15.75" customHeight="1">
      <c r="E964" s="124"/>
      <c r="F964" s="124"/>
      <c r="G964" s="124"/>
      <c r="H964" s="124"/>
      <c r="I964" s="124"/>
      <c r="J964" s="124"/>
      <c r="K964" s="124"/>
    </row>
    <row r="965" ht="15.75" customHeight="1">
      <c r="E965" s="124"/>
      <c r="F965" s="124"/>
      <c r="G965" s="124"/>
      <c r="H965" s="124"/>
      <c r="I965" s="124"/>
      <c r="J965" s="124"/>
      <c r="K965" s="124"/>
    </row>
    <row r="966" ht="15.75" customHeight="1">
      <c r="E966" s="124"/>
      <c r="F966" s="124"/>
      <c r="G966" s="124"/>
      <c r="H966" s="124"/>
      <c r="I966" s="124"/>
      <c r="J966" s="124"/>
      <c r="K966" s="124"/>
    </row>
    <row r="967" ht="15.75" customHeight="1">
      <c r="E967" s="124"/>
      <c r="F967" s="124"/>
      <c r="G967" s="124"/>
      <c r="H967" s="124"/>
      <c r="I967" s="124"/>
      <c r="J967" s="124"/>
      <c r="K967" s="124"/>
    </row>
    <row r="968" ht="15.75" customHeight="1">
      <c r="E968" s="124"/>
      <c r="F968" s="124"/>
      <c r="G968" s="124"/>
      <c r="H968" s="124"/>
      <c r="I968" s="124"/>
      <c r="J968" s="124"/>
      <c r="K968" s="124"/>
    </row>
    <row r="969" ht="15.75" customHeight="1">
      <c r="E969" s="124"/>
      <c r="F969" s="124"/>
      <c r="G969" s="124"/>
      <c r="H969" s="124"/>
      <c r="I969" s="124"/>
      <c r="J969" s="124"/>
      <c r="K969" s="124"/>
    </row>
    <row r="970" ht="15.75" customHeight="1">
      <c r="E970" s="124"/>
      <c r="F970" s="124"/>
      <c r="G970" s="124"/>
      <c r="H970" s="124"/>
      <c r="I970" s="124"/>
      <c r="J970" s="124"/>
      <c r="K970" s="124"/>
    </row>
    <row r="971" ht="15.75" customHeight="1">
      <c r="E971" s="124"/>
      <c r="F971" s="124"/>
      <c r="G971" s="124"/>
      <c r="H971" s="124"/>
      <c r="I971" s="124"/>
      <c r="J971" s="124"/>
      <c r="K971" s="124"/>
    </row>
    <row r="972" ht="15.75" customHeight="1">
      <c r="E972" s="124"/>
      <c r="F972" s="124"/>
      <c r="G972" s="124"/>
      <c r="H972" s="124"/>
      <c r="I972" s="124"/>
      <c r="J972" s="124"/>
      <c r="K972" s="124"/>
    </row>
    <row r="973" ht="15.75" customHeight="1">
      <c r="E973" s="124"/>
      <c r="F973" s="124"/>
      <c r="G973" s="124"/>
      <c r="H973" s="124"/>
      <c r="I973" s="124"/>
      <c r="J973" s="124"/>
      <c r="K973" s="124"/>
    </row>
    <row r="974" ht="15.75" customHeight="1">
      <c r="E974" s="124"/>
      <c r="F974" s="124"/>
      <c r="G974" s="124"/>
      <c r="H974" s="124"/>
      <c r="I974" s="124"/>
      <c r="J974" s="124"/>
      <c r="K974" s="124"/>
    </row>
    <row r="975" ht="15.75" customHeight="1">
      <c r="E975" s="124"/>
      <c r="F975" s="124"/>
      <c r="G975" s="124"/>
      <c r="H975" s="124"/>
      <c r="I975" s="124"/>
      <c r="J975" s="124"/>
      <c r="K975" s="124"/>
    </row>
    <row r="976" ht="15.75" customHeight="1">
      <c r="E976" s="124"/>
      <c r="F976" s="124"/>
      <c r="G976" s="124"/>
      <c r="H976" s="124"/>
      <c r="I976" s="124"/>
      <c r="J976" s="124"/>
      <c r="K976" s="124"/>
    </row>
    <row r="977" ht="15.75" customHeight="1">
      <c r="E977" s="124"/>
      <c r="F977" s="124"/>
      <c r="G977" s="124"/>
      <c r="H977" s="124"/>
      <c r="I977" s="124"/>
      <c r="J977" s="124"/>
      <c r="K977" s="124"/>
    </row>
    <row r="978" ht="15.75" customHeight="1">
      <c r="E978" s="124"/>
      <c r="F978" s="124"/>
      <c r="G978" s="124"/>
      <c r="H978" s="124"/>
      <c r="I978" s="124"/>
      <c r="J978" s="124"/>
      <c r="K978" s="124"/>
    </row>
    <row r="979" ht="15.75" customHeight="1">
      <c r="E979" s="124"/>
      <c r="F979" s="124"/>
      <c r="G979" s="124"/>
      <c r="H979" s="124"/>
      <c r="I979" s="124"/>
      <c r="J979" s="124"/>
      <c r="K979" s="124"/>
    </row>
    <row r="980" ht="15.75" customHeight="1">
      <c r="E980" s="124"/>
      <c r="F980" s="124"/>
      <c r="G980" s="124"/>
      <c r="H980" s="124"/>
      <c r="I980" s="124"/>
      <c r="J980" s="124"/>
      <c r="K980" s="124"/>
    </row>
    <row r="981" ht="15.75" customHeight="1">
      <c r="E981" s="124"/>
      <c r="F981" s="124"/>
      <c r="G981" s="124"/>
      <c r="H981" s="124"/>
      <c r="I981" s="124"/>
      <c r="J981" s="124"/>
      <c r="K981" s="124"/>
    </row>
    <row r="982" ht="15.75" customHeight="1">
      <c r="E982" s="124"/>
      <c r="F982" s="124"/>
      <c r="G982" s="124"/>
      <c r="H982" s="124"/>
      <c r="I982" s="124"/>
      <c r="J982" s="124"/>
      <c r="K982" s="124"/>
    </row>
    <row r="983" ht="15.75" customHeight="1">
      <c r="E983" s="124"/>
      <c r="F983" s="124"/>
      <c r="G983" s="124"/>
      <c r="H983" s="124"/>
      <c r="I983" s="124"/>
      <c r="J983" s="124"/>
      <c r="K983" s="124"/>
    </row>
    <row r="984" ht="15.75" customHeight="1">
      <c r="E984" s="124"/>
      <c r="F984" s="124"/>
      <c r="G984" s="124"/>
      <c r="H984" s="124"/>
      <c r="I984" s="124"/>
      <c r="J984" s="124"/>
      <c r="K984" s="124"/>
    </row>
    <row r="985" ht="15.75" customHeight="1">
      <c r="E985" s="124"/>
      <c r="F985" s="124"/>
      <c r="G985" s="124"/>
      <c r="H985" s="124"/>
      <c r="I985" s="124"/>
      <c r="J985" s="124"/>
      <c r="K985" s="124"/>
    </row>
    <row r="986" ht="15.75" customHeight="1">
      <c r="E986" s="124"/>
      <c r="F986" s="124"/>
      <c r="G986" s="124"/>
      <c r="H986" s="124"/>
      <c r="I986" s="124"/>
      <c r="J986" s="124"/>
      <c r="K986" s="124"/>
    </row>
    <row r="987" ht="15.75" customHeight="1">
      <c r="E987" s="124"/>
      <c r="F987" s="124"/>
      <c r="G987" s="124"/>
      <c r="H987" s="124"/>
      <c r="I987" s="124"/>
      <c r="J987" s="124"/>
      <c r="K987" s="124"/>
    </row>
    <row r="988" ht="15.75" customHeight="1">
      <c r="E988" s="124"/>
      <c r="F988" s="124"/>
      <c r="G988" s="124"/>
      <c r="H988" s="124"/>
      <c r="I988" s="124"/>
      <c r="J988" s="124"/>
      <c r="K988" s="124"/>
    </row>
    <row r="989" ht="15.75" customHeight="1">
      <c r="E989" s="124"/>
      <c r="F989" s="124"/>
      <c r="G989" s="124"/>
      <c r="H989" s="124"/>
      <c r="I989" s="124"/>
      <c r="J989" s="124"/>
      <c r="K989" s="124"/>
    </row>
    <row r="990" ht="15.75" customHeight="1">
      <c r="E990" s="124"/>
      <c r="F990" s="124"/>
      <c r="G990" s="124"/>
      <c r="H990" s="124"/>
      <c r="I990" s="124"/>
      <c r="J990" s="124"/>
      <c r="K990" s="124"/>
    </row>
    <row r="991" ht="15.75" customHeight="1">
      <c r="E991" s="124"/>
      <c r="F991" s="124"/>
      <c r="G991" s="124"/>
      <c r="H991" s="124"/>
      <c r="I991" s="124"/>
      <c r="J991" s="124"/>
      <c r="K991" s="124"/>
    </row>
    <row r="992" ht="15.75" customHeight="1">
      <c r="E992" s="124"/>
      <c r="F992" s="124"/>
      <c r="G992" s="124"/>
      <c r="H992" s="124"/>
      <c r="I992" s="124"/>
      <c r="J992" s="124"/>
      <c r="K992" s="124"/>
    </row>
    <row r="993" ht="15.75" customHeight="1">
      <c r="E993" s="124"/>
      <c r="F993" s="124"/>
      <c r="G993" s="124"/>
      <c r="H993" s="124"/>
      <c r="I993" s="124"/>
      <c r="J993" s="124"/>
      <c r="K993" s="124"/>
    </row>
    <row r="994" ht="15.75" customHeight="1">
      <c r="E994" s="124"/>
      <c r="F994" s="124"/>
      <c r="G994" s="124"/>
      <c r="H994" s="124"/>
      <c r="I994" s="124"/>
      <c r="J994" s="124"/>
      <c r="K994" s="124"/>
    </row>
    <row r="995" ht="15.75" customHeight="1">
      <c r="E995" s="124"/>
      <c r="F995" s="124"/>
      <c r="G995" s="124"/>
      <c r="H995" s="124"/>
      <c r="I995" s="124"/>
      <c r="J995" s="124"/>
      <c r="K995" s="124"/>
    </row>
    <row r="996" ht="15.75" customHeight="1">
      <c r="E996" s="124"/>
      <c r="F996" s="124"/>
      <c r="G996" s="124"/>
      <c r="H996" s="124"/>
      <c r="I996" s="124"/>
      <c r="J996" s="124"/>
      <c r="K996" s="124"/>
    </row>
    <row r="997" ht="15.75" customHeight="1">
      <c r="E997" s="124"/>
      <c r="F997" s="124"/>
      <c r="G997" s="124"/>
      <c r="H997" s="124"/>
      <c r="I997" s="124"/>
      <c r="J997" s="124"/>
      <c r="K997" s="124"/>
    </row>
    <row r="998" ht="15.75" customHeight="1">
      <c r="E998" s="124"/>
      <c r="F998" s="124"/>
      <c r="G998" s="124"/>
      <c r="H998" s="124"/>
      <c r="I998" s="124"/>
      <c r="J998" s="124"/>
      <c r="K998" s="124"/>
    </row>
    <row r="999" ht="15.75" customHeight="1">
      <c r="E999" s="124"/>
      <c r="F999" s="124"/>
      <c r="G999" s="124"/>
      <c r="H999" s="124"/>
      <c r="I999" s="124"/>
      <c r="J999" s="124"/>
      <c r="K999" s="124"/>
    </row>
    <row r="1000" ht="15.75" customHeight="1">
      <c r="E1000" s="124"/>
      <c r="F1000" s="124"/>
      <c r="G1000" s="124"/>
      <c r="H1000" s="124"/>
      <c r="I1000" s="124"/>
      <c r="J1000" s="124"/>
      <c r="K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65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12.11"/>
    <col customWidth="1" min="3" max="4" width="9.11"/>
    <col customWidth="1" min="5" max="5" width="15.44"/>
    <col customWidth="1" min="6" max="6" width="12.44"/>
    <col customWidth="1" min="7" max="7" width="10.78"/>
    <col customWidth="1" min="8" max="8" width="16.78"/>
    <col customWidth="1" min="9" max="9" width="10.0"/>
    <col customWidth="1" min="10" max="10" width="10.78"/>
    <col customWidth="1" min="11" max="11" width="17.33"/>
    <col customWidth="1" min="12" max="12" width="12.22"/>
    <col customWidth="1" min="13" max="13" width="13.22"/>
    <col customWidth="1" min="14" max="26" width="8.56"/>
  </cols>
  <sheetData>
    <row r="1" ht="15.75" customHeight="1">
      <c r="A1" s="179" t="s">
        <v>73</v>
      </c>
    </row>
    <row r="2" ht="15.75" customHeight="1">
      <c r="A2" s="180" t="s">
        <v>74</v>
      </c>
      <c r="B2" s="183"/>
      <c r="E2" s="182"/>
      <c r="F2" s="182"/>
      <c r="G2" s="182"/>
      <c r="H2" s="182"/>
      <c r="I2" s="184"/>
      <c r="J2" s="184"/>
      <c r="K2" s="342" t="s">
        <v>65</v>
      </c>
    </row>
    <row r="3" ht="15.75" customHeight="1">
      <c r="A3" s="260" t="s">
        <v>2</v>
      </c>
      <c r="B3" s="260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197" t="s">
        <v>69</v>
      </c>
      <c r="J4" s="197" t="s">
        <v>70</v>
      </c>
      <c r="K4" s="197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'Yakin Pasifik Tuna'!B5</f>
        <v>45137</v>
      </c>
      <c r="C5" s="320">
        <f>'Yakin Pasifik Tuna'!H5</f>
        <v>92</v>
      </c>
      <c r="D5" s="239">
        <f>'Yakin Pasifik Tuna'!X5</f>
        <v>10442.54944</v>
      </c>
      <c r="E5" s="239">
        <f t="shared" ref="E5:E8" si="2">D5*C5</f>
        <v>960714.5487</v>
      </c>
      <c r="F5" s="239"/>
      <c r="G5" s="239"/>
      <c r="H5" s="239"/>
      <c r="I5" s="245">
        <f t="shared" ref="I5:J5" si="1">C5</f>
        <v>92</v>
      </c>
      <c r="J5" s="245">
        <f t="shared" si="1"/>
        <v>10442.54944</v>
      </c>
      <c r="K5" s="245">
        <f>I5*J5</f>
        <v>960714.5487</v>
      </c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'Yakin Pasifik Tuna'!B6</f>
        <v>45138</v>
      </c>
      <c r="C6" s="320">
        <f>'Yakin Pasifik Tuna'!H6</f>
        <v>628</v>
      </c>
      <c r="D6" s="239">
        <f>'Yakin Pasifik Tuna'!X6</f>
        <v>10442.5642</v>
      </c>
      <c r="E6" s="239">
        <f t="shared" si="2"/>
        <v>6557930.319</v>
      </c>
      <c r="F6" s="239"/>
      <c r="G6" s="239"/>
      <c r="H6" s="239"/>
      <c r="I6" s="245">
        <f t="shared" ref="I6:I8" si="3">I5+C6</f>
        <v>720</v>
      </c>
      <c r="J6" s="245">
        <f t="shared" ref="J6:J8" si="4">K6/I6</f>
        <v>10442.56232</v>
      </c>
      <c r="K6" s="245">
        <f t="shared" ref="K6:K8" si="5">K5+E6</f>
        <v>7518644.868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'Yakin Pasifik Tuna'!B7</f>
        <v>45139</v>
      </c>
      <c r="C7" s="320">
        <f>'Yakin Pasifik Tuna'!H7</f>
        <v>451</v>
      </c>
      <c r="D7" s="239">
        <f>'Yakin Pasifik Tuna'!X7</f>
        <v>10444.96644</v>
      </c>
      <c r="E7" s="239">
        <f t="shared" si="2"/>
        <v>4710679.866</v>
      </c>
      <c r="F7" s="239"/>
      <c r="G7" s="239"/>
      <c r="H7" s="239"/>
      <c r="I7" s="245">
        <f t="shared" si="3"/>
        <v>1171</v>
      </c>
      <c r="J7" s="245">
        <f t="shared" si="4"/>
        <v>10443.48824</v>
      </c>
      <c r="K7" s="245">
        <f t="shared" si="5"/>
        <v>12229324.73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'Yakin Pasifik Tuna'!B8</f>
        <v>45149</v>
      </c>
      <c r="C8" s="320">
        <f>'Yakin Pasifik Tuna'!H8</f>
        <v>838</v>
      </c>
      <c r="D8" s="239">
        <f>'Yakin Pasifik Tuna'!X8</f>
        <v>10495.01861</v>
      </c>
      <c r="E8" s="239">
        <f t="shared" si="2"/>
        <v>8794825.598</v>
      </c>
      <c r="F8" s="239"/>
      <c r="G8" s="239"/>
      <c r="H8" s="239"/>
      <c r="I8" s="245">
        <f t="shared" si="3"/>
        <v>2009</v>
      </c>
      <c r="J8" s="245">
        <f t="shared" si="4"/>
        <v>10464.98274</v>
      </c>
      <c r="K8" s="245">
        <f t="shared" si="5"/>
        <v>21024150.33</v>
      </c>
      <c r="L8" s="207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208">
        <v>5.0</v>
      </c>
      <c r="B9" s="209">
        <v>45154.0</v>
      </c>
      <c r="C9" s="321"/>
      <c r="D9" s="240"/>
      <c r="E9" s="240"/>
      <c r="F9" s="240">
        <v>1545.1</v>
      </c>
      <c r="G9" s="240">
        <f>J8</f>
        <v>10464.98274</v>
      </c>
      <c r="H9" s="240">
        <f>F9*G9</f>
        <v>16169444.84</v>
      </c>
      <c r="I9" s="242">
        <f>I8-F9</f>
        <v>463.9</v>
      </c>
      <c r="J9" s="242">
        <f>J8</f>
        <v>10464.98274</v>
      </c>
      <c r="K9" s="242">
        <f>K8-H9</f>
        <v>4854705.495</v>
      </c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199">
        <v>6.0</v>
      </c>
      <c r="B10" s="200">
        <f>'Yakin Pasifik Tuna'!B9</f>
        <v>45165</v>
      </c>
      <c r="C10" s="320">
        <f>'Yakin Pasifik Tuna'!H9</f>
        <v>824</v>
      </c>
      <c r="D10" s="239">
        <f>'Yakin Pasifik Tuna'!X9</f>
        <v>10442.79048</v>
      </c>
      <c r="E10" s="239">
        <f t="shared" ref="E10:E42" si="6">D10*C10</f>
        <v>8604859.356</v>
      </c>
      <c r="F10" s="239"/>
      <c r="G10" s="239"/>
      <c r="H10" s="239"/>
      <c r="I10" s="245">
        <f t="shared" ref="I10:I16" si="7">I9+C10</f>
        <v>1287.9</v>
      </c>
      <c r="J10" s="245">
        <f t="shared" ref="J10:J45" si="8">K10/I10</f>
        <v>10450.78411</v>
      </c>
      <c r="K10" s="245">
        <f t="shared" ref="K10:K16" si="9">K9+E10</f>
        <v>13459564.85</v>
      </c>
      <c r="L10" s="182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200">
        <f>'Yakin Pasifik Tuna'!B10</f>
        <v>45167</v>
      </c>
      <c r="C11" s="320">
        <f>'Yakin Pasifik Tuna'!H10</f>
        <v>183</v>
      </c>
      <c r="D11" s="239">
        <f>'Yakin Pasifik Tuna'!X10</f>
        <v>10441.59292</v>
      </c>
      <c r="E11" s="239">
        <f t="shared" si="6"/>
        <v>1910811.504</v>
      </c>
      <c r="F11" s="239"/>
      <c r="G11" s="239"/>
      <c r="H11" s="239"/>
      <c r="I11" s="245">
        <f t="shared" si="7"/>
        <v>1470.9</v>
      </c>
      <c r="J11" s="245">
        <f t="shared" si="8"/>
        <v>10449.6406</v>
      </c>
      <c r="K11" s="245">
        <f t="shared" si="9"/>
        <v>15370376.36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200">
        <f>'Yakin Pasifik Tuna'!B11</f>
        <v>45169</v>
      </c>
      <c r="C12" s="320">
        <f>'Yakin Pasifik Tuna'!H11</f>
        <v>287</v>
      </c>
      <c r="D12" s="239">
        <f>'Yakin Pasifik Tuna'!X11</f>
        <v>10442.37701</v>
      </c>
      <c r="E12" s="239">
        <f t="shared" si="6"/>
        <v>2996962.202</v>
      </c>
      <c r="F12" s="239"/>
      <c r="G12" s="239"/>
      <c r="H12" s="239"/>
      <c r="I12" s="245">
        <f t="shared" si="7"/>
        <v>1757.9</v>
      </c>
      <c r="J12" s="245">
        <f t="shared" si="8"/>
        <v>10448.45472</v>
      </c>
      <c r="K12" s="245">
        <f t="shared" si="9"/>
        <v>18367338.56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325">
        <f>'Yakin Pasifik Tuna'!B14</f>
        <v>45170</v>
      </c>
      <c r="C13" s="237">
        <f>'Yakin Pasifik Tuna'!H14</f>
        <v>1359</v>
      </c>
      <c r="D13" s="237">
        <f>'Yakin Pasifik Tuna'!X14</f>
        <v>10442.78532</v>
      </c>
      <c r="E13" s="239">
        <f t="shared" si="6"/>
        <v>14191745.25</v>
      </c>
      <c r="F13" s="237"/>
      <c r="G13" s="237"/>
      <c r="H13" s="237"/>
      <c r="I13" s="245">
        <f t="shared" si="7"/>
        <v>3116.9</v>
      </c>
      <c r="J13" s="245">
        <f t="shared" si="8"/>
        <v>10445.98281</v>
      </c>
      <c r="K13" s="245">
        <f t="shared" si="9"/>
        <v>32559083.81</v>
      </c>
    </row>
    <row r="14" ht="15.75" customHeight="1">
      <c r="A14" s="199">
        <v>10.0</v>
      </c>
      <c r="B14" s="325">
        <f>'Yakin Pasifik Tuna'!B15</f>
        <v>45171</v>
      </c>
      <c r="C14" s="237">
        <f>'Yakin Pasifik Tuna'!H15</f>
        <v>446</v>
      </c>
      <c r="D14" s="237">
        <f>'Yakin Pasifik Tuna'!X15</f>
        <v>10442.8081</v>
      </c>
      <c r="E14" s="239">
        <f t="shared" si="6"/>
        <v>4657492.413</v>
      </c>
      <c r="F14" s="237"/>
      <c r="G14" s="237"/>
      <c r="H14" s="237"/>
      <c r="I14" s="245">
        <f t="shared" si="7"/>
        <v>3562.9</v>
      </c>
      <c r="J14" s="245">
        <f t="shared" si="8"/>
        <v>10445.5854</v>
      </c>
      <c r="K14" s="245">
        <f t="shared" si="9"/>
        <v>37216576.22</v>
      </c>
    </row>
    <row r="15" ht="15.75" customHeight="1">
      <c r="A15" s="199">
        <v>11.0</v>
      </c>
      <c r="B15" s="325">
        <f>'Yakin Pasifik Tuna'!B16</f>
        <v>45172</v>
      </c>
      <c r="C15" s="237">
        <f>'Yakin Pasifik Tuna'!H16</f>
        <v>41</v>
      </c>
      <c r="D15" s="237">
        <f>'Yakin Pasifik Tuna'!X16</f>
        <v>10444.92754</v>
      </c>
      <c r="E15" s="239">
        <f t="shared" si="6"/>
        <v>428242.029</v>
      </c>
      <c r="F15" s="237"/>
      <c r="G15" s="237"/>
      <c r="H15" s="237"/>
      <c r="I15" s="245">
        <f t="shared" si="7"/>
        <v>3603.9</v>
      </c>
      <c r="J15" s="245">
        <f t="shared" si="8"/>
        <v>10445.57792</v>
      </c>
      <c r="K15" s="245">
        <f t="shared" si="9"/>
        <v>37644818.25</v>
      </c>
    </row>
    <row r="16" ht="15.75" customHeight="1">
      <c r="A16" s="199">
        <v>12.0</v>
      </c>
      <c r="B16" s="325">
        <f>'Yakin Pasifik Tuna'!B17</f>
        <v>45173</v>
      </c>
      <c r="C16" s="237">
        <f>'Yakin Pasifik Tuna'!H17</f>
        <v>1222</v>
      </c>
      <c r="D16" s="237">
        <f>'Yakin Pasifik Tuna'!X17</f>
        <v>10442.36879</v>
      </c>
      <c r="E16" s="239">
        <f t="shared" si="6"/>
        <v>12760574.66</v>
      </c>
      <c r="F16" s="237"/>
      <c r="G16" s="237"/>
      <c r="H16" s="237"/>
      <c r="I16" s="245">
        <f t="shared" si="7"/>
        <v>4825.9</v>
      </c>
      <c r="J16" s="245">
        <f t="shared" si="8"/>
        <v>10444.76531</v>
      </c>
      <c r="K16" s="245">
        <f t="shared" si="9"/>
        <v>50405392.91</v>
      </c>
    </row>
    <row r="17" ht="15.75" customHeight="1">
      <c r="A17" s="208">
        <v>13.0</v>
      </c>
      <c r="B17" s="326">
        <v>45178.0</v>
      </c>
      <c r="C17" s="228"/>
      <c r="D17" s="228"/>
      <c r="E17" s="240">
        <f t="shared" si="6"/>
        <v>0</v>
      </c>
      <c r="F17" s="248">
        <v>3120.0</v>
      </c>
      <c r="G17" s="248">
        <f t="shared" ref="G17:G18" si="10">J16</f>
        <v>10444.76531</v>
      </c>
      <c r="H17" s="248">
        <f t="shared" ref="H17:H18" si="11">F17*G17</f>
        <v>32587667.77</v>
      </c>
      <c r="I17" s="248">
        <f t="shared" ref="I17:I18" si="12">I16-F17</f>
        <v>1705.9</v>
      </c>
      <c r="J17" s="248">
        <f t="shared" si="8"/>
        <v>10444.76531</v>
      </c>
      <c r="K17" s="248">
        <f t="shared" ref="K17:K18" si="13">K16-H17</f>
        <v>17817725.14</v>
      </c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ht="15.75" customHeight="1">
      <c r="A18" s="208">
        <v>14.0</v>
      </c>
      <c r="B18" s="326">
        <v>45191.0</v>
      </c>
      <c r="C18" s="228"/>
      <c r="D18" s="228"/>
      <c r="E18" s="240">
        <f t="shared" si="6"/>
        <v>0</v>
      </c>
      <c r="F18" s="248">
        <v>1161.9</v>
      </c>
      <c r="G18" s="248">
        <f t="shared" si="10"/>
        <v>10444.76531</v>
      </c>
      <c r="H18" s="248">
        <f t="shared" si="11"/>
        <v>12135772.81</v>
      </c>
      <c r="I18" s="248">
        <f t="shared" si="12"/>
        <v>544</v>
      </c>
      <c r="J18" s="248">
        <f t="shared" si="8"/>
        <v>10444.76531</v>
      </c>
      <c r="K18" s="248">
        <f t="shared" si="13"/>
        <v>5681952.329</v>
      </c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199">
        <v>15.0</v>
      </c>
      <c r="B19" s="325">
        <f>'Yakin Pasifik Tuna'!B18</f>
        <v>45195</v>
      </c>
      <c r="C19" s="249">
        <f>'Yakin Pasifik Tuna'!H18</f>
        <v>1172</v>
      </c>
      <c r="D19" s="237">
        <f>'Yakin Pasifik Tuna'!X18</f>
        <v>10442.71357</v>
      </c>
      <c r="E19" s="239">
        <f t="shared" si="6"/>
        <v>12238860.3</v>
      </c>
      <c r="F19" s="237"/>
      <c r="G19" s="237"/>
      <c r="H19" s="237"/>
      <c r="I19" s="237">
        <f t="shared" ref="I19:I30" si="14">I18+C19</f>
        <v>1716</v>
      </c>
      <c r="J19" s="237">
        <f t="shared" si="8"/>
        <v>10443.364</v>
      </c>
      <c r="K19" s="237">
        <f t="shared" ref="K19:K30" si="15">K18+E19</f>
        <v>17920812.63</v>
      </c>
    </row>
    <row r="20" ht="15.75" customHeight="1">
      <c r="A20" s="199">
        <v>16.0</v>
      </c>
      <c r="B20" s="325">
        <f>'Yakin Pasifik Tuna'!B19</f>
        <v>45197</v>
      </c>
      <c r="C20" s="249">
        <f>'Yakin Pasifik Tuna'!H19</f>
        <v>239</v>
      </c>
      <c r="D20" s="237">
        <f>'Yakin Pasifik Tuna'!X19</f>
        <v>10442.11886</v>
      </c>
      <c r="E20" s="239">
        <f t="shared" si="6"/>
        <v>2495666.408</v>
      </c>
      <c r="F20" s="237"/>
      <c r="G20" s="237"/>
      <c r="H20" s="237"/>
      <c r="I20" s="237">
        <f t="shared" si="14"/>
        <v>1955</v>
      </c>
      <c r="J20" s="237">
        <f t="shared" si="8"/>
        <v>10443.21178</v>
      </c>
      <c r="K20" s="237">
        <f t="shared" si="15"/>
        <v>20416479.04</v>
      </c>
    </row>
    <row r="21" ht="15.75" customHeight="1">
      <c r="A21" s="199">
        <v>17.0</v>
      </c>
      <c r="B21" s="325">
        <f>'Yakin Pasifik Tuna'!B20</f>
        <v>45199</v>
      </c>
      <c r="C21" s="249">
        <f>'Yakin Pasifik Tuna'!H20</f>
        <v>1019</v>
      </c>
      <c r="D21" s="237">
        <f>'Yakin Pasifik Tuna'!X20</f>
        <v>10443.16305</v>
      </c>
      <c r="E21" s="239">
        <f t="shared" si="6"/>
        <v>10641583.14</v>
      </c>
      <c r="F21" s="237"/>
      <c r="G21" s="237"/>
      <c r="H21" s="237"/>
      <c r="I21" s="237">
        <f t="shared" si="14"/>
        <v>2974</v>
      </c>
      <c r="J21" s="237">
        <f t="shared" si="8"/>
        <v>10443.19509</v>
      </c>
      <c r="K21" s="237">
        <f t="shared" si="15"/>
        <v>31058062.18</v>
      </c>
      <c r="L21" s="124">
        <f>SUM(H17:H18)</f>
        <v>44723440.58</v>
      </c>
      <c r="M21" s="124">
        <f>L21+'Persediaan &amp; HPP Ca A-B YPT'!L21+'Persediaan &amp; HPP Cakalang PP'!L54+'Persediaan &amp; HPP Cakalang A-B'!L59</f>
        <v>394257163.8</v>
      </c>
    </row>
    <row r="22" ht="15.75" customHeight="1">
      <c r="A22" s="199">
        <v>18.0</v>
      </c>
      <c r="B22" s="126">
        <v>45200.0</v>
      </c>
      <c r="C22" s="237">
        <f>'Yakin Pasifik Tuna'!H23</f>
        <v>332</v>
      </c>
      <c r="D22" s="237">
        <f>'Yakin Pasifik Tuna'!X23</f>
        <v>10441.53328</v>
      </c>
      <c r="E22" s="239">
        <f t="shared" si="6"/>
        <v>3466589.048</v>
      </c>
      <c r="F22" s="237"/>
      <c r="G22" s="237"/>
      <c r="H22" s="237"/>
      <c r="I22" s="237">
        <f t="shared" si="14"/>
        <v>3306</v>
      </c>
      <c r="J22" s="237">
        <f t="shared" si="8"/>
        <v>10443.0282</v>
      </c>
      <c r="K22" s="237">
        <f t="shared" si="15"/>
        <v>34524651.23</v>
      </c>
    </row>
    <row r="23" ht="15.75" customHeight="1">
      <c r="A23" s="199">
        <v>19.0</v>
      </c>
      <c r="B23" s="126">
        <v>45202.0</v>
      </c>
      <c r="C23" s="237">
        <f>'Yakin Pasifik Tuna'!H24</f>
        <v>453</v>
      </c>
      <c r="D23" s="237">
        <f>'Yakin Pasifik Tuna'!X24</f>
        <v>10442.18972</v>
      </c>
      <c r="E23" s="239">
        <f t="shared" si="6"/>
        <v>4730311.944</v>
      </c>
      <c r="F23" s="237"/>
      <c r="G23" s="237"/>
      <c r="H23" s="237"/>
      <c r="I23" s="237">
        <f t="shared" si="14"/>
        <v>3759</v>
      </c>
      <c r="J23" s="237">
        <f t="shared" si="8"/>
        <v>10442.92715</v>
      </c>
      <c r="K23" s="237">
        <f t="shared" si="15"/>
        <v>39254963.18</v>
      </c>
    </row>
    <row r="24" ht="15.75" customHeight="1">
      <c r="A24" s="199">
        <v>20.0</v>
      </c>
      <c r="B24" s="126">
        <v>45203.0</v>
      </c>
      <c r="C24" s="237">
        <f>'Yakin Pasifik Tuna'!H25</f>
        <v>237</v>
      </c>
      <c r="D24" s="237">
        <f>'Yakin Pasifik Tuna'!X25</f>
        <v>10444.45828</v>
      </c>
      <c r="E24" s="239">
        <f t="shared" si="6"/>
        <v>2475336.613</v>
      </c>
      <c r="F24" s="237"/>
      <c r="G24" s="237"/>
      <c r="H24" s="237"/>
      <c r="I24" s="237">
        <f t="shared" si="14"/>
        <v>3996</v>
      </c>
      <c r="J24" s="237">
        <f t="shared" si="8"/>
        <v>10443.01796</v>
      </c>
      <c r="K24" s="237">
        <f t="shared" si="15"/>
        <v>41730299.79</v>
      </c>
    </row>
    <row r="25" ht="15.75" customHeight="1">
      <c r="A25" s="199">
        <v>21.0</v>
      </c>
      <c r="B25" s="126">
        <v>45204.0</v>
      </c>
      <c r="C25" s="237">
        <f>'Yakin Pasifik Tuna'!H26</f>
        <v>767</v>
      </c>
      <c r="D25" s="237">
        <f>'Yakin Pasifik Tuna'!X26</f>
        <v>10446.66667</v>
      </c>
      <c r="E25" s="239">
        <f t="shared" si="6"/>
        <v>8012593.333</v>
      </c>
      <c r="F25" s="237"/>
      <c r="G25" s="237"/>
      <c r="H25" s="237"/>
      <c r="I25" s="237">
        <f t="shared" si="14"/>
        <v>4763</v>
      </c>
      <c r="J25" s="237">
        <f t="shared" si="8"/>
        <v>10443.60553</v>
      </c>
      <c r="K25" s="237">
        <f t="shared" si="15"/>
        <v>49742893.12</v>
      </c>
    </row>
    <row r="26" ht="15.75" customHeight="1">
      <c r="A26" s="199">
        <v>22.0</v>
      </c>
      <c r="B26" s="126">
        <v>45207.0</v>
      </c>
      <c r="C26" s="237">
        <f>'Yakin Pasifik Tuna'!H27</f>
        <v>3732</v>
      </c>
      <c r="D26" s="237">
        <f>'Yakin Pasifik Tuna'!X27</f>
        <v>10294.68513</v>
      </c>
      <c r="E26" s="239">
        <f t="shared" si="6"/>
        <v>38419764.92</v>
      </c>
      <c r="F26" s="237"/>
      <c r="G26" s="237"/>
      <c r="H26" s="237"/>
      <c r="I26" s="237">
        <f t="shared" si="14"/>
        <v>8495</v>
      </c>
      <c r="J26" s="237">
        <f t="shared" si="8"/>
        <v>10378.18223</v>
      </c>
      <c r="K26" s="237">
        <f t="shared" si="15"/>
        <v>88162658.04</v>
      </c>
    </row>
    <row r="27" ht="15.75" customHeight="1">
      <c r="A27" s="199">
        <v>23.0</v>
      </c>
      <c r="B27" s="126">
        <v>45208.0</v>
      </c>
      <c r="C27" s="237">
        <f>'Yakin Pasifik Tuna'!H28</f>
        <v>2534</v>
      </c>
      <c r="D27" s="237">
        <f>'Yakin Pasifik Tuna'!X28</f>
        <v>10285.4025</v>
      </c>
      <c r="E27" s="239">
        <f t="shared" si="6"/>
        <v>26063209.93</v>
      </c>
      <c r="F27" s="237"/>
      <c r="G27" s="237"/>
      <c r="H27" s="237"/>
      <c r="I27" s="237">
        <f t="shared" si="14"/>
        <v>11029</v>
      </c>
      <c r="J27" s="237">
        <f t="shared" si="8"/>
        <v>10356.86535</v>
      </c>
      <c r="K27" s="237">
        <f t="shared" si="15"/>
        <v>114225868</v>
      </c>
    </row>
    <row r="28" ht="15.75" customHeight="1">
      <c r="A28" s="199">
        <v>24.0</v>
      </c>
      <c r="B28" s="126">
        <v>45209.0</v>
      </c>
      <c r="C28" s="237">
        <f>'Yakin Pasifik Tuna'!H29</f>
        <v>1716</v>
      </c>
      <c r="D28" s="237">
        <f>'Yakin Pasifik Tuna'!X29</f>
        <v>10281.14937</v>
      </c>
      <c r="E28" s="239">
        <f t="shared" si="6"/>
        <v>17642452.32</v>
      </c>
      <c r="F28" s="237"/>
      <c r="G28" s="237"/>
      <c r="H28" s="237"/>
      <c r="I28" s="237">
        <f t="shared" si="14"/>
        <v>12745</v>
      </c>
      <c r="J28" s="237">
        <f t="shared" si="8"/>
        <v>10346.67087</v>
      </c>
      <c r="K28" s="237">
        <f t="shared" si="15"/>
        <v>131868320.3</v>
      </c>
    </row>
    <row r="29" ht="15.75" customHeight="1">
      <c r="A29" s="199">
        <v>25.0</v>
      </c>
      <c r="B29" s="126">
        <v>45210.0</v>
      </c>
      <c r="C29" s="237">
        <f>'Yakin Pasifik Tuna'!H30</f>
        <v>370</v>
      </c>
      <c r="D29" s="237">
        <f>'Yakin Pasifik Tuna'!X30</f>
        <v>10279.43689</v>
      </c>
      <c r="E29" s="239">
        <f t="shared" si="6"/>
        <v>3803391.65</v>
      </c>
      <c r="F29" s="237"/>
      <c r="G29" s="237"/>
      <c r="H29" s="237"/>
      <c r="I29" s="237">
        <f t="shared" si="14"/>
        <v>13115</v>
      </c>
      <c r="J29" s="237">
        <f t="shared" si="8"/>
        <v>10344.77407</v>
      </c>
      <c r="K29" s="237">
        <f t="shared" si="15"/>
        <v>135671711.9</v>
      </c>
    </row>
    <row r="30" ht="15.75" customHeight="1">
      <c r="A30" s="199">
        <v>26.0</v>
      </c>
      <c r="B30" s="126">
        <v>45211.0</v>
      </c>
      <c r="C30" s="237">
        <f>'Yakin Pasifik Tuna'!H31</f>
        <v>1112</v>
      </c>
      <c r="D30" s="237">
        <f>'Yakin Pasifik Tuna'!X31</f>
        <v>10280.79796</v>
      </c>
      <c r="E30" s="239">
        <f t="shared" si="6"/>
        <v>11432247.33</v>
      </c>
      <c r="F30" s="237"/>
      <c r="G30" s="237"/>
      <c r="H30" s="237"/>
      <c r="I30" s="237">
        <f t="shared" si="14"/>
        <v>14227</v>
      </c>
      <c r="J30" s="237">
        <f t="shared" si="8"/>
        <v>10339.77362</v>
      </c>
      <c r="K30" s="237">
        <f t="shared" si="15"/>
        <v>147103959.3</v>
      </c>
    </row>
    <row r="31" ht="15.75" customHeight="1">
      <c r="A31" s="208">
        <v>27.0</v>
      </c>
      <c r="B31" s="329">
        <v>45212.0</v>
      </c>
      <c r="C31" s="228"/>
      <c r="D31" s="228"/>
      <c r="E31" s="240">
        <f t="shared" si="6"/>
        <v>0</v>
      </c>
      <c r="F31" s="248">
        <v>10450.0</v>
      </c>
      <c r="G31" s="248">
        <f>J30</f>
        <v>10339.77362</v>
      </c>
      <c r="H31" s="248">
        <f>F31*G31</f>
        <v>108050634.3</v>
      </c>
      <c r="I31" s="248">
        <f>I30-F31</f>
        <v>3777</v>
      </c>
      <c r="J31" s="248">
        <f t="shared" si="8"/>
        <v>10339.77362</v>
      </c>
      <c r="K31" s="248">
        <f>K30-H31</f>
        <v>39053324.96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ht="15.75" customHeight="1">
      <c r="A32" s="199">
        <v>28.0</v>
      </c>
      <c r="B32" s="143">
        <v>45212.0</v>
      </c>
      <c r="C32" s="249">
        <f>'Yakin Pasifik Tuna'!H32</f>
        <v>1278</v>
      </c>
      <c r="D32" s="237">
        <f>'Yakin Pasifik Tuna'!X32</f>
        <v>10284.48487</v>
      </c>
      <c r="E32" s="239">
        <f t="shared" si="6"/>
        <v>13143571.67</v>
      </c>
      <c r="F32" s="237"/>
      <c r="G32" s="237"/>
      <c r="H32" s="237"/>
      <c r="I32" s="237">
        <f t="shared" ref="I32:I35" si="16">I31+C32</f>
        <v>5055</v>
      </c>
      <c r="J32" s="237">
        <f t="shared" si="8"/>
        <v>10325.79557</v>
      </c>
      <c r="K32" s="237">
        <f t="shared" ref="K32:K35" si="17">K31+E32</f>
        <v>52196896.63</v>
      </c>
    </row>
    <row r="33" ht="15.75" customHeight="1">
      <c r="A33" s="199">
        <v>29.0</v>
      </c>
      <c r="B33" s="126">
        <v>45213.0</v>
      </c>
      <c r="C33" s="249">
        <f>'Yakin Pasifik Tuna'!H33</f>
        <v>421</v>
      </c>
      <c r="D33" s="237">
        <f>'Yakin Pasifik Tuna'!X33</f>
        <v>10280.38985</v>
      </c>
      <c r="E33" s="239">
        <f t="shared" si="6"/>
        <v>4328044.129</v>
      </c>
      <c r="F33" s="237"/>
      <c r="G33" s="237"/>
      <c r="H33" s="237"/>
      <c r="I33" s="237">
        <f t="shared" si="16"/>
        <v>5476</v>
      </c>
      <c r="J33" s="237">
        <f t="shared" si="8"/>
        <v>10322.30474</v>
      </c>
      <c r="K33" s="237">
        <f t="shared" si="17"/>
        <v>56524940.76</v>
      </c>
    </row>
    <row r="34" ht="15.75" customHeight="1">
      <c r="A34" s="199">
        <v>30.0</v>
      </c>
      <c r="B34" s="126">
        <v>45216.0</v>
      </c>
      <c r="C34" s="249">
        <f>'Yakin Pasifik Tuna'!H34</f>
        <v>438</v>
      </c>
      <c r="D34" s="237">
        <f>'Yakin Pasifik Tuna'!X34</f>
        <v>10283.38575</v>
      </c>
      <c r="E34" s="239">
        <f t="shared" si="6"/>
        <v>4504122.958</v>
      </c>
      <c r="F34" s="237"/>
      <c r="G34" s="237"/>
      <c r="H34" s="237"/>
      <c r="I34" s="237">
        <f t="shared" si="16"/>
        <v>5914</v>
      </c>
      <c r="J34" s="237">
        <f t="shared" si="8"/>
        <v>10319.42234</v>
      </c>
      <c r="K34" s="237">
        <f t="shared" si="17"/>
        <v>61029063.71</v>
      </c>
    </row>
    <row r="35" ht="15.75" customHeight="1">
      <c r="A35" s="199">
        <v>31.0</v>
      </c>
      <c r="B35" s="126">
        <v>45217.0</v>
      </c>
      <c r="C35" s="249">
        <f>'Yakin Pasifik Tuna'!H35</f>
        <v>1430</v>
      </c>
      <c r="D35" s="237">
        <f>'Yakin Pasifik Tuna'!X35</f>
        <v>10289.93315</v>
      </c>
      <c r="E35" s="239">
        <f t="shared" si="6"/>
        <v>14714604.4</v>
      </c>
      <c r="F35" s="237"/>
      <c r="G35" s="237"/>
      <c r="H35" s="237"/>
      <c r="I35" s="237">
        <f t="shared" si="16"/>
        <v>7344</v>
      </c>
      <c r="J35" s="237">
        <f t="shared" si="8"/>
        <v>10313.6803</v>
      </c>
      <c r="K35" s="237">
        <f t="shared" si="17"/>
        <v>75743668.12</v>
      </c>
    </row>
    <row r="36" ht="15.75" customHeight="1">
      <c r="A36" s="208">
        <v>32.0</v>
      </c>
      <c r="B36" s="329">
        <v>45219.0</v>
      </c>
      <c r="C36" s="228"/>
      <c r="D36" s="228"/>
      <c r="E36" s="240">
        <f t="shared" si="6"/>
        <v>0</v>
      </c>
      <c r="F36" s="248">
        <v>2570.0</v>
      </c>
      <c r="G36" s="248">
        <f>J35</f>
        <v>10313.6803</v>
      </c>
      <c r="H36" s="248">
        <f>F36*G36</f>
        <v>26506158.37</v>
      </c>
      <c r="I36" s="248">
        <f>I35-F36</f>
        <v>4774</v>
      </c>
      <c r="J36" s="248">
        <f t="shared" si="8"/>
        <v>10313.6803</v>
      </c>
      <c r="K36" s="248">
        <f>K35-H36</f>
        <v>49237509.75</v>
      </c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199">
        <v>33.0</v>
      </c>
      <c r="B37" s="126">
        <v>45220.0</v>
      </c>
      <c r="C37" s="249">
        <f>'Yakin Pasifik Tuna'!H36</f>
        <v>1782</v>
      </c>
      <c r="D37" s="237">
        <f>'Yakin Pasifik Tuna'!X36</f>
        <v>10290.53207</v>
      </c>
      <c r="E37" s="239">
        <f t="shared" si="6"/>
        <v>18337728.14</v>
      </c>
      <c r="F37" s="237"/>
      <c r="G37" s="237"/>
      <c r="H37" s="237"/>
      <c r="I37" s="237">
        <f>I36+C37</f>
        <v>6556</v>
      </c>
      <c r="J37" s="237">
        <f t="shared" si="8"/>
        <v>10307.38833</v>
      </c>
      <c r="K37" s="237">
        <f>K36+E37</f>
        <v>67575237.89</v>
      </c>
    </row>
    <row r="38" ht="15.75" customHeight="1">
      <c r="A38" s="208">
        <v>34.0</v>
      </c>
      <c r="B38" s="329">
        <v>45221.0</v>
      </c>
      <c r="C38" s="228"/>
      <c r="D38" s="228"/>
      <c r="E38" s="240">
        <f t="shared" si="6"/>
        <v>0</v>
      </c>
      <c r="F38" s="248">
        <v>1130.0</v>
      </c>
      <c r="G38" s="248">
        <f>J37</f>
        <v>10307.38833</v>
      </c>
      <c r="H38" s="248">
        <f>F38*G38</f>
        <v>11647348.81</v>
      </c>
      <c r="I38" s="248">
        <f>I37-F38</f>
        <v>5426</v>
      </c>
      <c r="J38" s="248">
        <f t="shared" si="8"/>
        <v>10307.38833</v>
      </c>
      <c r="K38" s="248">
        <f>K37-H38</f>
        <v>55927889.08</v>
      </c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ht="15.75" customHeight="1">
      <c r="A39" s="199">
        <v>35.0</v>
      </c>
      <c r="B39" s="126">
        <v>45223.0</v>
      </c>
      <c r="C39" s="249">
        <f>'Yakin Pasifik Tuna'!H37</f>
        <v>291</v>
      </c>
      <c r="D39" s="237">
        <f>'Yakin Pasifik Tuna'!X37</f>
        <v>10283.46967</v>
      </c>
      <c r="E39" s="239">
        <f t="shared" si="6"/>
        <v>2992489.675</v>
      </c>
      <c r="F39" s="237"/>
      <c r="G39" s="237"/>
      <c r="H39" s="237"/>
      <c r="I39" s="237">
        <f t="shared" ref="I39:I42" si="18">I38+C39</f>
        <v>5717</v>
      </c>
      <c r="J39" s="237">
        <f t="shared" si="8"/>
        <v>10306.17085</v>
      </c>
      <c r="K39" s="237">
        <f t="shared" ref="K39:K42" si="19">K38+E39</f>
        <v>58920378.75</v>
      </c>
    </row>
    <row r="40" ht="15.75" customHeight="1">
      <c r="A40" s="199">
        <v>36.0</v>
      </c>
      <c r="B40" s="126">
        <v>45225.0</v>
      </c>
      <c r="C40" s="249">
        <f>'Yakin Pasifik Tuna'!H38</f>
        <v>229</v>
      </c>
      <c r="D40" s="237">
        <f>'Yakin Pasifik Tuna'!X38</f>
        <v>10280.84685</v>
      </c>
      <c r="E40" s="239">
        <f t="shared" si="6"/>
        <v>2354313.928</v>
      </c>
      <c r="F40" s="237"/>
      <c r="G40" s="237"/>
      <c r="H40" s="237"/>
      <c r="I40" s="237">
        <f t="shared" si="18"/>
        <v>5946</v>
      </c>
      <c r="J40" s="237">
        <f t="shared" si="8"/>
        <v>10305.19554</v>
      </c>
      <c r="K40" s="237">
        <f t="shared" si="19"/>
        <v>61274692.68</v>
      </c>
    </row>
    <row r="41" ht="15.75" customHeight="1">
      <c r="A41" s="199">
        <v>37.0</v>
      </c>
      <c r="B41" s="126">
        <v>45227.0</v>
      </c>
      <c r="C41" s="249">
        <f>'Yakin Pasifik Tuna'!H39</f>
        <v>326</v>
      </c>
      <c r="D41" s="237">
        <f>'Yakin Pasifik Tuna'!X39</f>
        <v>10286.61708</v>
      </c>
      <c r="E41" s="239">
        <f t="shared" si="6"/>
        <v>3353437.168</v>
      </c>
      <c r="F41" s="237"/>
      <c r="G41" s="237"/>
      <c r="H41" s="237"/>
      <c r="I41" s="237">
        <f t="shared" si="18"/>
        <v>6272</v>
      </c>
      <c r="J41" s="237">
        <f t="shared" si="8"/>
        <v>10304.22989</v>
      </c>
      <c r="K41" s="237">
        <f t="shared" si="19"/>
        <v>64628129.85</v>
      </c>
    </row>
    <row r="42" ht="15.75" customHeight="1">
      <c r="A42" s="199">
        <v>38.0</v>
      </c>
      <c r="B42" s="126">
        <v>45228.0</v>
      </c>
      <c r="C42" s="249">
        <f>'Yakin Pasifik Tuna'!H40</f>
        <v>93</v>
      </c>
      <c r="D42" s="237">
        <f>'Yakin Pasifik Tuna'!X40</f>
        <v>10278.68352</v>
      </c>
      <c r="E42" s="239">
        <f t="shared" si="6"/>
        <v>955917.5675</v>
      </c>
      <c r="F42" s="237"/>
      <c r="G42" s="237"/>
      <c r="H42" s="237"/>
      <c r="I42" s="237">
        <f t="shared" si="18"/>
        <v>6365</v>
      </c>
      <c r="J42" s="237">
        <f t="shared" si="8"/>
        <v>10303.85662</v>
      </c>
      <c r="K42" s="237">
        <f t="shared" si="19"/>
        <v>65584047.42</v>
      </c>
    </row>
    <row r="43" ht="15.75" customHeight="1">
      <c r="A43" s="208">
        <v>39.0</v>
      </c>
      <c r="B43" s="332">
        <f>'Persediaan &amp; HPP Ca A-B YPT'!B43</f>
        <v>45254</v>
      </c>
      <c r="C43" s="228"/>
      <c r="D43" s="228"/>
      <c r="E43" s="248"/>
      <c r="F43" s="248">
        <f>20000-'Persediaan &amp; HPP Ca A-B YPT'!F43</f>
        <v>1010</v>
      </c>
      <c r="G43" s="248">
        <f>J42</f>
        <v>10303.85662</v>
      </c>
      <c r="H43" s="248">
        <f>F43*G43</f>
        <v>10406895.19</v>
      </c>
      <c r="I43" s="248">
        <f>I42-F43</f>
        <v>5355</v>
      </c>
      <c r="J43" s="248">
        <f t="shared" si="8"/>
        <v>10303.85662</v>
      </c>
      <c r="K43" s="248">
        <f>K42-H43</f>
        <v>55177152.23</v>
      </c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199">
        <v>40.0</v>
      </c>
      <c r="B44" s="333">
        <f>'Persediaan &amp; HPP Ca A-B YPT'!B44</f>
        <v>45259</v>
      </c>
      <c r="C44" s="249">
        <f>'Yakin Pasifik Tuna'!H43</f>
        <v>82.4</v>
      </c>
      <c r="D44" s="237">
        <f>'Yakin Pasifik Tuna'!X43</f>
        <v>8288.351145</v>
      </c>
      <c r="E44" s="237">
        <f t="shared" ref="E44:E45" si="20">C44*D44</f>
        <v>682960.1344</v>
      </c>
      <c r="F44" s="237"/>
      <c r="G44" s="237"/>
      <c r="H44" s="237"/>
      <c r="I44" s="237">
        <f t="shared" ref="I44:I45" si="21">I43+C44</f>
        <v>5437.4</v>
      </c>
      <c r="J44" s="237">
        <f t="shared" si="8"/>
        <v>10273.31305</v>
      </c>
      <c r="K44" s="237">
        <f t="shared" ref="K44:K45" si="22">K43+E44</f>
        <v>55860112.36</v>
      </c>
    </row>
    <row r="45" ht="15.75" customHeight="1">
      <c r="A45" s="199">
        <v>41.0</v>
      </c>
      <c r="B45" s="333">
        <f>'Persediaan &amp; HPP Ca A-B YPT'!B45</f>
        <v>45260</v>
      </c>
      <c r="C45" s="249">
        <f>'Yakin Pasifik Tuna'!H44</f>
        <v>79.1</v>
      </c>
      <c r="D45" s="237">
        <f>'Yakin Pasifik Tuna'!X44</f>
        <v>9291.772833</v>
      </c>
      <c r="E45" s="237">
        <f t="shared" si="20"/>
        <v>734979.2311</v>
      </c>
      <c r="F45" s="237"/>
      <c r="G45" s="237"/>
      <c r="H45" s="237"/>
      <c r="I45" s="237">
        <f t="shared" si="21"/>
        <v>5516.5</v>
      </c>
      <c r="J45" s="237">
        <f t="shared" si="8"/>
        <v>10259.23894</v>
      </c>
      <c r="K45" s="237">
        <f t="shared" si="22"/>
        <v>56595091.59</v>
      </c>
    </row>
    <row r="46" ht="15.75" customHeight="1">
      <c r="A46" s="353"/>
      <c r="B46" s="336"/>
      <c r="C46" s="337"/>
      <c r="D46" s="338"/>
      <c r="E46" s="338"/>
      <c r="F46" s="338"/>
      <c r="G46" s="338"/>
      <c r="H46" s="338"/>
      <c r="I46" s="338">
        <f>1030+119+60+115+6</f>
        <v>1330</v>
      </c>
      <c r="J46" s="338">
        <f>J45</f>
        <v>10259.23894</v>
      </c>
      <c r="K46" s="338">
        <f>I46*J46</f>
        <v>13644787.78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ht="15.75" customHeight="1">
      <c r="A47" s="199">
        <v>42.0</v>
      </c>
      <c r="B47" s="333">
        <f>'Yakin Pasifik Tuna'!B49</f>
        <v>45266</v>
      </c>
      <c r="C47" s="249">
        <f>'Yakin Pasifik Tuna'!H49</f>
        <v>74.1</v>
      </c>
      <c r="D47" s="237">
        <f>'Yakin Pasifik Tuna'!X49</f>
        <v>9284.351596</v>
      </c>
      <c r="E47" s="237">
        <f t="shared" ref="E47:E54" si="23">C47*D47</f>
        <v>687970.4532</v>
      </c>
      <c r="F47" s="237"/>
      <c r="G47" s="237"/>
      <c r="H47" s="237"/>
      <c r="I47" s="237">
        <f t="shared" ref="I47:I54" si="24">I46+C47</f>
        <v>1404.1</v>
      </c>
      <c r="J47" s="237">
        <f t="shared" ref="J47:J54" si="25">K47/I47</f>
        <v>10207.79021</v>
      </c>
      <c r="K47" s="237">
        <f t="shared" ref="K47:K54" si="26">K46+E47</f>
        <v>14332758.24</v>
      </c>
    </row>
    <row r="48" ht="15.75" customHeight="1">
      <c r="A48" s="199">
        <v>43.0</v>
      </c>
      <c r="B48" s="333">
        <f>'Yakin Pasifik Tuna'!B50</f>
        <v>45267</v>
      </c>
      <c r="C48" s="249">
        <f>'Yakin Pasifik Tuna'!H50</f>
        <v>81.5</v>
      </c>
      <c r="D48" s="237">
        <f>'Yakin Pasifik Tuna'!X50</f>
        <v>9284.909091</v>
      </c>
      <c r="E48" s="237">
        <f t="shared" si="23"/>
        <v>756720.0909</v>
      </c>
      <c r="F48" s="237"/>
      <c r="G48" s="237"/>
      <c r="H48" s="237"/>
      <c r="I48" s="237">
        <f t="shared" si="24"/>
        <v>1485.6</v>
      </c>
      <c r="J48" s="237">
        <f t="shared" si="25"/>
        <v>10157.16096</v>
      </c>
      <c r="K48" s="237">
        <f t="shared" si="26"/>
        <v>15089478.33</v>
      </c>
    </row>
    <row r="49" ht="15.75" customHeight="1">
      <c r="A49" s="199">
        <v>44.0</v>
      </c>
      <c r="B49" s="333">
        <f>'Yakin Pasifik Tuna'!B51</f>
        <v>45269</v>
      </c>
      <c r="C49" s="249">
        <f>'Yakin Pasifik Tuna'!H51</f>
        <v>2.7</v>
      </c>
      <c r="D49" s="237">
        <f>'Yakin Pasifik Tuna'!X51</f>
        <v>9284.909091</v>
      </c>
      <c r="E49" s="237">
        <f t="shared" si="23"/>
        <v>25069.25455</v>
      </c>
      <c r="F49" s="237"/>
      <c r="G49" s="237"/>
      <c r="H49" s="237"/>
      <c r="I49" s="237">
        <f t="shared" si="24"/>
        <v>1488.3</v>
      </c>
      <c r="J49" s="237">
        <f t="shared" si="25"/>
        <v>10155.57857</v>
      </c>
      <c r="K49" s="237">
        <f t="shared" si="26"/>
        <v>15114547.58</v>
      </c>
    </row>
    <row r="50" ht="15.75" customHeight="1">
      <c r="A50" s="199">
        <v>45.0</v>
      </c>
      <c r="B50" s="333">
        <f>'Yakin Pasifik Tuna'!B52</f>
        <v>45270</v>
      </c>
      <c r="C50" s="249">
        <f>'Yakin Pasifik Tuna'!H52</f>
        <v>482.1</v>
      </c>
      <c r="D50" s="237">
        <f>'Yakin Pasifik Tuna'!X52</f>
        <v>9296.403487</v>
      </c>
      <c r="E50" s="237">
        <f t="shared" si="23"/>
        <v>4481796.121</v>
      </c>
      <c r="F50" s="237"/>
      <c r="G50" s="237"/>
      <c r="H50" s="237"/>
      <c r="I50" s="237">
        <f t="shared" si="24"/>
        <v>1970.4</v>
      </c>
      <c r="J50" s="237">
        <f t="shared" si="25"/>
        <v>9945.363228</v>
      </c>
      <c r="K50" s="237">
        <f t="shared" si="26"/>
        <v>19596343.7</v>
      </c>
    </row>
    <row r="51" ht="15.75" customHeight="1">
      <c r="A51" s="199">
        <v>46.0</v>
      </c>
      <c r="B51" s="333">
        <f>'Yakin Pasifik Tuna'!B53</f>
        <v>45271</v>
      </c>
      <c r="C51" s="249">
        <f>'Yakin Pasifik Tuna'!H53</f>
        <v>346</v>
      </c>
      <c r="D51" s="237">
        <f>'Yakin Pasifik Tuna'!X53</f>
        <v>9289.871254</v>
      </c>
      <c r="E51" s="237">
        <f t="shared" si="23"/>
        <v>3214295.454</v>
      </c>
      <c r="F51" s="237"/>
      <c r="G51" s="237"/>
      <c r="H51" s="237"/>
      <c r="I51" s="237">
        <f t="shared" si="24"/>
        <v>2316.4</v>
      </c>
      <c r="J51" s="237">
        <f t="shared" si="25"/>
        <v>9847.452581</v>
      </c>
      <c r="K51" s="237">
        <f t="shared" si="26"/>
        <v>22810639.16</v>
      </c>
    </row>
    <row r="52" ht="15.75" customHeight="1">
      <c r="A52" s="199">
        <v>47.0</v>
      </c>
      <c r="B52" s="333">
        <f>'Yakin Pasifik Tuna'!B54</f>
        <v>45278</v>
      </c>
      <c r="C52" s="249">
        <f>'Yakin Pasifik Tuna'!H54</f>
        <v>82.7</v>
      </c>
      <c r="D52" s="237">
        <f>'Yakin Pasifik Tuna'!X54</f>
        <v>9284.002792</v>
      </c>
      <c r="E52" s="237">
        <f t="shared" si="23"/>
        <v>767787.0309</v>
      </c>
      <c r="F52" s="237"/>
      <c r="G52" s="237"/>
      <c r="H52" s="237"/>
      <c r="I52" s="237">
        <f t="shared" si="24"/>
        <v>2399.1</v>
      </c>
      <c r="J52" s="237">
        <f t="shared" si="25"/>
        <v>9828.029757</v>
      </c>
      <c r="K52" s="237">
        <f t="shared" si="26"/>
        <v>23578426.19</v>
      </c>
    </row>
    <row r="53" ht="15.75" customHeight="1">
      <c r="A53" s="199">
        <v>48.0</v>
      </c>
      <c r="B53" s="333">
        <f>'Yakin Pasifik Tuna'!B55</f>
        <v>45279</v>
      </c>
      <c r="C53" s="249">
        <f>'Yakin Pasifik Tuna'!H55</f>
        <v>39.9</v>
      </c>
      <c r="D53" s="237">
        <f>'Yakin Pasifik Tuna'!X55</f>
        <v>9281.703417</v>
      </c>
      <c r="E53" s="237">
        <f t="shared" si="23"/>
        <v>370339.9663</v>
      </c>
      <c r="F53" s="237"/>
      <c r="G53" s="237"/>
      <c r="H53" s="237"/>
      <c r="I53" s="237">
        <f t="shared" si="24"/>
        <v>2439</v>
      </c>
      <c r="J53" s="237">
        <f t="shared" si="25"/>
        <v>9819.092315</v>
      </c>
      <c r="K53" s="237">
        <f t="shared" si="26"/>
        <v>23948766.16</v>
      </c>
    </row>
    <row r="54" ht="15.75" customHeight="1">
      <c r="A54" s="199">
        <v>49.0</v>
      </c>
      <c r="B54" s="333">
        <f>'Yakin Pasifik Tuna'!B56</f>
        <v>45280</v>
      </c>
      <c r="C54" s="249" t="str">
        <f>'Yakin Pasifik Tuna'!H56</f>
        <v/>
      </c>
      <c r="D54" s="237">
        <f>'Yakin Pasifik Tuna'!X56</f>
        <v>0</v>
      </c>
      <c r="E54" s="237">
        <f t="shared" si="23"/>
        <v>0</v>
      </c>
      <c r="F54" s="237"/>
      <c r="G54" s="237"/>
      <c r="H54" s="237"/>
      <c r="I54" s="237">
        <f t="shared" si="24"/>
        <v>2439</v>
      </c>
      <c r="J54" s="237">
        <f t="shared" si="25"/>
        <v>9819.092315</v>
      </c>
      <c r="K54" s="237">
        <f t="shared" si="26"/>
        <v>23948766.16</v>
      </c>
    </row>
    <row r="55" ht="15.75" customHeight="1">
      <c r="A55" s="199"/>
      <c r="B55" s="333"/>
      <c r="C55" s="166"/>
      <c r="D55" s="237"/>
      <c r="E55" s="237"/>
      <c r="F55" s="237"/>
      <c r="G55" s="237"/>
      <c r="H55" s="237"/>
      <c r="I55" s="237"/>
      <c r="J55" s="237"/>
      <c r="K55" s="237"/>
    </row>
    <row r="56" ht="15.75" customHeight="1">
      <c r="A56" s="199"/>
      <c r="B56" s="333"/>
      <c r="C56" s="166"/>
      <c r="D56" s="237"/>
      <c r="E56" s="237"/>
      <c r="F56" s="237"/>
      <c r="G56" s="237"/>
      <c r="H56" s="237"/>
      <c r="I56" s="237"/>
      <c r="J56" s="237"/>
      <c r="K56" s="237"/>
    </row>
    <row r="57" ht="15.75" customHeight="1">
      <c r="A57" s="199">
        <v>50.0</v>
      </c>
      <c r="B57" s="333">
        <f>'Yakin Pasifik Tuna'!B57</f>
        <v>45281</v>
      </c>
      <c r="C57" s="249">
        <f>'Yakin Pasifik Tuna'!H57</f>
        <v>352</v>
      </c>
      <c r="D57" s="237">
        <f>'Yakin Pasifik Tuna'!X57</f>
        <v>8284.259366</v>
      </c>
      <c r="E57" s="237">
        <f t="shared" ref="E57:E63" si="28">C57*D57</f>
        <v>2916059.297</v>
      </c>
      <c r="F57" s="237"/>
      <c r="G57" s="237"/>
      <c r="H57" s="237"/>
      <c r="I57" s="237">
        <f t="shared" ref="I57:K57" si="27">C57</f>
        <v>352</v>
      </c>
      <c r="J57" s="237">
        <f t="shared" si="27"/>
        <v>8284.259366</v>
      </c>
      <c r="K57" s="237">
        <f t="shared" si="27"/>
        <v>2916059.297</v>
      </c>
    </row>
    <row r="58" ht="15.75" customHeight="1">
      <c r="A58" s="199">
        <v>51.0</v>
      </c>
      <c r="B58" s="333">
        <f>'Yakin Pasifik Tuna'!B58</f>
        <v>45282</v>
      </c>
      <c r="C58" s="249">
        <f>'Yakin Pasifik Tuna'!H58</f>
        <v>361</v>
      </c>
      <c r="D58" s="237">
        <f>'Yakin Pasifik Tuna'!X58</f>
        <v>7979.768993</v>
      </c>
      <c r="E58" s="237">
        <f t="shared" si="28"/>
        <v>2880696.607</v>
      </c>
      <c r="F58" s="237"/>
      <c r="G58" s="237"/>
      <c r="H58" s="237"/>
      <c r="I58" s="237">
        <f t="shared" ref="I58:I63" si="29">I57+C58</f>
        <v>713</v>
      </c>
      <c r="J58" s="237">
        <f t="shared" ref="J58:J63" si="30">K58/I58</f>
        <v>8130.092431</v>
      </c>
      <c r="K58" s="237">
        <f t="shared" ref="K58:K63" si="31">K57+E58</f>
        <v>5796755.903</v>
      </c>
    </row>
    <row r="59" ht="15.75" customHeight="1">
      <c r="A59" s="199">
        <v>52.0</v>
      </c>
      <c r="B59" s="333">
        <f>'Yakin Pasifik Tuna'!B59</f>
        <v>45283</v>
      </c>
      <c r="C59" s="249" t="str">
        <f>'Yakin Pasifik Tuna'!H59</f>
        <v/>
      </c>
      <c r="D59" s="237">
        <f>'Yakin Pasifik Tuna'!X59</f>
        <v>0</v>
      </c>
      <c r="E59" s="237">
        <f t="shared" si="28"/>
        <v>0</v>
      </c>
      <c r="F59" s="237"/>
      <c r="G59" s="237"/>
      <c r="H59" s="237"/>
      <c r="I59" s="237">
        <f t="shared" si="29"/>
        <v>713</v>
      </c>
      <c r="J59" s="237">
        <f t="shared" si="30"/>
        <v>8130.092431</v>
      </c>
      <c r="K59" s="237">
        <f t="shared" si="31"/>
        <v>5796755.903</v>
      </c>
    </row>
    <row r="60" ht="15.75" customHeight="1">
      <c r="A60" s="199">
        <v>53.0</v>
      </c>
      <c r="B60" s="333">
        <f>'Yakin Pasifik Tuna'!B60</f>
        <v>45284</v>
      </c>
      <c r="C60" s="249">
        <f>'Yakin Pasifik Tuna'!H60</f>
        <v>250</v>
      </c>
      <c r="D60" s="237">
        <f>'Yakin Pasifik Tuna'!X60</f>
        <v>8280.846847</v>
      </c>
      <c r="E60" s="237">
        <f t="shared" si="28"/>
        <v>2070211.712</v>
      </c>
      <c r="F60" s="237"/>
      <c r="G60" s="237"/>
      <c r="H60" s="237"/>
      <c r="I60" s="237">
        <f t="shared" si="29"/>
        <v>963</v>
      </c>
      <c r="J60" s="237">
        <f t="shared" si="30"/>
        <v>8169.229091</v>
      </c>
      <c r="K60" s="237">
        <f t="shared" si="31"/>
        <v>7866967.615</v>
      </c>
    </row>
    <row r="61" ht="15.75" customHeight="1">
      <c r="A61" s="199">
        <v>54.0</v>
      </c>
      <c r="B61" s="333">
        <f>'Yakin Pasifik Tuna'!B65</f>
        <v>45295</v>
      </c>
      <c r="C61" s="237">
        <f>'Yakin Pasifik Tuna'!H65</f>
        <v>21</v>
      </c>
      <c r="D61" s="237">
        <f>'Yakin Pasifik Tuna'!Y65</f>
        <v>8278.796228</v>
      </c>
      <c r="E61" s="237">
        <f t="shared" si="28"/>
        <v>173854.7208</v>
      </c>
      <c r="F61" s="237"/>
      <c r="G61" s="237"/>
      <c r="H61" s="237"/>
      <c r="I61" s="237">
        <f t="shared" si="29"/>
        <v>984</v>
      </c>
      <c r="J61" s="237">
        <f t="shared" si="30"/>
        <v>8171.567415</v>
      </c>
      <c r="K61" s="237">
        <f t="shared" si="31"/>
        <v>8040822.336</v>
      </c>
    </row>
    <row r="62" ht="15.75" customHeight="1">
      <c r="A62" s="199">
        <v>55.0</v>
      </c>
      <c r="B62" s="333">
        <f>'Yakin Pasifik Tuna'!B66</f>
        <v>45297</v>
      </c>
      <c r="C62" s="237">
        <f>'Yakin Pasifik Tuna'!H66</f>
        <v>351.8</v>
      </c>
      <c r="D62" s="237">
        <f>'Yakin Pasifik Tuna'!Y66</f>
        <v>5496.294209</v>
      </c>
      <c r="E62" s="237">
        <f t="shared" si="28"/>
        <v>1933596.303</v>
      </c>
      <c r="F62" s="237"/>
      <c r="G62" s="237"/>
      <c r="H62" s="237"/>
      <c r="I62" s="237">
        <f t="shared" si="29"/>
        <v>1335.8</v>
      </c>
      <c r="J62" s="237">
        <f t="shared" si="30"/>
        <v>7467.000029</v>
      </c>
      <c r="K62" s="237">
        <f t="shared" si="31"/>
        <v>9974418.639</v>
      </c>
      <c r="L62" s="124"/>
    </row>
    <row r="63" ht="15.75" customHeight="1">
      <c r="A63" s="199">
        <v>56.0</v>
      </c>
      <c r="B63" s="333">
        <f>'Yakin Pasifik Tuna'!B67</f>
        <v>45298</v>
      </c>
      <c r="C63" s="237">
        <f>'Yakin Pasifik Tuna'!H67</f>
        <v>41.8</v>
      </c>
      <c r="D63" s="237">
        <f>'Yakin Pasifik Tuna'!Y67</f>
        <v>9287.382084</v>
      </c>
      <c r="E63" s="237">
        <f t="shared" si="28"/>
        <v>388212.5711</v>
      </c>
      <c r="F63" s="237"/>
      <c r="G63" s="237"/>
      <c r="H63" s="237"/>
      <c r="I63" s="237">
        <f t="shared" si="29"/>
        <v>1377.6</v>
      </c>
      <c r="J63" s="237">
        <f t="shared" si="30"/>
        <v>7522.235199</v>
      </c>
      <c r="K63" s="237">
        <f t="shared" si="31"/>
        <v>10362631.21</v>
      </c>
    </row>
    <row r="64" ht="15.75" customHeight="1">
      <c r="A64" s="199">
        <v>57.0</v>
      </c>
      <c r="B64" s="166"/>
      <c r="C64" s="166"/>
      <c r="D64" s="166"/>
      <c r="E64" s="237"/>
      <c r="F64" s="237"/>
      <c r="G64" s="237"/>
      <c r="H64" s="237"/>
      <c r="I64" s="237"/>
      <c r="J64" s="237">
        <v>1862.0</v>
      </c>
      <c r="K64" s="237"/>
    </row>
    <row r="65" ht="15.75" customHeight="1">
      <c r="E65" s="124"/>
      <c r="F65" s="124"/>
      <c r="G65" s="124"/>
      <c r="H65" s="124"/>
      <c r="I65" s="124"/>
      <c r="J65" s="124"/>
      <c r="K65" s="124"/>
    </row>
    <row r="66" ht="15.75" customHeight="1">
      <c r="E66" s="124"/>
      <c r="F66" s="124"/>
      <c r="G66" s="124"/>
      <c r="H66" s="124"/>
      <c r="I66" s="124"/>
      <c r="J66" s="124"/>
      <c r="K66" s="124"/>
    </row>
    <row r="67" ht="15.75" customHeight="1">
      <c r="E67" s="124"/>
      <c r="F67" s="124"/>
      <c r="G67" s="124"/>
      <c r="H67" s="124"/>
      <c r="I67" s="124"/>
      <c r="J67" s="124"/>
      <c r="K67" s="124"/>
    </row>
    <row r="68" ht="15.75" customHeight="1">
      <c r="E68" s="124"/>
      <c r="F68" s="124"/>
      <c r="G68" s="124"/>
      <c r="H68" s="124"/>
      <c r="I68" s="124"/>
      <c r="J68" s="124"/>
      <c r="K68" s="124"/>
    </row>
    <row r="69" ht="15.75" customHeight="1">
      <c r="E69" s="124"/>
      <c r="F69" s="124"/>
      <c r="G69" s="124"/>
      <c r="H69" s="124"/>
      <c r="I69" s="124"/>
      <c r="J69" s="124"/>
      <c r="K69" s="124"/>
    </row>
    <row r="70" ht="15.75" customHeight="1">
      <c r="E70" s="124"/>
      <c r="F70" s="124"/>
      <c r="G70" s="124"/>
      <c r="H70" s="124"/>
      <c r="I70" s="124"/>
      <c r="J70" s="124"/>
      <c r="K70" s="124"/>
    </row>
    <row r="71" ht="15.75" customHeight="1">
      <c r="E71" s="124"/>
      <c r="F71" s="124"/>
      <c r="G71" s="124"/>
      <c r="H71" s="124"/>
      <c r="I71" s="124"/>
      <c r="J71" s="124"/>
      <c r="K71" s="124"/>
    </row>
    <row r="72" ht="15.75" customHeight="1">
      <c r="E72" s="124"/>
      <c r="F72" s="124"/>
      <c r="G72" s="124"/>
      <c r="H72" s="124"/>
      <c r="I72" s="124"/>
      <c r="J72" s="124"/>
      <c r="K72" s="124"/>
    </row>
    <row r="73" ht="15.75" customHeight="1">
      <c r="E73" s="124"/>
      <c r="F73" s="124"/>
      <c r="G73" s="124"/>
      <c r="H73" s="124"/>
      <c r="I73" s="124"/>
      <c r="J73" s="124"/>
      <c r="K73" s="124"/>
    </row>
    <row r="74" ht="15.75" customHeight="1">
      <c r="E74" s="124"/>
      <c r="F74" s="124"/>
      <c r="G74" s="124"/>
      <c r="H74" s="124"/>
      <c r="I74" s="124"/>
      <c r="J74" s="124"/>
      <c r="K74" s="124"/>
    </row>
    <row r="75" ht="15.75" customHeight="1">
      <c r="E75" s="124"/>
      <c r="F75" s="124"/>
      <c r="G75" s="124"/>
      <c r="H75" s="124"/>
      <c r="I75" s="124"/>
      <c r="J75" s="124"/>
      <c r="K75" s="124"/>
    </row>
    <row r="76" ht="15.75" customHeight="1">
      <c r="E76" s="124"/>
      <c r="F76" s="124"/>
      <c r="G76" s="124"/>
      <c r="H76" s="124"/>
      <c r="I76" s="124"/>
      <c r="J76" s="124"/>
      <c r="K76" s="124"/>
    </row>
    <row r="77" ht="15.75" customHeight="1">
      <c r="E77" s="124"/>
      <c r="F77" s="124"/>
      <c r="G77" s="124"/>
      <c r="H77" s="124"/>
      <c r="I77" s="124"/>
      <c r="J77" s="124"/>
      <c r="K77" s="124"/>
    </row>
    <row r="78" ht="15.75" customHeight="1">
      <c r="E78" s="124"/>
      <c r="F78" s="124"/>
      <c r="G78" s="124"/>
      <c r="H78" s="124"/>
      <c r="I78" s="124"/>
      <c r="J78" s="124"/>
      <c r="K78" s="124"/>
    </row>
    <row r="79" ht="15.75" customHeight="1">
      <c r="E79" s="124"/>
      <c r="F79" s="124"/>
      <c r="G79" s="124"/>
      <c r="H79" s="124"/>
      <c r="I79" s="124"/>
      <c r="J79" s="124"/>
      <c r="K79" s="124"/>
    </row>
    <row r="80" ht="15.75" customHeight="1">
      <c r="E80" s="124"/>
      <c r="F80" s="124"/>
      <c r="G80" s="124"/>
      <c r="H80" s="124"/>
      <c r="I80" s="124"/>
      <c r="J80" s="124"/>
      <c r="K80" s="124"/>
    </row>
    <row r="81" ht="15.75" customHeight="1">
      <c r="E81" s="124"/>
      <c r="F81" s="124"/>
      <c r="G81" s="124"/>
      <c r="H81" s="124"/>
      <c r="I81" s="124"/>
      <c r="J81" s="124"/>
      <c r="K81" s="124"/>
    </row>
    <row r="82" ht="15.75" customHeight="1">
      <c r="E82" s="124"/>
      <c r="F82" s="124"/>
      <c r="G82" s="124"/>
      <c r="H82" s="124"/>
      <c r="I82" s="124"/>
      <c r="J82" s="124"/>
      <c r="K82" s="124"/>
    </row>
    <row r="83" ht="15.75" customHeight="1">
      <c r="E83" s="124"/>
      <c r="F83" s="124"/>
      <c r="G83" s="124"/>
      <c r="H83" s="124"/>
      <c r="I83" s="124"/>
      <c r="J83" s="124"/>
      <c r="K83" s="124"/>
    </row>
    <row r="84" ht="15.75" customHeight="1">
      <c r="E84" s="124"/>
      <c r="F84" s="124"/>
      <c r="G84" s="124"/>
      <c r="H84" s="124"/>
      <c r="I84" s="124"/>
      <c r="J84" s="124"/>
      <c r="K84" s="124"/>
    </row>
    <row r="85" ht="15.75" customHeight="1">
      <c r="E85" s="124"/>
      <c r="F85" s="124"/>
      <c r="G85" s="124"/>
      <c r="H85" s="124"/>
      <c r="I85" s="124"/>
      <c r="J85" s="124"/>
      <c r="K85" s="124"/>
    </row>
    <row r="86" ht="15.75" customHeight="1">
      <c r="E86" s="124"/>
      <c r="F86" s="124"/>
      <c r="G86" s="124"/>
      <c r="H86" s="124"/>
      <c r="I86" s="124"/>
      <c r="J86" s="124"/>
      <c r="K86" s="124"/>
    </row>
    <row r="87" ht="15.75" customHeight="1">
      <c r="E87" s="124"/>
      <c r="F87" s="124"/>
      <c r="G87" s="124"/>
      <c r="H87" s="124"/>
      <c r="I87" s="124"/>
      <c r="J87" s="124"/>
      <c r="K87" s="124"/>
    </row>
    <row r="88" ht="15.75" customHeight="1">
      <c r="E88" s="124"/>
      <c r="F88" s="124"/>
      <c r="G88" s="124"/>
      <c r="H88" s="124"/>
      <c r="I88" s="124"/>
      <c r="J88" s="124"/>
      <c r="K88" s="124"/>
    </row>
    <row r="89" ht="15.75" customHeight="1">
      <c r="E89" s="124"/>
      <c r="F89" s="124"/>
      <c r="G89" s="124"/>
      <c r="H89" s="124"/>
      <c r="I89" s="124"/>
      <c r="J89" s="124"/>
      <c r="K89" s="124"/>
    </row>
    <row r="90" ht="15.75" customHeight="1">
      <c r="E90" s="124"/>
      <c r="F90" s="124"/>
      <c r="G90" s="124"/>
      <c r="H90" s="124"/>
      <c r="I90" s="124"/>
      <c r="J90" s="124"/>
      <c r="K90" s="124"/>
    </row>
    <row r="91" ht="15.75" customHeight="1">
      <c r="E91" s="124"/>
      <c r="F91" s="124"/>
      <c r="G91" s="124"/>
      <c r="H91" s="124"/>
      <c r="I91" s="124"/>
      <c r="J91" s="124"/>
      <c r="K91" s="124"/>
    </row>
    <row r="92" ht="15.75" customHeight="1">
      <c r="E92" s="124"/>
      <c r="F92" s="124"/>
      <c r="G92" s="124"/>
      <c r="H92" s="124"/>
      <c r="I92" s="124"/>
      <c r="J92" s="124"/>
      <c r="K92" s="124"/>
    </row>
    <row r="93" ht="15.75" customHeight="1">
      <c r="E93" s="124"/>
      <c r="F93" s="124"/>
      <c r="G93" s="124"/>
      <c r="H93" s="124"/>
      <c r="I93" s="124"/>
      <c r="J93" s="124"/>
      <c r="K93" s="124"/>
    </row>
    <row r="94" ht="15.75" customHeight="1">
      <c r="E94" s="124"/>
      <c r="F94" s="124"/>
      <c r="G94" s="124"/>
      <c r="H94" s="124"/>
      <c r="I94" s="124"/>
      <c r="J94" s="124"/>
      <c r="K94" s="124"/>
    </row>
    <row r="95" ht="15.75" customHeight="1">
      <c r="E95" s="124"/>
      <c r="F95" s="124"/>
      <c r="G95" s="124"/>
      <c r="H95" s="124"/>
      <c r="I95" s="124"/>
      <c r="J95" s="124"/>
      <c r="K95" s="124"/>
    </row>
    <row r="96" ht="15.75" customHeight="1">
      <c r="E96" s="124"/>
      <c r="F96" s="124"/>
      <c r="G96" s="124"/>
      <c r="H96" s="124"/>
      <c r="I96" s="124"/>
      <c r="J96" s="124"/>
      <c r="K96" s="124"/>
    </row>
    <row r="97" ht="15.75" customHeight="1">
      <c r="E97" s="124"/>
      <c r="F97" s="124"/>
      <c r="G97" s="124"/>
      <c r="H97" s="124"/>
      <c r="I97" s="124"/>
      <c r="J97" s="124"/>
      <c r="K97" s="124"/>
    </row>
    <row r="98" ht="15.75" customHeight="1">
      <c r="E98" s="124"/>
      <c r="F98" s="124"/>
      <c r="G98" s="124"/>
      <c r="H98" s="124"/>
      <c r="I98" s="124"/>
      <c r="J98" s="124"/>
      <c r="K98" s="124"/>
    </row>
    <row r="99" ht="15.75" customHeight="1">
      <c r="E99" s="124"/>
      <c r="F99" s="124"/>
      <c r="G99" s="124"/>
      <c r="H99" s="124"/>
      <c r="I99" s="124"/>
      <c r="J99" s="124"/>
      <c r="K99" s="124"/>
    </row>
    <row r="100" ht="15.75" customHeight="1">
      <c r="E100" s="124"/>
      <c r="F100" s="124"/>
      <c r="G100" s="124"/>
      <c r="H100" s="124"/>
      <c r="I100" s="124"/>
      <c r="J100" s="124"/>
      <c r="K100" s="124"/>
    </row>
    <row r="101" ht="15.75" customHeight="1">
      <c r="E101" s="124"/>
      <c r="F101" s="124"/>
      <c r="G101" s="124"/>
      <c r="H101" s="124"/>
      <c r="I101" s="124"/>
      <c r="J101" s="124"/>
      <c r="K101" s="124"/>
    </row>
    <row r="102" ht="15.75" customHeight="1">
      <c r="E102" s="124"/>
      <c r="F102" s="124"/>
      <c r="G102" s="124"/>
      <c r="H102" s="124"/>
      <c r="I102" s="124"/>
      <c r="J102" s="124"/>
      <c r="K102" s="124"/>
    </row>
    <row r="103" ht="15.75" customHeight="1">
      <c r="E103" s="124"/>
      <c r="F103" s="124"/>
      <c r="G103" s="124"/>
      <c r="H103" s="124"/>
      <c r="I103" s="124"/>
      <c r="J103" s="124"/>
      <c r="K103" s="124"/>
    </row>
    <row r="104" ht="15.75" customHeight="1">
      <c r="E104" s="124"/>
      <c r="F104" s="124"/>
      <c r="G104" s="124"/>
      <c r="H104" s="124"/>
      <c r="I104" s="124"/>
      <c r="J104" s="124"/>
      <c r="K104" s="124"/>
    </row>
    <row r="105" ht="15.75" customHeight="1">
      <c r="E105" s="124"/>
      <c r="F105" s="124"/>
      <c r="G105" s="124"/>
      <c r="H105" s="124"/>
      <c r="I105" s="124"/>
      <c r="J105" s="124"/>
      <c r="K105" s="124"/>
    </row>
    <row r="106" ht="15.75" customHeight="1">
      <c r="E106" s="124"/>
      <c r="F106" s="124"/>
      <c r="G106" s="124"/>
      <c r="H106" s="124"/>
      <c r="I106" s="124"/>
      <c r="J106" s="124"/>
      <c r="K106" s="124"/>
    </row>
    <row r="107" ht="15.75" customHeight="1">
      <c r="E107" s="124"/>
      <c r="F107" s="124"/>
      <c r="G107" s="124"/>
      <c r="H107" s="124"/>
      <c r="I107" s="124"/>
      <c r="J107" s="124"/>
      <c r="K107" s="124"/>
    </row>
    <row r="108" ht="15.75" customHeight="1">
      <c r="E108" s="124"/>
      <c r="F108" s="124"/>
      <c r="G108" s="124"/>
      <c r="H108" s="124"/>
      <c r="I108" s="124"/>
      <c r="J108" s="124"/>
      <c r="K108" s="124"/>
    </row>
    <row r="109" ht="15.75" customHeight="1">
      <c r="E109" s="124"/>
      <c r="F109" s="124"/>
      <c r="G109" s="124"/>
      <c r="H109" s="124"/>
      <c r="I109" s="124"/>
      <c r="J109" s="124"/>
      <c r="K109" s="124"/>
    </row>
    <row r="110" ht="15.75" customHeight="1">
      <c r="E110" s="124"/>
      <c r="F110" s="124"/>
      <c r="G110" s="124"/>
      <c r="H110" s="124"/>
      <c r="I110" s="124"/>
      <c r="J110" s="124"/>
      <c r="K110" s="124"/>
    </row>
    <row r="111" ht="15.75" customHeight="1">
      <c r="E111" s="124"/>
      <c r="F111" s="124"/>
      <c r="G111" s="124"/>
      <c r="H111" s="124"/>
      <c r="I111" s="124"/>
      <c r="J111" s="124"/>
      <c r="K111" s="124"/>
    </row>
    <row r="112" ht="15.75" customHeight="1">
      <c r="E112" s="124"/>
      <c r="F112" s="124"/>
      <c r="G112" s="124"/>
      <c r="H112" s="124"/>
      <c r="I112" s="124"/>
      <c r="J112" s="124"/>
      <c r="K112" s="124"/>
    </row>
    <row r="113" ht="15.75" customHeight="1">
      <c r="E113" s="124"/>
      <c r="F113" s="124"/>
      <c r="G113" s="124"/>
      <c r="H113" s="124"/>
      <c r="I113" s="124"/>
      <c r="J113" s="124"/>
      <c r="K113" s="124"/>
    </row>
    <row r="114" ht="15.75" customHeight="1">
      <c r="E114" s="124"/>
      <c r="F114" s="124"/>
      <c r="G114" s="124"/>
      <c r="H114" s="124"/>
      <c r="I114" s="124"/>
      <c r="J114" s="124"/>
      <c r="K114" s="124"/>
    </row>
    <row r="115" ht="15.75" customHeight="1">
      <c r="E115" s="124"/>
      <c r="F115" s="124"/>
      <c r="G115" s="124"/>
      <c r="H115" s="124"/>
      <c r="I115" s="124"/>
      <c r="J115" s="124"/>
      <c r="K115" s="124"/>
    </row>
    <row r="116" ht="15.75" customHeight="1">
      <c r="E116" s="124"/>
      <c r="F116" s="124"/>
      <c r="G116" s="124"/>
      <c r="H116" s="124"/>
      <c r="I116" s="124"/>
      <c r="J116" s="124"/>
      <c r="K116" s="124"/>
    </row>
    <row r="117" ht="15.75" customHeight="1">
      <c r="E117" s="124"/>
      <c r="F117" s="124"/>
      <c r="G117" s="124"/>
      <c r="H117" s="124"/>
      <c r="I117" s="124"/>
      <c r="J117" s="124"/>
      <c r="K117" s="124"/>
    </row>
    <row r="118" ht="15.75" customHeight="1">
      <c r="E118" s="124"/>
      <c r="F118" s="124"/>
      <c r="G118" s="124"/>
      <c r="H118" s="124"/>
      <c r="I118" s="124"/>
      <c r="J118" s="124"/>
      <c r="K118" s="124"/>
    </row>
    <row r="119" ht="15.75" customHeight="1">
      <c r="E119" s="124"/>
      <c r="F119" s="124"/>
      <c r="G119" s="124"/>
      <c r="H119" s="124"/>
      <c r="I119" s="124"/>
      <c r="J119" s="124"/>
      <c r="K119" s="124"/>
    </row>
    <row r="120" ht="15.75" customHeight="1">
      <c r="E120" s="124"/>
      <c r="F120" s="124"/>
      <c r="G120" s="124"/>
      <c r="H120" s="124"/>
      <c r="I120" s="124"/>
      <c r="J120" s="124"/>
      <c r="K120" s="124"/>
    </row>
    <row r="121" ht="15.75" customHeight="1">
      <c r="E121" s="124"/>
      <c r="F121" s="124"/>
      <c r="G121" s="124"/>
      <c r="H121" s="124"/>
      <c r="I121" s="124"/>
      <c r="J121" s="124"/>
      <c r="K121" s="124"/>
    </row>
    <row r="122" ht="15.75" customHeight="1">
      <c r="E122" s="124"/>
      <c r="F122" s="124"/>
      <c r="G122" s="124"/>
      <c r="H122" s="124"/>
      <c r="I122" s="124"/>
      <c r="J122" s="124"/>
      <c r="K122" s="124"/>
    </row>
    <row r="123" ht="15.75" customHeight="1">
      <c r="E123" s="124"/>
      <c r="F123" s="124"/>
      <c r="G123" s="124"/>
      <c r="H123" s="124"/>
      <c r="I123" s="124"/>
      <c r="J123" s="124"/>
      <c r="K123" s="124"/>
    </row>
    <row r="124" ht="15.75" customHeight="1">
      <c r="E124" s="124"/>
      <c r="F124" s="124"/>
      <c r="G124" s="124"/>
      <c r="H124" s="124"/>
      <c r="I124" s="124"/>
      <c r="J124" s="124"/>
      <c r="K124" s="124"/>
    </row>
    <row r="125" ht="15.75" customHeight="1">
      <c r="E125" s="124"/>
      <c r="F125" s="124"/>
      <c r="G125" s="124"/>
      <c r="H125" s="124"/>
      <c r="I125" s="124"/>
      <c r="J125" s="124"/>
      <c r="K125" s="124"/>
    </row>
    <row r="126" ht="15.75" customHeight="1">
      <c r="E126" s="124"/>
      <c r="F126" s="124"/>
      <c r="G126" s="124"/>
      <c r="H126" s="124"/>
      <c r="I126" s="124"/>
      <c r="J126" s="124"/>
      <c r="K126" s="124"/>
    </row>
    <row r="127" ht="15.75" customHeight="1">
      <c r="E127" s="124"/>
      <c r="F127" s="124"/>
      <c r="G127" s="124"/>
      <c r="H127" s="124"/>
      <c r="I127" s="124"/>
      <c r="J127" s="124"/>
      <c r="K127" s="124"/>
    </row>
    <row r="128" ht="15.75" customHeight="1">
      <c r="E128" s="124"/>
      <c r="F128" s="124"/>
      <c r="G128" s="124"/>
      <c r="H128" s="124"/>
      <c r="I128" s="124"/>
      <c r="J128" s="124"/>
      <c r="K128" s="124"/>
    </row>
    <row r="129" ht="15.75" customHeight="1">
      <c r="E129" s="124"/>
      <c r="F129" s="124"/>
      <c r="G129" s="124"/>
      <c r="H129" s="124"/>
      <c r="I129" s="124"/>
      <c r="J129" s="124"/>
      <c r="K129" s="124"/>
    </row>
    <row r="130" ht="15.75" customHeight="1">
      <c r="E130" s="124"/>
      <c r="F130" s="124"/>
      <c r="G130" s="124"/>
      <c r="H130" s="124"/>
      <c r="I130" s="124"/>
      <c r="J130" s="124"/>
      <c r="K130" s="124"/>
    </row>
    <row r="131" ht="15.75" customHeight="1">
      <c r="E131" s="124"/>
      <c r="F131" s="124"/>
      <c r="G131" s="124"/>
      <c r="H131" s="124"/>
      <c r="I131" s="124"/>
      <c r="J131" s="124"/>
      <c r="K131" s="124"/>
    </row>
    <row r="132" ht="15.75" customHeight="1">
      <c r="E132" s="124"/>
      <c r="F132" s="124"/>
      <c r="G132" s="124"/>
      <c r="H132" s="124"/>
      <c r="I132" s="124"/>
      <c r="J132" s="124"/>
      <c r="K132" s="124"/>
    </row>
    <row r="133" ht="15.75" customHeight="1">
      <c r="E133" s="124"/>
      <c r="F133" s="124"/>
      <c r="G133" s="124"/>
      <c r="H133" s="124"/>
      <c r="I133" s="124"/>
      <c r="J133" s="124"/>
      <c r="K133" s="124"/>
    </row>
    <row r="134" ht="15.75" customHeight="1">
      <c r="E134" s="124"/>
      <c r="F134" s="124"/>
      <c r="G134" s="124"/>
      <c r="H134" s="124"/>
      <c r="I134" s="124"/>
      <c r="J134" s="124"/>
      <c r="K134" s="124"/>
    </row>
    <row r="135" ht="15.75" customHeight="1">
      <c r="E135" s="124"/>
      <c r="F135" s="124"/>
      <c r="G135" s="124"/>
      <c r="H135" s="124"/>
      <c r="I135" s="124"/>
      <c r="J135" s="124"/>
      <c r="K135" s="124"/>
    </row>
    <row r="136" ht="15.75" customHeight="1">
      <c r="E136" s="124"/>
      <c r="F136" s="124"/>
      <c r="G136" s="124"/>
      <c r="H136" s="124"/>
      <c r="I136" s="124"/>
      <c r="J136" s="124"/>
      <c r="K136" s="124"/>
    </row>
    <row r="137" ht="15.75" customHeight="1">
      <c r="E137" s="124"/>
      <c r="F137" s="124"/>
      <c r="G137" s="124"/>
      <c r="H137" s="124"/>
      <c r="I137" s="124"/>
      <c r="J137" s="124"/>
      <c r="K137" s="124"/>
    </row>
    <row r="138" ht="15.75" customHeight="1">
      <c r="E138" s="124"/>
      <c r="F138" s="124"/>
      <c r="G138" s="124"/>
      <c r="H138" s="124"/>
      <c r="I138" s="124"/>
      <c r="J138" s="124"/>
      <c r="K138" s="124"/>
    </row>
    <row r="139" ht="15.75" customHeight="1">
      <c r="E139" s="124"/>
      <c r="F139" s="124"/>
      <c r="G139" s="124"/>
      <c r="H139" s="124"/>
      <c r="I139" s="124"/>
      <c r="J139" s="124"/>
      <c r="K139" s="124"/>
    </row>
    <row r="140" ht="15.75" customHeight="1">
      <c r="E140" s="124"/>
      <c r="F140" s="124"/>
      <c r="G140" s="124"/>
      <c r="H140" s="124"/>
      <c r="I140" s="124"/>
      <c r="J140" s="124"/>
      <c r="K140" s="124"/>
    </row>
    <row r="141" ht="15.75" customHeight="1">
      <c r="E141" s="124"/>
      <c r="F141" s="124"/>
      <c r="G141" s="124"/>
      <c r="H141" s="124"/>
      <c r="I141" s="124"/>
      <c r="J141" s="124"/>
      <c r="K141" s="124"/>
    </row>
    <row r="142" ht="15.75" customHeight="1">
      <c r="E142" s="124"/>
      <c r="F142" s="124"/>
      <c r="G142" s="124"/>
      <c r="H142" s="124"/>
      <c r="I142" s="124"/>
      <c r="J142" s="124"/>
      <c r="K142" s="124"/>
    </row>
    <row r="143" ht="15.75" customHeight="1">
      <c r="E143" s="124"/>
      <c r="F143" s="124"/>
      <c r="G143" s="124"/>
      <c r="H143" s="124"/>
      <c r="I143" s="124"/>
      <c r="J143" s="124"/>
      <c r="K143" s="124"/>
    </row>
    <row r="144" ht="15.75" customHeight="1">
      <c r="E144" s="124"/>
      <c r="F144" s="124"/>
      <c r="G144" s="124"/>
      <c r="H144" s="124"/>
      <c r="I144" s="124"/>
      <c r="J144" s="124"/>
      <c r="K144" s="124"/>
    </row>
    <row r="145" ht="15.75" customHeight="1">
      <c r="E145" s="124"/>
      <c r="F145" s="124"/>
      <c r="G145" s="124"/>
      <c r="H145" s="124"/>
      <c r="I145" s="124"/>
      <c r="J145" s="124"/>
      <c r="K145" s="124"/>
    </row>
    <row r="146" ht="15.75" customHeight="1">
      <c r="E146" s="124"/>
      <c r="F146" s="124"/>
      <c r="G146" s="124"/>
      <c r="H146" s="124"/>
      <c r="I146" s="124"/>
      <c r="J146" s="124"/>
      <c r="K146" s="124"/>
    </row>
    <row r="147" ht="15.75" customHeight="1">
      <c r="E147" s="124"/>
      <c r="F147" s="124"/>
      <c r="G147" s="124"/>
      <c r="H147" s="124"/>
      <c r="I147" s="124"/>
      <c r="J147" s="124"/>
      <c r="K147" s="124"/>
    </row>
    <row r="148" ht="15.75" customHeight="1">
      <c r="E148" s="124"/>
      <c r="F148" s="124"/>
      <c r="G148" s="124"/>
      <c r="H148" s="124"/>
      <c r="I148" s="124"/>
      <c r="J148" s="124"/>
      <c r="K148" s="124"/>
    </row>
    <row r="149" ht="15.75" customHeight="1">
      <c r="E149" s="124"/>
      <c r="F149" s="124"/>
      <c r="G149" s="124"/>
      <c r="H149" s="124"/>
      <c r="I149" s="124"/>
      <c r="J149" s="124"/>
      <c r="K149" s="124"/>
    </row>
    <row r="150" ht="15.75" customHeight="1">
      <c r="E150" s="124"/>
      <c r="F150" s="124"/>
      <c r="G150" s="124"/>
      <c r="H150" s="124"/>
      <c r="I150" s="124"/>
      <c r="J150" s="124"/>
      <c r="K150" s="124"/>
    </row>
    <row r="151" ht="15.75" customHeight="1">
      <c r="E151" s="124"/>
      <c r="F151" s="124"/>
      <c r="G151" s="124"/>
      <c r="H151" s="124"/>
      <c r="I151" s="124"/>
      <c r="J151" s="124"/>
      <c r="K151" s="124"/>
    </row>
    <row r="152" ht="15.75" customHeight="1">
      <c r="E152" s="124"/>
      <c r="F152" s="124"/>
      <c r="G152" s="124"/>
      <c r="H152" s="124"/>
      <c r="I152" s="124"/>
      <c r="J152" s="124"/>
      <c r="K152" s="124"/>
    </row>
    <row r="153" ht="15.75" customHeight="1">
      <c r="E153" s="124"/>
      <c r="F153" s="124"/>
      <c r="G153" s="124"/>
      <c r="H153" s="124"/>
      <c r="I153" s="124"/>
      <c r="J153" s="124"/>
      <c r="K153" s="124"/>
    </row>
    <row r="154" ht="15.75" customHeight="1">
      <c r="E154" s="124"/>
      <c r="F154" s="124"/>
      <c r="G154" s="124"/>
      <c r="H154" s="124"/>
      <c r="I154" s="124"/>
      <c r="J154" s="124"/>
      <c r="K154" s="124"/>
    </row>
    <row r="155" ht="15.75" customHeight="1">
      <c r="E155" s="124"/>
      <c r="F155" s="124"/>
      <c r="G155" s="124"/>
      <c r="H155" s="124"/>
      <c r="I155" s="124"/>
      <c r="J155" s="124"/>
      <c r="K155" s="124"/>
    </row>
    <row r="156" ht="15.75" customHeight="1">
      <c r="E156" s="124"/>
      <c r="F156" s="124"/>
      <c r="G156" s="124"/>
      <c r="H156" s="124"/>
      <c r="I156" s="124"/>
      <c r="J156" s="124"/>
      <c r="K156" s="124"/>
    </row>
    <row r="157" ht="15.75" customHeight="1">
      <c r="E157" s="124"/>
      <c r="F157" s="124"/>
      <c r="G157" s="124"/>
      <c r="H157" s="124"/>
      <c r="I157" s="124"/>
      <c r="J157" s="124"/>
      <c r="K157" s="124"/>
    </row>
    <row r="158" ht="15.75" customHeight="1">
      <c r="E158" s="124"/>
      <c r="F158" s="124"/>
      <c r="G158" s="124"/>
      <c r="H158" s="124"/>
      <c r="I158" s="124"/>
      <c r="J158" s="124"/>
      <c r="K158" s="124"/>
    </row>
    <row r="159" ht="15.75" customHeight="1">
      <c r="E159" s="124"/>
      <c r="F159" s="124"/>
      <c r="G159" s="124"/>
      <c r="H159" s="124"/>
      <c r="I159" s="124"/>
      <c r="J159" s="124"/>
      <c r="K159" s="124"/>
    </row>
    <row r="160" ht="15.75" customHeight="1">
      <c r="E160" s="124"/>
      <c r="F160" s="124"/>
      <c r="G160" s="124"/>
      <c r="H160" s="124"/>
      <c r="I160" s="124"/>
      <c r="J160" s="124"/>
      <c r="K160" s="124"/>
    </row>
    <row r="161" ht="15.75" customHeight="1">
      <c r="E161" s="124"/>
      <c r="F161" s="124"/>
      <c r="G161" s="124"/>
      <c r="H161" s="124"/>
      <c r="I161" s="124"/>
      <c r="J161" s="124"/>
      <c r="K161" s="124"/>
    </row>
    <row r="162" ht="15.75" customHeight="1">
      <c r="E162" s="124"/>
      <c r="F162" s="124"/>
      <c r="G162" s="124"/>
      <c r="H162" s="124"/>
      <c r="I162" s="124"/>
      <c r="J162" s="124"/>
      <c r="K162" s="124"/>
    </row>
    <row r="163" ht="15.75" customHeight="1">
      <c r="E163" s="124"/>
      <c r="F163" s="124"/>
      <c r="G163" s="124"/>
      <c r="H163" s="124"/>
      <c r="I163" s="124"/>
      <c r="J163" s="124"/>
      <c r="K163" s="124"/>
    </row>
    <row r="164" ht="15.75" customHeight="1">
      <c r="E164" s="124"/>
      <c r="F164" s="124"/>
      <c r="G164" s="124"/>
      <c r="H164" s="124"/>
      <c r="I164" s="124"/>
      <c r="J164" s="124"/>
      <c r="K164" s="124"/>
    </row>
    <row r="165" ht="15.75" customHeight="1">
      <c r="E165" s="124"/>
      <c r="F165" s="124"/>
      <c r="G165" s="124"/>
      <c r="H165" s="124"/>
      <c r="I165" s="124"/>
      <c r="J165" s="124"/>
      <c r="K165" s="124"/>
    </row>
    <row r="166" ht="15.75" customHeight="1">
      <c r="E166" s="124"/>
      <c r="F166" s="124"/>
      <c r="G166" s="124"/>
      <c r="H166" s="124"/>
      <c r="I166" s="124"/>
      <c r="J166" s="124"/>
      <c r="K166" s="124"/>
    </row>
    <row r="167" ht="15.75" customHeight="1">
      <c r="E167" s="124"/>
      <c r="F167" s="124"/>
      <c r="G167" s="124"/>
      <c r="H167" s="124"/>
      <c r="I167" s="124"/>
      <c r="J167" s="124"/>
      <c r="K167" s="124"/>
    </row>
    <row r="168" ht="15.75" customHeight="1">
      <c r="E168" s="124"/>
      <c r="F168" s="124"/>
      <c r="G168" s="124"/>
      <c r="H168" s="124"/>
      <c r="I168" s="124"/>
      <c r="J168" s="124"/>
      <c r="K168" s="124"/>
    </row>
    <row r="169" ht="15.75" customHeight="1">
      <c r="E169" s="124"/>
      <c r="F169" s="124"/>
      <c r="G169" s="124"/>
      <c r="H169" s="124"/>
      <c r="I169" s="124"/>
      <c r="J169" s="124"/>
      <c r="K169" s="124"/>
    </row>
    <row r="170" ht="15.75" customHeight="1">
      <c r="E170" s="124"/>
      <c r="F170" s="124"/>
      <c r="G170" s="124"/>
      <c r="H170" s="124"/>
      <c r="I170" s="124"/>
      <c r="J170" s="124"/>
      <c r="K170" s="124"/>
    </row>
    <row r="171" ht="15.75" customHeight="1">
      <c r="E171" s="124"/>
      <c r="F171" s="124"/>
      <c r="G171" s="124"/>
      <c r="H171" s="124"/>
      <c r="I171" s="124"/>
      <c r="J171" s="124"/>
      <c r="K171" s="124"/>
    </row>
    <row r="172" ht="15.75" customHeight="1">
      <c r="E172" s="124"/>
      <c r="F172" s="124"/>
      <c r="G172" s="124"/>
      <c r="H172" s="124"/>
      <c r="I172" s="124"/>
      <c r="J172" s="124"/>
      <c r="K172" s="124"/>
    </row>
    <row r="173" ht="15.75" customHeight="1">
      <c r="E173" s="124"/>
      <c r="F173" s="124"/>
      <c r="G173" s="124"/>
      <c r="H173" s="124"/>
      <c r="I173" s="124"/>
      <c r="J173" s="124"/>
      <c r="K173" s="124"/>
    </row>
    <row r="174" ht="15.75" customHeight="1">
      <c r="E174" s="124"/>
      <c r="F174" s="124"/>
      <c r="G174" s="124"/>
      <c r="H174" s="124"/>
      <c r="I174" s="124"/>
      <c r="J174" s="124"/>
      <c r="K174" s="124"/>
    </row>
    <row r="175" ht="15.75" customHeight="1">
      <c r="E175" s="124"/>
      <c r="F175" s="124"/>
      <c r="G175" s="124"/>
      <c r="H175" s="124"/>
      <c r="I175" s="124"/>
      <c r="J175" s="124"/>
      <c r="K175" s="124"/>
    </row>
    <row r="176" ht="15.75" customHeight="1">
      <c r="E176" s="124"/>
      <c r="F176" s="124"/>
      <c r="G176" s="124"/>
      <c r="H176" s="124"/>
      <c r="I176" s="124"/>
      <c r="J176" s="124"/>
      <c r="K176" s="124"/>
    </row>
    <row r="177" ht="15.75" customHeight="1">
      <c r="E177" s="124"/>
      <c r="F177" s="124"/>
      <c r="G177" s="124"/>
      <c r="H177" s="124"/>
      <c r="I177" s="124"/>
      <c r="J177" s="124"/>
      <c r="K177" s="124"/>
    </row>
    <row r="178" ht="15.75" customHeight="1">
      <c r="E178" s="124"/>
      <c r="F178" s="124"/>
      <c r="G178" s="124"/>
      <c r="H178" s="124"/>
      <c r="I178" s="124"/>
      <c r="J178" s="124"/>
      <c r="K178" s="124"/>
    </row>
    <row r="179" ht="15.75" customHeight="1">
      <c r="E179" s="124"/>
      <c r="F179" s="124"/>
      <c r="G179" s="124"/>
      <c r="H179" s="124"/>
      <c r="I179" s="124"/>
      <c r="J179" s="124"/>
      <c r="K179" s="124"/>
    </row>
    <row r="180" ht="15.75" customHeight="1">
      <c r="E180" s="124"/>
      <c r="F180" s="124"/>
      <c r="G180" s="124"/>
      <c r="H180" s="124"/>
      <c r="I180" s="124"/>
      <c r="J180" s="124"/>
      <c r="K180" s="124"/>
    </row>
    <row r="181" ht="15.75" customHeight="1">
      <c r="E181" s="124"/>
      <c r="F181" s="124"/>
      <c r="G181" s="124"/>
      <c r="H181" s="124"/>
      <c r="I181" s="124"/>
      <c r="J181" s="124"/>
      <c r="K181" s="124"/>
    </row>
    <row r="182" ht="15.75" customHeight="1">
      <c r="E182" s="124"/>
      <c r="F182" s="124"/>
      <c r="G182" s="124"/>
      <c r="H182" s="124"/>
      <c r="I182" s="124"/>
      <c r="J182" s="124"/>
      <c r="K182" s="124"/>
    </row>
    <row r="183" ht="15.75" customHeight="1">
      <c r="E183" s="124"/>
      <c r="F183" s="124"/>
      <c r="G183" s="124"/>
      <c r="H183" s="124"/>
      <c r="I183" s="124"/>
      <c r="J183" s="124"/>
      <c r="K183" s="124"/>
    </row>
    <row r="184" ht="15.75" customHeight="1">
      <c r="E184" s="124"/>
      <c r="F184" s="124"/>
      <c r="G184" s="124"/>
      <c r="H184" s="124"/>
      <c r="I184" s="124"/>
      <c r="J184" s="124"/>
      <c r="K184" s="124"/>
    </row>
    <row r="185" ht="15.75" customHeight="1">
      <c r="E185" s="124"/>
      <c r="F185" s="124"/>
      <c r="G185" s="124"/>
      <c r="H185" s="124"/>
      <c r="I185" s="124"/>
      <c r="J185" s="124"/>
      <c r="K185" s="124"/>
    </row>
    <row r="186" ht="15.75" customHeight="1">
      <c r="E186" s="124"/>
      <c r="F186" s="124"/>
      <c r="G186" s="124"/>
      <c r="H186" s="124"/>
      <c r="I186" s="124"/>
      <c r="J186" s="124"/>
      <c r="K186" s="124"/>
    </row>
    <row r="187" ht="15.75" customHeight="1">
      <c r="E187" s="124"/>
      <c r="F187" s="124"/>
      <c r="G187" s="124"/>
      <c r="H187" s="124"/>
      <c r="I187" s="124"/>
      <c r="J187" s="124"/>
      <c r="K187" s="124"/>
    </row>
    <row r="188" ht="15.75" customHeight="1">
      <c r="E188" s="124"/>
      <c r="F188" s="124"/>
      <c r="G188" s="124"/>
      <c r="H188" s="124"/>
      <c r="I188" s="124"/>
      <c r="J188" s="124"/>
      <c r="K188" s="124"/>
    </row>
    <row r="189" ht="15.75" customHeight="1">
      <c r="E189" s="124"/>
      <c r="F189" s="124"/>
      <c r="G189" s="124"/>
      <c r="H189" s="124"/>
      <c r="I189" s="124"/>
      <c r="J189" s="124"/>
      <c r="K189" s="124"/>
    </row>
    <row r="190" ht="15.75" customHeight="1">
      <c r="E190" s="124"/>
      <c r="F190" s="124"/>
      <c r="G190" s="124"/>
      <c r="H190" s="124"/>
      <c r="I190" s="124"/>
      <c r="J190" s="124"/>
      <c r="K190" s="124"/>
    </row>
    <row r="191" ht="15.75" customHeight="1">
      <c r="E191" s="124"/>
      <c r="F191" s="124"/>
      <c r="G191" s="124"/>
      <c r="H191" s="124"/>
      <c r="I191" s="124"/>
      <c r="J191" s="124"/>
      <c r="K191" s="124"/>
    </row>
    <row r="192" ht="15.75" customHeight="1">
      <c r="E192" s="124"/>
      <c r="F192" s="124"/>
      <c r="G192" s="124"/>
      <c r="H192" s="124"/>
      <c r="I192" s="124"/>
      <c r="J192" s="124"/>
      <c r="K192" s="124"/>
    </row>
    <row r="193" ht="15.75" customHeight="1">
      <c r="E193" s="124"/>
      <c r="F193" s="124"/>
      <c r="G193" s="124"/>
      <c r="H193" s="124"/>
      <c r="I193" s="124"/>
      <c r="J193" s="124"/>
      <c r="K193" s="124"/>
    </row>
    <row r="194" ht="15.75" customHeight="1">
      <c r="E194" s="124"/>
      <c r="F194" s="124"/>
      <c r="G194" s="124"/>
      <c r="H194" s="124"/>
      <c r="I194" s="124"/>
      <c r="J194" s="124"/>
      <c r="K194" s="124"/>
    </row>
    <row r="195" ht="15.75" customHeight="1">
      <c r="E195" s="124"/>
      <c r="F195" s="124"/>
      <c r="G195" s="124"/>
      <c r="H195" s="124"/>
      <c r="I195" s="124"/>
      <c r="J195" s="124"/>
      <c r="K195" s="124"/>
    </row>
    <row r="196" ht="15.75" customHeight="1">
      <c r="E196" s="124"/>
      <c r="F196" s="124"/>
      <c r="G196" s="124"/>
      <c r="H196" s="124"/>
      <c r="I196" s="124"/>
      <c r="J196" s="124"/>
      <c r="K196" s="124"/>
    </row>
    <row r="197" ht="15.75" customHeight="1">
      <c r="E197" s="124"/>
      <c r="F197" s="124"/>
      <c r="G197" s="124"/>
      <c r="H197" s="124"/>
      <c r="I197" s="124"/>
      <c r="J197" s="124"/>
      <c r="K197" s="124"/>
    </row>
    <row r="198" ht="15.75" customHeight="1">
      <c r="E198" s="124"/>
      <c r="F198" s="124"/>
      <c r="G198" s="124"/>
      <c r="H198" s="124"/>
      <c r="I198" s="124"/>
      <c r="J198" s="124"/>
      <c r="K198" s="124"/>
    </row>
    <row r="199" ht="15.75" customHeight="1">
      <c r="E199" s="124"/>
      <c r="F199" s="124"/>
      <c r="G199" s="124"/>
      <c r="H199" s="124"/>
      <c r="I199" s="124"/>
      <c r="J199" s="124"/>
      <c r="K199" s="124"/>
    </row>
    <row r="200" ht="15.75" customHeight="1">
      <c r="E200" s="124"/>
      <c r="F200" s="124"/>
      <c r="G200" s="124"/>
      <c r="H200" s="124"/>
      <c r="I200" s="124"/>
      <c r="J200" s="124"/>
      <c r="K200" s="124"/>
    </row>
    <row r="201" ht="15.75" customHeight="1">
      <c r="E201" s="124"/>
      <c r="F201" s="124"/>
      <c r="G201" s="124"/>
      <c r="H201" s="124"/>
      <c r="I201" s="124"/>
      <c r="J201" s="124"/>
      <c r="K201" s="124"/>
    </row>
    <row r="202" ht="15.75" customHeight="1">
      <c r="E202" s="124"/>
      <c r="F202" s="124"/>
      <c r="G202" s="124"/>
      <c r="H202" s="124"/>
      <c r="I202" s="124"/>
      <c r="J202" s="124"/>
      <c r="K202" s="124"/>
    </row>
    <row r="203" ht="15.75" customHeight="1">
      <c r="E203" s="124"/>
      <c r="F203" s="124"/>
      <c r="G203" s="124"/>
      <c r="H203" s="124"/>
      <c r="I203" s="124"/>
      <c r="J203" s="124"/>
      <c r="K203" s="124"/>
    </row>
    <row r="204" ht="15.75" customHeight="1">
      <c r="E204" s="124"/>
      <c r="F204" s="124"/>
      <c r="G204" s="124"/>
      <c r="H204" s="124"/>
      <c r="I204" s="124"/>
      <c r="J204" s="124"/>
      <c r="K204" s="124"/>
    </row>
    <row r="205" ht="15.75" customHeight="1">
      <c r="E205" s="124"/>
      <c r="F205" s="124"/>
      <c r="G205" s="124"/>
      <c r="H205" s="124"/>
      <c r="I205" s="124"/>
      <c r="J205" s="124"/>
      <c r="K205" s="124"/>
    </row>
    <row r="206" ht="15.75" customHeight="1">
      <c r="E206" s="124"/>
      <c r="F206" s="124"/>
      <c r="G206" s="124"/>
      <c r="H206" s="124"/>
      <c r="I206" s="124"/>
      <c r="J206" s="124"/>
      <c r="K206" s="124"/>
    </row>
    <row r="207" ht="15.75" customHeight="1">
      <c r="E207" s="124"/>
      <c r="F207" s="124"/>
      <c r="G207" s="124"/>
      <c r="H207" s="124"/>
      <c r="I207" s="124"/>
      <c r="J207" s="124"/>
      <c r="K207" s="124"/>
    </row>
    <row r="208" ht="15.75" customHeight="1">
      <c r="E208" s="124"/>
      <c r="F208" s="124"/>
      <c r="G208" s="124"/>
      <c r="H208" s="124"/>
      <c r="I208" s="124"/>
      <c r="J208" s="124"/>
      <c r="K208" s="124"/>
    </row>
    <row r="209" ht="15.75" customHeight="1">
      <c r="E209" s="124"/>
      <c r="F209" s="124"/>
      <c r="G209" s="124"/>
      <c r="H209" s="124"/>
      <c r="I209" s="124"/>
      <c r="J209" s="124"/>
      <c r="K209" s="124"/>
    </row>
    <row r="210" ht="15.75" customHeight="1">
      <c r="E210" s="124"/>
      <c r="F210" s="124"/>
      <c r="G210" s="124"/>
      <c r="H210" s="124"/>
      <c r="I210" s="124"/>
      <c r="J210" s="124"/>
      <c r="K210" s="124"/>
    </row>
    <row r="211" ht="15.75" customHeight="1">
      <c r="E211" s="124"/>
      <c r="F211" s="124"/>
      <c r="G211" s="124"/>
      <c r="H211" s="124"/>
      <c r="I211" s="124"/>
      <c r="J211" s="124"/>
      <c r="K211" s="124"/>
    </row>
    <row r="212" ht="15.75" customHeight="1">
      <c r="E212" s="124"/>
      <c r="F212" s="124"/>
      <c r="G212" s="124"/>
      <c r="H212" s="124"/>
      <c r="I212" s="124"/>
      <c r="J212" s="124"/>
      <c r="K212" s="124"/>
    </row>
    <row r="213" ht="15.75" customHeight="1">
      <c r="E213" s="124"/>
      <c r="F213" s="124"/>
      <c r="G213" s="124"/>
      <c r="H213" s="124"/>
      <c r="I213" s="124"/>
      <c r="J213" s="124"/>
      <c r="K213" s="124"/>
    </row>
    <row r="214" ht="15.75" customHeight="1">
      <c r="E214" s="124"/>
      <c r="F214" s="124"/>
      <c r="G214" s="124"/>
      <c r="H214" s="124"/>
      <c r="I214" s="124"/>
      <c r="J214" s="124"/>
      <c r="K214" s="124"/>
    </row>
    <row r="215" ht="15.75" customHeight="1">
      <c r="E215" s="124"/>
      <c r="F215" s="124"/>
      <c r="G215" s="124"/>
      <c r="H215" s="124"/>
      <c r="I215" s="124"/>
      <c r="J215" s="124"/>
      <c r="K215" s="124"/>
    </row>
    <row r="216" ht="15.75" customHeight="1">
      <c r="E216" s="124"/>
      <c r="F216" s="124"/>
      <c r="G216" s="124"/>
      <c r="H216" s="124"/>
      <c r="I216" s="124"/>
      <c r="J216" s="124"/>
      <c r="K216" s="124"/>
    </row>
    <row r="217" ht="15.75" customHeight="1">
      <c r="E217" s="124"/>
      <c r="F217" s="124"/>
      <c r="G217" s="124"/>
      <c r="H217" s="124"/>
      <c r="I217" s="124"/>
      <c r="J217" s="124"/>
      <c r="K217" s="124"/>
    </row>
    <row r="218" ht="15.75" customHeight="1">
      <c r="E218" s="124"/>
      <c r="F218" s="124"/>
      <c r="G218" s="124"/>
      <c r="H218" s="124"/>
      <c r="I218" s="124"/>
      <c r="J218" s="124"/>
      <c r="K218" s="124"/>
    </row>
    <row r="219" ht="15.75" customHeight="1">
      <c r="E219" s="124"/>
      <c r="F219" s="124"/>
      <c r="G219" s="124"/>
      <c r="H219" s="124"/>
      <c r="I219" s="124"/>
      <c r="J219" s="124"/>
      <c r="K219" s="124"/>
    </row>
    <row r="220" ht="15.75" customHeight="1">
      <c r="E220" s="124"/>
      <c r="F220" s="124"/>
      <c r="G220" s="124"/>
      <c r="H220" s="124"/>
      <c r="I220" s="124"/>
      <c r="J220" s="124"/>
      <c r="K220" s="124"/>
    </row>
    <row r="221" ht="15.75" customHeight="1">
      <c r="E221" s="124"/>
      <c r="F221" s="124"/>
      <c r="G221" s="124"/>
      <c r="H221" s="124"/>
      <c r="I221" s="124"/>
      <c r="J221" s="124"/>
      <c r="K221" s="124"/>
    </row>
    <row r="222" ht="15.75" customHeight="1">
      <c r="E222" s="124"/>
      <c r="F222" s="124"/>
      <c r="G222" s="124"/>
      <c r="H222" s="124"/>
      <c r="I222" s="124"/>
      <c r="J222" s="124"/>
      <c r="K222" s="124"/>
    </row>
    <row r="223" ht="15.75" customHeight="1">
      <c r="E223" s="124"/>
      <c r="F223" s="124"/>
      <c r="G223" s="124"/>
      <c r="H223" s="124"/>
      <c r="I223" s="124"/>
      <c r="J223" s="124"/>
      <c r="K223" s="124"/>
    </row>
    <row r="224" ht="15.75" customHeight="1">
      <c r="E224" s="124"/>
      <c r="F224" s="124"/>
      <c r="G224" s="124"/>
      <c r="H224" s="124"/>
      <c r="I224" s="124"/>
      <c r="J224" s="124"/>
      <c r="K224" s="124"/>
    </row>
    <row r="225" ht="15.75" customHeight="1">
      <c r="E225" s="124"/>
      <c r="F225" s="124"/>
      <c r="G225" s="124"/>
      <c r="H225" s="124"/>
      <c r="I225" s="124"/>
      <c r="J225" s="124"/>
      <c r="K225" s="124"/>
    </row>
    <row r="226" ht="15.75" customHeight="1">
      <c r="E226" s="124"/>
      <c r="F226" s="124"/>
      <c r="G226" s="124"/>
      <c r="H226" s="124"/>
      <c r="I226" s="124"/>
      <c r="J226" s="124"/>
      <c r="K226" s="124"/>
    </row>
    <row r="227" ht="15.75" customHeight="1">
      <c r="E227" s="124"/>
      <c r="F227" s="124"/>
      <c r="G227" s="124"/>
      <c r="H227" s="124"/>
      <c r="I227" s="124"/>
      <c r="J227" s="124"/>
      <c r="K227" s="124"/>
    </row>
    <row r="228" ht="15.75" customHeight="1">
      <c r="E228" s="124"/>
      <c r="F228" s="124"/>
      <c r="G228" s="124"/>
      <c r="H228" s="124"/>
      <c r="I228" s="124"/>
      <c r="J228" s="124"/>
      <c r="K228" s="124"/>
    </row>
    <row r="229" ht="15.75" customHeight="1">
      <c r="E229" s="124"/>
      <c r="F229" s="124"/>
      <c r="G229" s="124"/>
      <c r="H229" s="124"/>
      <c r="I229" s="124"/>
      <c r="J229" s="124"/>
      <c r="K229" s="124"/>
    </row>
    <row r="230" ht="15.75" customHeight="1">
      <c r="E230" s="124"/>
      <c r="F230" s="124"/>
      <c r="G230" s="124"/>
      <c r="H230" s="124"/>
      <c r="I230" s="124"/>
      <c r="J230" s="124"/>
      <c r="K230" s="124"/>
    </row>
    <row r="231" ht="15.75" customHeight="1">
      <c r="E231" s="124"/>
      <c r="F231" s="124"/>
      <c r="G231" s="124"/>
      <c r="H231" s="124"/>
      <c r="I231" s="124"/>
      <c r="J231" s="124"/>
      <c r="K231" s="124"/>
    </row>
    <row r="232" ht="15.75" customHeight="1">
      <c r="E232" s="124"/>
      <c r="F232" s="124"/>
      <c r="G232" s="124"/>
      <c r="H232" s="124"/>
      <c r="I232" s="124"/>
      <c r="J232" s="124"/>
      <c r="K232" s="124"/>
    </row>
    <row r="233" ht="15.75" customHeight="1">
      <c r="E233" s="124"/>
      <c r="F233" s="124"/>
      <c r="G233" s="124"/>
      <c r="H233" s="124"/>
      <c r="I233" s="124"/>
      <c r="J233" s="124"/>
      <c r="K233" s="124"/>
    </row>
    <row r="234" ht="15.75" customHeight="1">
      <c r="E234" s="124"/>
      <c r="F234" s="124"/>
      <c r="G234" s="124"/>
      <c r="H234" s="124"/>
      <c r="I234" s="124"/>
      <c r="J234" s="124"/>
      <c r="K234" s="124"/>
    </row>
    <row r="235" ht="15.75" customHeight="1">
      <c r="E235" s="124"/>
      <c r="F235" s="124"/>
      <c r="G235" s="124"/>
      <c r="H235" s="124"/>
      <c r="I235" s="124"/>
      <c r="J235" s="124"/>
      <c r="K235" s="124"/>
    </row>
    <row r="236" ht="15.75" customHeight="1">
      <c r="E236" s="124"/>
      <c r="F236" s="124"/>
      <c r="G236" s="124"/>
      <c r="H236" s="124"/>
      <c r="I236" s="124"/>
      <c r="J236" s="124"/>
      <c r="K236" s="124"/>
    </row>
    <row r="237" ht="15.75" customHeight="1">
      <c r="E237" s="124"/>
      <c r="F237" s="124"/>
      <c r="G237" s="124"/>
      <c r="H237" s="124"/>
      <c r="I237" s="124"/>
      <c r="J237" s="124"/>
      <c r="K237" s="124"/>
    </row>
    <row r="238" ht="15.75" customHeight="1">
      <c r="E238" s="124"/>
      <c r="F238" s="124"/>
      <c r="G238" s="124"/>
      <c r="H238" s="124"/>
      <c r="I238" s="124"/>
      <c r="J238" s="124"/>
      <c r="K238" s="124"/>
    </row>
    <row r="239" ht="15.75" customHeight="1">
      <c r="E239" s="124"/>
      <c r="F239" s="124"/>
      <c r="G239" s="124"/>
      <c r="H239" s="124"/>
      <c r="I239" s="124"/>
      <c r="J239" s="124"/>
      <c r="K239" s="124"/>
    </row>
    <row r="240" ht="15.75" customHeight="1">
      <c r="E240" s="124"/>
      <c r="F240" s="124"/>
      <c r="G240" s="124"/>
      <c r="H240" s="124"/>
      <c r="I240" s="124"/>
      <c r="J240" s="124"/>
      <c r="K240" s="124"/>
    </row>
    <row r="241" ht="15.75" customHeight="1">
      <c r="E241" s="124"/>
      <c r="F241" s="124"/>
      <c r="G241" s="124"/>
      <c r="H241" s="124"/>
      <c r="I241" s="124"/>
      <c r="J241" s="124"/>
      <c r="K241" s="124"/>
    </row>
    <row r="242" ht="15.75" customHeight="1">
      <c r="E242" s="124"/>
      <c r="F242" s="124"/>
      <c r="G242" s="124"/>
      <c r="H242" s="124"/>
      <c r="I242" s="124"/>
      <c r="J242" s="124"/>
      <c r="K242" s="124"/>
    </row>
    <row r="243" ht="15.75" customHeight="1">
      <c r="E243" s="124"/>
      <c r="F243" s="124"/>
      <c r="G243" s="124"/>
      <c r="H243" s="124"/>
      <c r="I243" s="124"/>
      <c r="J243" s="124"/>
      <c r="K243" s="124"/>
    </row>
    <row r="244" ht="15.75" customHeight="1">
      <c r="E244" s="124"/>
      <c r="F244" s="124"/>
      <c r="G244" s="124"/>
      <c r="H244" s="124"/>
      <c r="I244" s="124"/>
      <c r="J244" s="124"/>
      <c r="K244" s="124"/>
    </row>
    <row r="245" ht="15.75" customHeight="1">
      <c r="E245" s="124"/>
      <c r="F245" s="124"/>
      <c r="G245" s="124"/>
      <c r="H245" s="124"/>
      <c r="I245" s="124"/>
      <c r="J245" s="124"/>
      <c r="K245" s="124"/>
    </row>
    <row r="246" ht="15.75" customHeight="1">
      <c r="E246" s="124"/>
      <c r="F246" s="124"/>
      <c r="G246" s="124"/>
      <c r="H246" s="124"/>
      <c r="I246" s="124"/>
      <c r="J246" s="124"/>
      <c r="K246" s="124"/>
    </row>
    <row r="247" ht="15.75" customHeight="1">
      <c r="E247" s="124"/>
      <c r="F247" s="124"/>
      <c r="G247" s="124"/>
      <c r="H247" s="124"/>
      <c r="I247" s="124"/>
      <c r="J247" s="124"/>
      <c r="K247" s="124"/>
    </row>
    <row r="248" ht="15.75" customHeight="1">
      <c r="E248" s="124"/>
      <c r="F248" s="124"/>
      <c r="G248" s="124"/>
      <c r="H248" s="124"/>
      <c r="I248" s="124"/>
      <c r="J248" s="124"/>
      <c r="K248" s="124"/>
    </row>
    <row r="249" ht="15.75" customHeight="1">
      <c r="E249" s="124"/>
      <c r="F249" s="124"/>
      <c r="G249" s="124"/>
      <c r="H249" s="124"/>
      <c r="I249" s="124"/>
      <c r="J249" s="124"/>
      <c r="K249" s="124"/>
    </row>
    <row r="250" ht="15.75" customHeight="1">
      <c r="E250" s="124"/>
      <c r="F250" s="124"/>
      <c r="G250" s="124"/>
      <c r="H250" s="124"/>
      <c r="I250" s="124"/>
      <c r="J250" s="124"/>
      <c r="K250" s="124"/>
    </row>
    <row r="251" ht="15.75" customHeight="1">
      <c r="E251" s="124"/>
      <c r="F251" s="124"/>
      <c r="G251" s="124"/>
      <c r="H251" s="124"/>
      <c r="I251" s="124"/>
      <c r="J251" s="124"/>
      <c r="K251" s="124"/>
    </row>
    <row r="252" ht="15.75" customHeight="1">
      <c r="E252" s="124"/>
      <c r="F252" s="124"/>
      <c r="G252" s="124"/>
      <c r="H252" s="124"/>
      <c r="I252" s="124"/>
      <c r="J252" s="124"/>
      <c r="K252" s="124"/>
    </row>
    <row r="253" ht="15.75" customHeight="1">
      <c r="E253" s="124"/>
      <c r="F253" s="124"/>
      <c r="G253" s="124"/>
      <c r="H253" s="124"/>
      <c r="I253" s="124"/>
      <c r="J253" s="124"/>
      <c r="K253" s="124"/>
    </row>
    <row r="254" ht="15.75" customHeight="1">
      <c r="E254" s="124"/>
      <c r="F254" s="124"/>
      <c r="G254" s="124"/>
      <c r="H254" s="124"/>
      <c r="I254" s="124"/>
      <c r="J254" s="124"/>
      <c r="K254" s="124"/>
    </row>
    <row r="255" ht="15.75" customHeight="1">
      <c r="E255" s="124"/>
      <c r="F255" s="124"/>
      <c r="G255" s="124"/>
      <c r="H255" s="124"/>
      <c r="I255" s="124"/>
      <c r="J255" s="124"/>
      <c r="K255" s="124"/>
    </row>
    <row r="256" ht="15.75" customHeight="1">
      <c r="E256" s="124"/>
      <c r="F256" s="124"/>
      <c r="G256" s="124"/>
      <c r="H256" s="124"/>
      <c r="I256" s="124"/>
      <c r="J256" s="124"/>
      <c r="K256" s="124"/>
    </row>
    <row r="257" ht="15.75" customHeight="1">
      <c r="E257" s="124"/>
      <c r="F257" s="124"/>
      <c r="G257" s="124"/>
      <c r="H257" s="124"/>
      <c r="I257" s="124"/>
      <c r="J257" s="124"/>
      <c r="K257" s="124"/>
    </row>
    <row r="258" ht="15.75" customHeight="1">
      <c r="E258" s="124"/>
      <c r="F258" s="124"/>
      <c r="G258" s="124"/>
      <c r="H258" s="124"/>
      <c r="I258" s="124"/>
      <c r="J258" s="124"/>
      <c r="K258" s="124"/>
    </row>
    <row r="259" ht="15.75" customHeight="1">
      <c r="E259" s="124"/>
      <c r="F259" s="124"/>
      <c r="G259" s="124"/>
      <c r="H259" s="124"/>
      <c r="I259" s="124"/>
      <c r="J259" s="124"/>
      <c r="K259" s="124"/>
    </row>
    <row r="260" ht="15.75" customHeight="1">
      <c r="E260" s="124"/>
      <c r="F260" s="124"/>
      <c r="G260" s="124"/>
      <c r="H260" s="124"/>
      <c r="I260" s="124"/>
      <c r="J260" s="124"/>
      <c r="K260" s="124"/>
    </row>
    <row r="261" ht="15.75" customHeight="1">
      <c r="E261" s="124"/>
      <c r="F261" s="124"/>
      <c r="G261" s="124"/>
      <c r="H261" s="124"/>
      <c r="I261" s="124"/>
      <c r="J261" s="124"/>
      <c r="K261" s="124"/>
    </row>
    <row r="262" ht="15.75" customHeight="1">
      <c r="E262" s="124"/>
      <c r="F262" s="124"/>
      <c r="G262" s="124"/>
      <c r="H262" s="124"/>
      <c r="I262" s="124"/>
      <c r="J262" s="124"/>
      <c r="K262" s="124"/>
    </row>
    <row r="263" ht="15.75" customHeight="1">
      <c r="E263" s="124"/>
      <c r="F263" s="124"/>
      <c r="G263" s="124"/>
      <c r="H263" s="124"/>
      <c r="I263" s="124"/>
      <c r="J263" s="124"/>
      <c r="K263" s="124"/>
    </row>
    <row r="264" ht="15.75" customHeight="1">
      <c r="E264" s="124"/>
      <c r="F264" s="124"/>
      <c r="G264" s="124"/>
      <c r="H264" s="124"/>
      <c r="I264" s="124"/>
      <c r="J264" s="124"/>
      <c r="K264" s="124"/>
    </row>
    <row r="265" ht="15.75" customHeight="1">
      <c r="E265" s="124"/>
      <c r="F265" s="124"/>
      <c r="G265" s="124"/>
      <c r="H265" s="124"/>
      <c r="I265" s="124"/>
      <c r="J265" s="124"/>
      <c r="K265" s="124"/>
    </row>
    <row r="266" ht="15.75" customHeight="1">
      <c r="E266" s="124"/>
      <c r="F266" s="124"/>
      <c r="G266" s="124"/>
      <c r="H266" s="124"/>
      <c r="I266" s="124"/>
      <c r="J266" s="124"/>
      <c r="K266" s="124"/>
    </row>
    <row r="267" ht="15.75" customHeight="1">
      <c r="E267" s="124"/>
      <c r="F267" s="124"/>
      <c r="G267" s="124"/>
      <c r="H267" s="124"/>
      <c r="I267" s="124"/>
      <c r="J267" s="124"/>
      <c r="K267" s="124"/>
    </row>
    <row r="268" ht="15.75" customHeight="1">
      <c r="E268" s="124"/>
      <c r="F268" s="124"/>
      <c r="G268" s="124"/>
      <c r="H268" s="124"/>
      <c r="I268" s="124"/>
      <c r="J268" s="124"/>
      <c r="K268" s="124"/>
    </row>
    <row r="269" ht="15.75" customHeight="1">
      <c r="E269" s="124"/>
      <c r="F269" s="124"/>
      <c r="G269" s="124"/>
      <c r="H269" s="124"/>
      <c r="I269" s="124"/>
      <c r="J269" s="124"/>
      <c r="K269" s="124"/>
    </row>
    <row r="270" ht="15.75" customHeight="1">
      <c r="E270" s="124"/>
      <c r="F270" s="124"/>
      <c r="G270" s="124"/>
      <c r="H270" s="124"/>
      <c r="I270" s="124"/>
      <c r="J270" s="124"/>
      <c r="K270" s="124"/>
    </row>
    <row r="271" ht="15.75" customHeight="1">
      <c r="E271" s="124"/>
      <c r="F271" s="124"/>
      <c r="G271" s="124"/>
      <c r="H271" s="124"/>
      <c r="I271" s="124"/>
      <c r="J271" s="124"/>
      <c r="K271" s="124"/>
    </row>
    <row r="272" ht="15.75" customHeight="1">
      <c r="E272" s="124"/>
      <c r="F272" s="124"/>
      <c r="G272" s="124"/>
      <c r="H272" s="124"/>
      <c r="I272" s="124"/>
      <c r="J272" s="124"/>
      <c r="K272" s="124"/>
    </row>
    <row r="273" ht="15.75" customHeight="1">
      <c r="E273" s="124"/>
      <c r="F273" s="124"/>
      <c r="G273" s="124"/>
      <c r="H273" s="124"/>
      <c r="I273" s="124"/>
      <c r="J273" s="124"/>
      <c r="K273" s="124"/>
    </row>
    <row r="274" ht="15.75" customHeight="1">
      <c r="E274" s="124"/>
      <c r="F274" s="124"/>
      <c r="G274" s="124"/>
      <c r="H274" s="124"/>
      <c r="I274" s="124"/>
      <c r="J274" s="124"/>
      <c r="K274" s="124"/>
    </row>
    <row r="275" ht="15.75" customHeight="1">
      <c r="E275" s="124"/>
      <c r="F275" s="124"/>
      <c r="G275" s="124"/>
      <c r="H275" s="124"/>
      <c r="I275" s="124"/>
      <c r="J275" s="124"/>
      <c r="K275" s="124"/>
    </row>
    <row r="276" ht="15.75" customHeight="1">
      <c r="E276" s="124"/>
      <c r="F276" s="124"/>
      <c r="G276" s="124"/>
      <c r="H276" s="124"/>
      <c r="I276" s="124"/>
      <c r="J276" s="124"/>
      <c r="K276" s="124"/>
    </row>
    <row r="277" ht="15.75" customHeight="1">
      <c r="E277" s="124"/>
      <c r="F277" s="124"/>
      <c r="G277" s="124"/>
      <c r="H277" s="124"/>
      <c r="I277" s="124"/>
      <c r="J277" s="124"/>
      <c r="K277" s="124"/>
    </row>
    <row r="278" ht="15.75" customHeight="1">
      <c r="E278" s="124"/>
      <c r="F278" s="124"/>
      <c r="G278" s="124"/>
      <c r="H278" s="124"/>
      <c r="I278" s="124"/>
      <c r="J278" s="124"/>
      <c r="K278" s="124"/>
    </row>
    <row r="279" ht="15.75" customHeight="1">
      <c r="E279" s="124"/>
      <c r="F279" s="124"/>
      <c r="G279" s="124"/>
      <c r="H279" s="124"/>
      <c r="I279" s="124"/>
      <c r="J279" s="124"/>
      <c r="K279" s="124"/>
    </row>
    <row r="280" ht="15.75" customHeight="1">
      <c r="E280" s="124"/>
      <c r="F280" s="124"/>
      <c r="G280" s="124"/>
      <c r="H280" s="124"/>
      <c r="I280" s="124"/>
      <c r="J280" s="124"/>
      <c r="K280" s="124"/>
    </row>
    <row r="281" ht="15.75" customHeight="1">
      <c r="E281" s="124"/>
      <c r="F281" s="124"/>
      <c r="G281" s="124"/>
      <c r="H281" s="124"/>
      <c r="I281" s="124"/>
      <c r="J281" s="124"/>
      <c r="K281" s="124"/>
    </row>
    <row r="282" ht="15.75" customHeight="1">
      <c r="E282" s="124"/>
      <c r="F282" s="124"/>
      <c r="G282" s="124"/>
      <c r="H282" s="124"/>
      <c r="I282" s="124"/>
      <c r="J282" s="124"/>
      <c r="K282" s="124"/>
    </row>
    <row r="283" ht="15.75" customHeight="1">
      <c r="E283" s="124"/>
      <c r="F283" s="124"/>
      <c r="G283" s="124"/>
      <c r="H283" s="124"/>
      <c r="I283" s="124"/>
      <c r="J283" s="124"/>
      <c r="K283" s="124"/>
    </row>
    <row r="284" ht="15.75" customHeight="1">
      <c r="E284" s="124"/>
      <c r="F284" s="124"/>
      <c r="G284" s="124"/>
      <c r="H284" s="124"/>
      <c r="I284" s="124"/>
      <c r="J284" s="124"/>
      <c r="K284" s="124"/>
    </row>
    <row r="285" ht="15.75" customHeight="1">
      <c r="E285" s="124"/>
      <c r="F285" s="124"/>
      <c r="G285" s="124"/>
      <c r="H285" s="124"/>
      <c r="I285" s="124"/>
      <c r="J285" s="124"/>
      <c r="K285" s="124"/>
    </row>
    <row r="286" ht="15.75" customHeight="1">
      <c r="E286" s="124"/>
      <c r="F286" s="124"/>
      <c r="G286" s="124"/>
      <c r="H286" s="124"/>
      <c r="I286" s="124"/>
      <c r="J286" s="124"/>
      <c r="K286" s="124"/>
    </row>
    <row r="287" ht="15.75" customHeight="1">
      <c r="E287" s="124"/>
      <c r="F287" s="124"/>
      <c r="G287" s="124"/>
      <c r="H287" s="124"/>
      <c r="I287" s="124"/>
      <c r="J287" s="124"/>
      <c r="K287" s="124"/>
    </row>
    <row r="288" ht="15.75" customHeight="1">
      <c r="E288" s="124"/>
      <c r="F288" s="124"/>
      <c r="G288" s="124"/>
      <c r="H288" s="124"/>
      <c r="I288" s="124"/>
      <c r="J288" s="124"/>
      <c r="K288" s="124"/>
    </row>
    <row r="289" ht="15.75" customHeight="1">
      <c r="E289" s="124"/>
      <c r="F289" s="124"/>
      <c r="G289" s="124"/>
      <c r="H289" s="124"/>
      <c r="I289" s="124"/>
      <c r="J289" s="124"/>
      <c r="K289" s="124"/>
    </row>
    <row r="290" ht="15.75" customHeight="1">
      <c r="E290" s="124"/>
      <c r="F290" s="124"/>
      <c r="G290" s="124"/>
      <c r="H290" s="124"/>
      <c r="I290" s="124"/>
      <c r="J290" s="124"/>
      <c r="K290" s="124"/>
    </row>
    <row r="291" ht="15.75" customHeight="1">
      <c r="E291" s="124"/>
      <c r="F291" s="124"/>
      <c r="G291" s="124"/>
      <c r="H291" s="124"/>
      <c r="I291" s="124"/>
      <c r="J291" s="124"/>
      <c r="K291" s="124"/>
    </row>
    <row r="292" ht="15.75" customHeight="1">
      <c r="E292" s="124"/>
      <c r="F292" s="124"/>
      <c r="G292" s="124"/>
      <c r="H292" s="124"/>
      <c r="I292" s="124"/>
      <c r="J292" s="124"/>
      <c r="K292" s="124"/>
    </row>
    <row r="293" ht="15.75" customHeight="1">
      <c r="E293" s="124"/>
      <c r="F293" s="124"/>
      <c r="G293" s="124"/>
      <c r="H293" s="124"/>
      <c r="I293" s="124"/>
      <c r="J293" s="124"/>
      <c r="K293" s="124"/>
    </row>
    <row r="294" ht="15.75" customHeight="1">
      <c r="E294" s="124"/>
      <c r="F294" s="124"/>
      <c r="G294" s="124"/>
      <c r="H294" s="124"/>
      <c r="I294" s="124"/>
      <c r="J294" s="124"/>
      <c r="K294" s="124"/>
    </row>
    <row r="295" ht="15.75" customHeight="1">
      <c r="E295" s="124"/>
      <c r="F295" s="124"/>
      <c r="G295" s="124"/>
      <c r="H295" s="124"/>
      <c r="I295" s="124"/>
      <c r="J295" s="124"/>
      <c r="K295" s="124"/>
    </row>
    <row r="296" ht="15.75" customHeight="1">
      <c r="E296" s="124"/>
      <c r="F296" s="124"/>
      <c r="G296" s="124"/>
      <c r="H296" s="124"/>
      <c r="I296" s="124"/>
      <c r="J296" s="124"/>
      <c r="K296" s="124"/>
    </row>
    <row r="297" ht="15.75" customHeight="1">
      <c r="E297" s="124"/>
      <c r="F297" s="124"/>
      <c r="G297" s="124"/>
      <c r="H297" s="124"/>
      <c r="I297" s="124"/>
      <c r="J297" s="124"/>
      <c r="K297" s="124"/>
    </row>
    <row r="298" ht="15.75" customHeight="1">
      <c r="E298" s="124"/>
      <c r="F298" s="124"/>
      <c r="G298" s="124"/>
      <c r="H298" s="124"/>
      <c r="I298" s="124"/>
      <c r="J298" s="124"/>
      <c r="K298" s="124"/>
    </row>
    <row r="299" ht="15.75" customHeight="1">
      <c r="E299" s="124"/>
      <c r="F299" s="124"/>
      <c r="G299" s="124"/>
      <c r="H299" s="124"/>
      <c r="I299" s="124"/>
      <c r="J299" s="124"/>
      <c r="K299" s="124"/>
    </row>
    <row r="300" ht="15.75" customHeight="1">
      <c r="E300" s="124"/>
      <c r="F300" s="124"/>
      <c r="G300" s="124"/>
      <c r="H300" s="124"/>
      <c r="I300" s="124"/>
      <c r="J300" s="124"/>
      <c r="K300" s="124"/>
    </row>
    <row r="301" ht="15.75" customHeight="1">
      <c r="E301" s="124"/>
      <c r="F301" s="124"/>
      <c r="G301" s="124"/>
      <c r="H301" s="124"/>
      <c r="I301" s="124"/>
      <c r="J301" s="124"/>
      <c r="K301" s="124"/>
    </row>
    <row r="302" ht="15.75" customHeight="1">
      <c r="E302" s="124"/>
      <c r="F302" s="124"/>
      <c r="G302" s="124"/>
      <c r="H302" s="124"/>
      <c r="I302" s="124"/>
      <c r="J302" s="124"/>
      <c r="K302" s="124"/>
    </row>
    <row r="303" ht="15.75" customHeight="1">
      <c r="E303" s="124"/>
      <c r="F303" s="124"/>
      <c r="G303" s="124"/>
      <c r="H303" s="124"/>
      <c r="I303" s="124"/>
      <c r="J303" s="124"/>
      <c r="K303" s="124"/>
    </row>
    <row r="304" ht="15.75" customHeight="1">
      <c r="E304" s="124"/>
      <c r="F304" s="124"/>
      <c r="G304" s="124"/>
      <c r="H304" s="124"/>
      <c r="I304" s="124"/>
      <c r="J304" s="124"/>
      <c r="K304" s="124"/>
    </row>
    <row r="305" ht="15.75" customHeight="1">
      <c r="E305" s="124"/>
      <c r="F305" s="124"/>
      <c r="G305" s="124"/>
      <c r="H305" s="124"/>
      <c r="I305" s="124"/>
      <c r="J305" s="124"/>
      <c r="K305" s="124"/>
    </row>
    <row r="306" ht="15.75" customHeight="1">
      <c r="E306" s="124"/>
      <c r="F306" s="124"/>
      <c r="G306" s="124"/>
      <c r="H306" s="124"/>
      <c r="I306" s="124"/>
      <c r="J306" s="124"/>
      <c r="K306" s="124"/>
    </row>
    <row r="307" ht="15.75" customHeight="1">
      <c r="E307" s="124"/>
      <c r="F307" s="124"/>
      <c r="G307" s="124"/>
      <c r="H307" s="124"/>
      <c r="I307" s="124"/>
      <c r="J307" s="124"/>
      <c r="K307" s="124"/>
    </row>
    <row r="308" ht="15.75" customHeight="1">
      <c r="E308" s="124"/>
      <c r="F308" s="124"/>
      <c r="G308" s="124"/>
      <c r="H308" s="124"/>
      <c r="I308" s="124"/>
      <c r="J308" s="124"/>
      <c r="K308" s="124"/>
    </row>
    <row r="309" ht="15.75" customHeight="1">
      <c r="E309" s="124"/>
      <c r="F309" s="124"/>
      <c r="G309" s="124"/>
      <c r="H309" s="124"/>
      <c r="I309" s="124"/>
      <c r="J309" s="124"/>
      <c r="K309" s="124"/>
    </row>
    <row r="310" ht="15.75" customHeight="1">
      <c r="E310" s="124"/>
      <c r="F310" s="124"/>
      <c r="G310" s="124"/>
      <c r="H310" s="124"/>
      <c r="I310" s="124"/>
      <c r="J310" s="124"/>
      <c r="K310" s="124"/>
    </row>
    <row r="311" ht="15.75" customHeight="1">
      <c r="E311" s="124"/>
      <c r="F311" s="124"/>
      <c r="G311" s="124"/>
      <c r="H311" s="124"/>
      <c r="I311" s="124"/>
      <c r="J311" s="124"/>
      <c r="K311" s="124"/>
    </row>
    <row r="312" ht="15.75" customHeight="1">
      <c r="E312" s="124"/>
      <c r="F312" s="124"/>
      <c r="G312" s="124"/>
      <c r="H312" s="124"/>
      <c r="I312" s="124"/>
      <c r="J312" s="124"/>
      <c r="K312" s="124"/>
    </row>
    <row r="313" ht="15.75" customHeight="1">
      <c r="E313" s="124"/>
      <c r="F313" s="124"/>
      <c r="G313" s="124"/>
      <c r="H313" s="124"/>
      <c r="I313" s="124"/>
      <c r="J313" s="124"/>
      <c r="K313" s="124"/>
    </row>
    <row r="314" ht="15.75" customHeight="1">
      <c r="E314" s="124"/>
      <c r="F314" s="124"/>
      <c r="G314" s="124"/>
      <c r="H314" s="124"/>
      <c r="I314" s="124"/>
      <c r="J314" s="124"/>
      <c r="K314" s="124"/>
    </row>
    <row r="315" ht="15.75" customHeight="1">
      <c r="E315" s="124"/>
      <c r="F315" s="124"/>
      <c r="G315" s="124"/>
      <c r="H315" s="124"/>
      <c r="I315" s="124"/>
      <c r="J315" s="124"/>
      <c r="K315" s="124"/>
    </row>
    <row r="316" ht="15.75" customHeight="1">
      <c r="E316" s="124"/>
      <c r="F316" s="124"/>
      <c r="G316" s="124"/>
      <c r="H316" s="124"/>
      <c r="I316" s="124"/>
      <c r="J316" s="124"/>
      <c r="K316" s="124"/>
    </row>
    <row r="317" ht="15.75" customHeight="1">
      <c r="E317" s="124"/>
      <c r="F317" s="124"/>
      <c r="G317" s="124"/>
      <c r="H317" s="124"/>
      <c r="I317" s="124"/>
      <c r="J317" s="124"/>
      <c r="K317" s="124"/>
    </row>
    <row r="318" ht="15.75" customHeight="1">
      <c r="E318" s="124"/>
      <c r="F318" s="124"/>
      <c r="G318" s="124"/>
      <c r="H318" s="124"/>
      <c r="I318" s="124"/>
      <c r="J318" s="124"/>
      <c r="K318" s="124"/>
    </row>
    <row r="319" ht="15.75" customHeight="1">
      <c r="E319" s="124"/>
      <c r="F319" s="124"/>
      <c r="G319" s="124"/>
      <c r="H319" s="124"/>
      <c r="I319" s="124"/>
      <c r="J319" s="124"/>
      <c r="K319" s="124"/>
    </row>
    <row r="320" ht="15.75" customHeight="1">
      <c r="E320" s="124"/>
      <c r="F320" s="124"/>
      <c r="G320" s="124"/>
      <c r="H320" s="124"/>
      <c r="I320" s="124"/>
      <c r="J320" s="124"/>
      <c r="K320" s="124"/>
    </row>
    <row r="321" ht="15.75" customHeight="1">
      <c r="E321" s="124"/>
      <c r="F321" s="124"/>
      <c r="G321" s="124"/>
      <c r="H321" s="124"/>
      <c r="I321" s="124"/>
      <c r="J321" s="124"/>
      <c r="K321" s="124"/>
    </row>
    <row r="322" ht="15.75" customHeight="1">
      <c r="E322" s="124"/>
      <c r="F322" s="124"/>
      <c r="G322" s="124"/>
      <c r="H322" s="124"/>
      <c r="I322" s="124"/>
      <c r="J322" s="124"/>
      <c r="K322" s="124"/>
    </row>
    <row r="323" ht="15.75" customHeight="1">
      <c r="E323" s="124"/>
      <c r="F323" s="124"/>
      <c r="G323" s="124"/>
      <c r="H323" s="124"/>
      <c r="I323" s="124"/>
      <c r="J323" s="124"/>
      <c r="K323" s="124"/>
    </row>
    <row r="324" ht="15.75" customHeight="1">
      <c r="E324" s="124"/>
      <c r="F324" s="124"/>
      <c r="G324" s="124"/>
      <c r="H324" s="124"/>
      <c r="I324" s="124"/>
      <c r="J324" s="124"/>
      <c r="K324" s="124"/>
    </row>
    <row r="325" ht="15.75" customHeight="1">
      <c r="E325" s="124"/>
      <c r="F325" s="124"/>
      <c r="G325" s="124"/>
      <c r="H325" s="124"/>
      <c r="I325" s="124"/>
      <c r="J325" s="124"/>
      <c r="K325" s="124"/>
    </row>
    <row r="326" ht="15.75" customHeight="1">
      <c r="E326" s="124"/>
      <c r="F326" s="124"/>
      <c r="G326" s="124"/>
      <c r="H326" s="124"/>
      <c r="I326" s="124"/>
      <c r="J326" s="124"/>
      <c r="K326" s="124"/>
    </row>
    <row r="327" ht="15.75" customHeight="1">
      <c r="E327" s="124"/>
      <c r="F327" s="124"/>
      <c r="G327" s="124"/>
      <c r="H327" s="124"/>
      <c r="I327" s="124"/>
      <c r="J327" s="124"/>
      <c r="K327" s="124"/>
    </row>
    <row r="328" ht="15.75" customHeight="1">
      <c r="E328" s="124"/>
      <c r="F328" s="124"/>
      <c r="G328" s="124"/>
      <c r="H328" s="124"/>
      <c r="I328" s="124"/>
      <c r="J328" s="124"/>
      <c r="K328" s="124"/>
    </row>
    <row r="329" ht="15.75" customHeight="1">
      <c r="E329" s="124"/>
      <c r="F329" s="124"/>
      <c r="G329" s="124"/>
      <c r="H329" s="124"/>
      <c r="I329" s="124"/>
      <c r="J329" s="124"/>
      <c r="K329" s="124"/>
    </row>
    <row r="330" ht="15.75" customHeight="1">
      <c r="E330" s="124"/>
      <c r="F330" s="124"/>
      <c r="G330" s="124"/>
      <c r="H330" s="124"/>
      <c r="I330" s="124"/>
      <c r="J330" s="124"/>
      <c r="K330" s="124"/>
    </row>
    <row r="331" ht="15.75" customHeight="1">
      <c r="E331" s="124"/>
      <c r="F331" s="124"/>
      <c r="G331" s="124"/>
      <c r="H331" s="124"/>
      <c r="I331" s="124"/>
      <c r="J331" s="124"/>
      <c r="K331" s="124"/>
    </row>
    <row r="332" ht="15.75" customHeight="1">
      <c r="E332" s="124"/>
      <c r="F332" s="124"/>
      <c r="G332" s="124"/>
      <c r="H332" s="124"/>
      <c r="I332" s="124"/>
      <c r="J332" s="124"/>
      <c r="K332" s="124"/>
    </row>
    <row r="333" ht="15.75" customHeight="1">
      <c r="E333" s="124"/>
      <c r="F333" s="124"/>
      <c r="G333" s="124"/>
      <c r="H333" s="124"/>
      <c r="I333" s="124"/>
      <c r="J333" s="124"/>
      <c r="K333" s="124"/>
    </row>
    <row r="334" ht="15.75" customHeight="1">
      <c r="E334" s="124"/>
      <c r="F334" s="124"/>
      <c r="G334" s="124"/>
      <c r="H334" s="124"/>
      <c r="I334" s="124"/>
      <c r="J334" s="124"/>
      <c r="K334" s="124"/>
    </row>
    <row r="335" ht="15.75" customHeight="1">
      <c r="E335" s="124"/>
      <c r="F335" s="124"/>
      <c r="G335" s="124"/>
      <c r="H335" s="124"/>
      <c r="I335" s="124"/>
      <c r="J335" s="124"/>
      <c r="K335" s="124"/>
    </row>
    <row r="336" ht="15.75" customHeight="1">
      <c r="E336" s="124"/>
      <c r="F336" s="124"/>
      <c r="G336" s="124"/>
      <c r="H336" s="124"/>
      <c r="I336" s="124"/>
      <c r="J336" s="124"/>
      <c r="K336" s="124"/>
    </row>
    <row r="337" ht="15.75" customHeight="1">
      <c r="E337" s="124"/>
      <c r="F337" s="124"/>
      <c r="G337" s="124"/>
      <c r="H337" s="124"/>
      <c r="I337" s="124"/>
      <c r="J337" s="124"/>
      <c r="K337" s="124"/>
    </row>
    <row r="338" ht="15.75" customHeight="1">
      <c r="E338" s="124"/>
      <c r="F338" s="124"/>
      <c r="G338" s="124"/>
      <c r="H338" s="124"/>
      <c r="I338" s="124"/>
      <c r="J338" s="124"/>
      <c r="K338" s="124"/>
    </row>
    <row r="339" ht="15.75" customHeight="1">
      <c r="E339" s="124"/>
      <c r="F339" s="124"/>
      <c r="G339" s="124"/>
      <c r="H339" s="124"/>
      <c r="I339" s="124"/>
      <c r="J339" s="124"/>
      <c r="K339" s="124"/>
    </row>
    <row r="340" ht="15.75" customHeight="1">
      <c r="E340" s="124"/>
      <c r="F340" s="124"/>
      <c r="G340" s="124"/>
      <c r="H340" s="124"/>
      <c r="I340" s="124"/>
      <c r="J340" s="124"/>
      <c r="K340" s="124"/>
    </row>
    <row r="341" ht="15.75" customHeight="1">
      <c r="E341" s="124"/>
      <c r="F341" s="124"/>
      <c r="G341" s="124"/>
      <c r="H341" s="124"/>
      <c r="I341" s="124"/>
      <c r="J341" s="124"/>
      <c r="K341" s="124"/>
    </row>
    <row r="342" ht="15.75" customHeight="1">
      <c r="E342" s="124"/>
      <c r="F342" s="124"/>
      <c r="G342" s="124"/>
      <c r="H342" s="124"/>
      <c r="I342" s="124"/>
      <c r="J342" s="124"/>
      <c r="K342" s="124"/>
    </row>
    <row r="343" ht="15.75" customHeight="1">
      <c r="E343" s="124"/>
      <c r="F343" s="124"/>
      <c r="G343" s="124"/>
      <c r="H343" s="124"/>
      <c r="I343" s="124"/>
      <c r="J343" s="124"/>
      <c r="K343" s="124"/>
    </row>
    <row r="344" ht="15.75" customHeight="1">
      <c r="E344" s="124"/>
      <c r="F344" s="124"/>
      <c r="G344" s="124"/>
      <c r="H344" s="124"/>
      <c r="I344" s="124"/>
      <c r="J344" s="124"/>
      <c r="K344" s="124"/>
    </row>
    <row r="345" ht="15.75" customHeight="1">
      <c r="E345" s="124"/>
      <c r="F345" s="124"/>
      <c r="G345" s="124"/>
      <c r="H345" s="124"/>
      <c r="I345" s="124"/>
      <c r="J345" s="124"/>
      <c r="K345" s="124"/>
    </row>
    <row r="346" ht="15.75" customHeight="1">
      <c r="E346" s="124"/>
      <c r="F346" s="124"/>
      <c r="G346" s="124"/>
      <c r="H346" s="124"/>
      <c r="I346" s="124"/>
      <c r="J346" s="124"/>
      <c r="K346" s="124"/>
    </row>
    <row r="347" ht="15.75" customHeight="1">
      <c r="E347" s="124"/>
      <c r="F347" s="124"/>
      <c r="G347" s="124"/>
      <c r="H347" s="124"/>
      <c r="I347" s="124"/>
      <c r="J347" s="124"/>
      <c r="K347" s="124"/>
    </row>
    <row r="348" ht="15.75" customHeight="1">
      <c r="E348" s="124"/>
      <c r="F348" s="124"/>
      <c r="G348" s="124"/>
      <c r="H348" s="124"/>
      <c r="I348" s="124"/>
      <c r="J348" s="124"/>
      <c r="K348" s="124"/>
    </row>
    <row r="349" ht="15.75" customHeight="1">
      <c r="E349" s="124"/>
      <c r="F349" s="124"/>
      <c r="G349" s="124"/>
      <c r="H349" s="124"/>
      <c r="I349" s="124"/>
      <c r="J349" s="124"/>
      <c r="K349" s="124"/>
    </row>
    <row r="350" ht="15.75" customHeight="1">
      <c r="E350" s="124"/>
      <c r="F350" s="124"/>
      <c r="G350" s="124"/>
      <c r="H350" s="124"/>
      <c r="I350" s="124"/>
      <c r="J350" s="124"/>
      <c r="K350" s="124"/>
    </row>
    <row r="351" ht="15.75" customHeight="1">
      <c r="E351" s="124"/>
      <c r="F351" s="124"/>
      <c r="G351" s="124"/>
      <c r="H351" s="124"/>
      <c r="I351" s="124"/>
      <c r="J351" s="124"/>
      <c r="K351" s="124"/>
    </row>
    <row r="352" ht="15.75" customHeight="1">
      <c r="E352" s="124"/>
      <c r="F352" s="124"/>
      <c r="G352" s="124"/>
      <c r="H352" s="124"/>
      <c r="I352" s="124"/>
      <c r="J352" s="124"/>
      <c r="K352" s="124"/>
    </row>
    <row r="353" ht="15.75" customHeight="1">
      <c r="E353" s="124"/>
      <c r="F353" s="124"/>
      <c r="G353" s="124"/>
      <c r="H353" s="124"/>
      <c r="I353" s="124"/>
      <c r="J353" s="124"/>
      <c r="K353" s="124"/>
    </row>
    <row r="354" ht="15.75" customHeight="1">
      <c r="E354" s="124"/>
      <c r="F354" s="124"/>
      <c r="G354" s="124"/>
      <c r="H354" s="124"/>
      <c r="I354" s="124"/>
      <c r="J354" s="124"/>
      <c r="K354" s="124"/>
    </row>
    <row r="355" ht="15.75" customHeight="1">
      <c r="E355" s="124"/>
      <c r="F355" s="124"/>
      <c r="G355" s="124"/>
      <c r="H355" s="124"/>
      <c r="I355" s="124"/>
      <c r="J355" s="124"/>
      <c r="K355" s="124"/>
    </row>
    <row r="356" ht="15.75" customHeight="1">
      <c r="E356" s="124"/>
      <c r="F356" s="124"/>
      <c r="G356" s="124"/>
      <c r="H356" s="124"/>
      <c r="I356" s="124"/>
      <c r="J356" s="124"/>
      <c r="K356" s="124"/>
    </row>
    <row r="357" ht="15.75" customHeight="1">
      <c r="E357" s="124"/>
      <c r="F357" s="124"/>
      <c r="G357" s="124"/>
      <c r="H357" s="124"/>
      <c r="I357" s="124"/>
      <c r="J357" s="124"/>
      <c r="K357" s="124"/>
    </row>
    <row r="358" ht="15.75" customHeight="1">
      <c r="E358" s="124"/>
      <c r="F358" s="124"/>
      <c r="G358" s="124"/>
      <c r="H358" s="124"/>
      <c r="I358" s="124"/>
      <c r="J358" s="124"/>
      <c r="K358" s="124"/>
    </row>
    <row r="359" ht="15.75" customHeight="1">
      <c r="E359" s="124"/>
      <c r="F359" s="124"/>
      <c r="G359" s="124"/>
      <c r="H359" s="124"/>
      <c r="I359" s="124"/>
      <c r="J359" s="124"/>
      <c r="K359" s="124"/>
    </row>
    <row r="360" ht="15.75" customHeight="1">
      <c r="E360" s="124"/>
      <c r="F360" s="124"/>
      <c r="G360" s="124"/>
      <c r="H360" s="124"/>
      <c r="I360" s="124"/>
      <c r="J360" s="124"/>
      <c r="K360" s="124"/>
    </row>
    <row r="361" ht="15.75" customHeight="1">
      <c r="E361" s="124"/>
      <c r="F361" s="124"/>
      <c r="G361" s="124"/>
      <c r="H361" s="124"/>
      <c r="I361" s="124"/>
      <c r="J361" s="124"/>
      <c r="K361" s="124"/>
    </row>
    <row r="362" ht="15.75" customHeight="1">
      <c r="E362" s="124"/>
      <c r="F362" s="124"/>
      <c r="G362" s="124"/>
      <c r="H362" s="124"/>
      <c r="I362" s="124"/>
      <c r="J362" s="124"/>
      <c r="K362" s="124"/>
    </row>
    <row r="363" ht="15.75" customHeight="1">
      <c r="E363" s="124"/>
      <c r="F363" s="124"/>
      <c r="G363" s="124"/>
      <c r="H363" s="124"/>
      <c r="I363" s="124"/>
      <c r="J363" s="124"/>
      <c r="K363" s="124"/>
    </row>
    <row r="364" ht="15.75" customHeight="1">
      <c r="E364" s="124"/>
      <c r="F364" s="124"/>
      <c r="G364" s="124"/>
      <c r="H364" s="124"/>
      <c r="I364" s="124"/>
      <c r="J364" s="124"/>
      <c r="K364" s="124"/>
    </row>
    <row r="365" ht="15.75" customHeight="1">
      <c r="E365" s="124"/>
      <c r="F365" s="124"/>
      <c r="G365" s="124"/>
      <c r="H365" s="124"/>
      <c r="I365" s="124"/>
      <c r="J365" s="124"/>
      <c r="K365" s="124"/>
    </row>
    <row r="366" ht="15.75" customHeight="1">
      <c r="E366" s="124"/>
      <c r="F366" s="124"/>
      <c r="G366" s="124"/>
      <c r="H366" s="124"/>
      <c r="I366" s="124"/>
      <c r="J366" s="124"/>
      <c r="K366" s="124"/>
    </row>
    <row r="367" ht="15.75" customHeight="1">
      <c r="E367" s="124"/>
      <c r="F367" s="124"/>
      <c r="G367" s="124"/>
      <c r="H367" s="124"/>
      <c r="I367" s="124"/>
      <c r="J367" s="124"/>
      <c r="K367" s="124"/>
    </row>
    <row r="368" ht="15.75" customHeight="1">
      <c r="E368" s="124"/>
      <c r="F368" s="124"/>
      <c r="G368" s="124"/>
      <c r="H368" s="124"/>
      <c r="I368" s="124"/>
      <c r="J368" s="124"/>
      <c r="K368" s="124"/>
    </row>
    <row r="369" ht="15.75" customHeight="1">
      <c r="E369" s="124"/>
      <c r="F369" s="124"/>
      <c r="G369" s="124"/>
      <c r="H369" s="124"/>
      <c r="I369" s="124"/>
      <c r="J369" s="124"/>
      <c r="K369" s="124"/>
    </row>
    <row r="370" ht="15.75" customHeight="1">
      <c r="E370" s="124"/>
      <c r="F370" s="124"/>
      <c r="G370" s="124"/>
      <c r="H370" s="124"/>
      <c r="I370" s="124"/>
      <c r="J370" s="124"/>
      <c r="K370" s="124"/>
    </row>
    <row r="371" ht="15.75" customHeight="1">
      <c r="E371" s="124"/>
      <c r="F371" s="124"/>
      <c r="G371" s="124"/>
      <c r="H371" s="124"/>
      <c r="I371" s="124"/>
      <c r="J371" s="124"/>
      <c r="K371" s="124"/>
    </row>
    <row r="372" ht="15.75" customHeight="1">
      <c r="E372" s="124"/>
      <c r="F372" s="124"/>
      <c r="G372" s="124"/>
      <c r="H372" s="124"/>
      <c r="I372" s="124"/>
      <c r="J372" s="124"/>
      <c r="K372" s="124"/>
    </row>
    <row r="373" ht="15.75" customHeight="1">
      <c r="E373" s="124"/>
      <c r="F373" s="124"/>
      <c r="G373" s="124"/>
      <c r="H373" s="124"/>
      <c r="I373" s="124"/>
      <c r="J373" s="124"/>
      <c r="K373" s="124"/>
    </row>
    <row r="374" ht="15.75" customHeight="1">
      <c r="E374" s="124"/>
      <c r="F374" s="124"/>
      <c r="G374" s="124"/>
      <c r="H374" s="124"/>
      <c r="I374" s="124"/>
      <c r="J374" s="124"/>
      <c r="K374" s="124"/>
    </row>
    <row r="375" ht="15.75" customHeight="1">
      <c r="E375" s="124"/>
      <c r="F375" s="124"/>
      <c r="G375" s="124"/>
      <c r="H375" s="124"/>
      <c r="I375" s="124"/>
      <c r="J375" s="124"/>
      <c r="K375" s="124"/>
    </row>
    <row r="376" ht="15.75" customHeight="1">
      <c r="E376" s="124"/>
      <c r="F376" s="124"/>
      <c r="G376" s="124"/>
      <c r="H376" s="124"/>
      <c r="I376" s="124"/>
      <c r="J376" s="124"/>
      <c r="K376" s="124"/>
    </row>
    <row r="377" ht="15.75" customHeight="1">
      <c r="E377" s="124"/>
      <c r="F377" s="124"/>
      <c r="G377" s="124"/>
      <c r="H377" s="124"/>
      <c r="I377" s="124"/>
      <c r="J377" s="124"/>
      <c r="K377" s="124"/>
    </row>
    <row r="378" ht="15.75" customHeight="1">
      <c r="E378" s="124"/>
      <c r="F378" s="124"/>
      <c r="G378" s="124"/>
      <c r="H378" s="124"/>
      <c r="I378" s="124"/>
      <c r="J378" s="124"/>
      <c r="K378" s="124"/>
    </row>
    <row r="379" ht="15.75" customHeight="1">
      <c r="E379" s="124"/>
      <c r="F379" s="124"/>
      <c r="G379" s="124"/>
      <c r="H379" s="124"/>
      <c r="I379" s="124"/>
      <c r="J379" s="124"/>
      <c r="K379" s="124"/>
    </row>
    <row r="380" ht="15.75" customHeight="1">
      <c r="E380" s="124"/>
      <c r="F380" s="124"/>
      <c r="G380" s="124"/>
      <c r="H380" s="124"/>
      <c r="I380" s="124"/>
      <c r="J380" s="124"/>
      <c r="K380" s="124"/>
    </row>
    <row r="381" ht="15.75" customHeight="1">
      <c r="E381" s="124"/>
      <c r="F381" s="124"/>
      <c r="G381" s="124"/>
      <c r="H381" s="124"/>
      <c r="I381" s="124"/>
      <c r="J381" s="124"/>
      <c r="K381" s="124"/>
    </row>
    <row r="382" ht="15.75" customHeight="1">
      <c r="E382" s="124"/>
      <c r="F382" s="124"/>
      <c r="G382" s="124"/>
      <c r="H382" s="124"/>
      <c r="I382" s="124"/>
      <c r="J382" s="124"/>
      <c r="K382" s="124"/>
    </row>
    <row r="383" ht="15.75" customHeight="1">
      <c r="E383" s="124"/>
      <c r="F383" s="124"/>
      <c r="G383" s="124"/>
      <c r="H383" s="124"/>
      <c r="I383" s="124"/>
      <c r="J383" s="124"/>
      <c r="K383" s="124"/>
    </row>
    <row r="384" ht="15.75" customHeight="1">
      <c r="E384" s="124"/>
      <c r="F384" s="124"/>
      <c r="G384" s="124"/>
      <c r="H384" s="124"/>
      <c r="I384" s="124"/>
      <c r="J384" s="124"/>
      <c r="K384" s="124"/>
    </row>
    <row r="385" ht="15.75" customHeight="1">
      <c r="E385" s="124"/>
      <c r="F385" s="124"/>
      <c r="G385" s="124"/>
      <c r="H385" s="124"/>
      <c r="I385" s="124"/>
      <c r="J385" s="124"/>
      <c r="K385" s="124"/>
    </row>
    <row r="386" ht="15.75" customHeight="1">
      <c r="E386" s="124"/>
      <c r="F386" s="124"/>
      <c r="G386" s="124"/>
      <c r="H386" s="124"/>
      <c r="I386" s="124"/>
      <c r="J386" s="124"/>
      <c r="K386" s="124"/>
    </row>
    <row r="387" ht="15.75" customHeight="1">
      <c r="E387" s="124"/>
      <c r="F387" s="124"/>
      <c r="G387" s="124"/>
      <c r="H387" s="124"/>
      <c r="I387" s="124"/>
      <c r="J387" s="124"/>
      <c r="K387" s="124"/>
    </row>
    <row r="388" ht="15.75" customHeight="1">
      <c r="E388" s="124"/>
      <c r="F388" s="124"/>
      <c r="G388" s="124"/>
      <c r="H388" s="124"/>
      <c r="I388" s="124"/>
      <c r="J388" s="124"/>
      <c r="K388" s="124"/>
    </row>
    <row r="389" ht="15.75" customHeight="1">
      <c r="E389" s="124"/>
      <c r="F389" s="124"/>
      <c r="G389" s="124"/>
      <c r="H389" s="124"/>
      <c r="I389" s="124"/>
      <c r="J389" s="124"/>
      <c r="K389" s="124"/>
    </row>
    <row r="390" ht="15.75" customHeight="1">
      <c r="E390" s="124"/>
      <c r="F390" s="124"/>
      <c r="G390" s="124"/>
      <c r="H390" s="124"/>
      <c r="I390" s="124"/>
      <c r="J390" s="124"/>
      <c r="K390" s="124"/>
    </row>
    <row r="391" ht="15.75" customHeight="1">
      <c r="E391" s="124"/>
      <c r="F391" s="124"/>
      <c r="G391" s="124"/>
      <c r="H391" s="124"/>
      <c r="I391" s="124"/>
      <c r="J391" s="124"/>
      <c r="K391" s="124"/>
    </row>
    <row r="392" ht="15.75" customHeight="1">
      <c r="E392" s="124"/>
      <c r="F392" s="124"/>
      <c r="G392" s="124"/>
      <c r="H392" s="124"/>
      <c r="I392" s="124"/>
      <c r="J392" s="124"/>
      <c r="K392" s="124"/>
    </row>
    <row r="393" ht="15.75" customHeight="1">
      <c r="E393" s="124"/>
      <c r="F393" s="124"/>
      <c r="G393" s="124"/>
      <c r="H393" s="124"/>
      <c r="I393" s="124"/>
      <c r="J393" s="124"/>
      <c r="K393" s="124"/>
    </row>
    <row r="394" ht="15.75" customHeight="1">
      <c r="E394" s="124"/>
      <c r="F394" s="124"/>
      <c r="G394" s="124"/>
      <c r="H394" s="124"/>
      <c r="I394" s="124"/>
      <c r="J394" s="124"/>
      <c r="K394" s="124"/>
    </row>
    <row r="395" ht="15.75" customHeight="1">
      <c r="E395" s="124"/>
      <c r="F395" s="124"/>
      <c r="G395" s="124"/>
      <c r="H395" s="124"/>
      <c r="I395" s="124"/>
      <c r="J395" s="124"/>
      <c r="K395" s="124"/>
    </row>
    <row r="396" ht="15.75" customHeight="1">
      <c r="E396" s="124"/>
      <c r="F396" s="124"/>
      <c r="G396" s="124"/>
      <c r="H396" s="124"/>
      <c r="I396" s="124"/>
      <c r="J396" s="124"/>
      <c r="K396" s="124"/>
    </row>
    <row r="397" ht="15.75" customHeight="1">
      <c r="E397" s="124"/>
      <c r="F397" s="124"/>
      <c r="G397" s="124"/>
      <c r="H397" s="124"/>
      <c r="I397" s="124"/>
      <c r="J397" s="124"/>
      <c r="K397" s="124"/>
    </row>
    <row r="398" ht="15.75" customHeight="1">
      <c r="E398" s="124"/>
      <c r="F398" s="124"/>
      <c r="G398" s="124"/>
      <c r="H398" s="124"/>
      <c r="I398" s="124"/>
      <c r="J398" s="124"/>
      <c r="K398" s="124"/>
    </row>
    <row r="399" ht="15.75" customHeight="1">
      <c r="E399" s="124"/>
      <c r="F399" s="124"/>
      <c r="G399" s="124"/>
      <c r="H399" s="124"/>
      <c r="I399" s="124"/>
      <c r="J399" s="124"/>
      <c r="K399" s="124"/>
    </row>
    <row r="400" ht="15.75" customHeight="1">
      <c r="E400" s="124"/>
      <c r="F400" s="124"/>
      <c r="G400" s="124"/>
      <c r="H400" s="124"/>
      <c r="I400" s="124"/>
      <c r="J400" s="124"/>
      <c r="K400" s="124"/>
    </row>
    <row r="401" ht="15.75" customHeight="1">
      <c r="E401" s="124"/>
      <c r="F401" s="124"/>
      <c r="G401" s="124"/>
      <c r="H401" s="124"/>
      <c r="I401" s="124"/>
      <c r="J401" s="124"/>
      <c r="K401" s="124"/>
    </row>
    <row r="402" ht="15.75" customHeight="1">
      <c r="E402" s="124"/>
      <c r="F402" s="124"/>
      <c r="G402" s="124"/>
      <c r="H402" s="124"/>
      <c r="I402" s="124"/>
      <c r="J402" s="124"/>
      <c r="K402" s="124"/>
    </row>
    <row r="403" ht="15.75" customHeight="1">
      <c r="E403" s="124"/>
      <c r="F403" s="124"/>
      <c r="G403" s="124"/>
      <c r="H403" s="124"/>
      <c r="I403" s="124"/>
      <c r="J403" s="124"/>
      <c r="K403" s="124"/>
    </row>
    <row r="404" ht="15.75" customHeight="1">
      <c r="E404" s="124"/>
      <c r="F404" s="124"/>
      <c r="G404" s="124"/>
      <c r="H404" s="124"/>
      <c r="I404" s="124"/>
      <c r="J404" s="124"/>
      <c r="K404" s="124"/>
    </row>
    <row r="405" ht="15.75" customHeight="1">
      <c r="E405" s="124"/>
      <c r="F405" s="124"/>
      <c r="G405" s="124"/>
      <c r="H405" s="124"/>
      <c r="I405" s="124"/>
      <c r="J405" s="124"/>
      <c r="K405" s="124"/>
    </row>
    <row r="406" ht="15.75" customHeight="1">
      <c r="E406" s="124"/>
      <c r="F406" s="124"/>
      <c r="G406" s="124"/>
      <c r="H406" s="124"/>
      <c r="I406" s="124"/>
      <c r="J406" s="124"/>
      <c r="K406" s="124"/>
    </row>
    <row r="407" ht="15.75" customHeight="1">
      <c r="E407" s="124"/>
      <c r="F407" s="124"/>
      <c r="G407" s="124"/>
      <c r="H407" s="124"/>
      <c r="I407" s="124"/>
      <c r="J407" s="124"/>
      <c r="K407" s="124"/>
    </row>
    <row r="408" ht="15.75" customHeight="1">
      <c r="E408" s="124"/>
      <c r="F408" s="124"/>
      <c r="G408" s="124"/>
      <c r="H408" s="124"/>
      <c r="I408" s="124"/>
      <c r="J408" s="124"/>
      <c r="K408" s="124"/>
    </row>
    <row r="409" ht="15.75" customHeight="1">
      <c r="E409" s="124"/>
      <c r="F409" s="124"/>
      <c r="G409" s="124"/>
      <c r="H409" s="124"/>
      <c r="I409" s="124"/>
      <c r="J409" s="124"/>
      <c r="K409" s="124"/>
    </row>
    <row r="410" ht="15.75" customHeight="1">
      <c r="E410" s="124"/>
      <c r="F410" s="124"/>
      <c r="G410" s="124"/>
      <c r="H410" s="124"/>
      <c r="I410" s="124"/>
      <c r="J410" s="124"/>
      <c r="K410" s="124"/>
    </row>
    <row r="411" ht="15.75" customHeight="1">
      <c r="E411" s="124"/>
      <c r="F411" s="124"/>
      <c r="G411" s="124"/>
      <c r="H411" s="124"/>
      <c r="I411" s="124"/>
      <c r="J411" s="124"/>
      <c r="K411" s="124"/>
    </row>
    <row r="412" ht="15.75" customHeight="1">
      <c r="E412" s="124"/>
      <c r="F412" s="124"/>
      <c r="G412" s="124"/>
      <c r="H412" s="124"/>
      <c r="I412" s="124"/>
      <c r="J412" s="124"/>
      <c r="K412" s="124"/>
    </row>
    <row r="413" ht="15.75" customHeight="1">
      <c r="E413" s="124"/>
      <c r="F413" s="124"/>
      <c r="G413" s="124"/>
      <c r="H413" s="124"/>
      <c r="I413" s="124"/>
      <c r="J413" s="124"/>
      <c r="K413" s="124"/>
    </row>
    <row r="414" ht="15.75" customHeight="1">
      <c r="E414" s="124"/>
      <c r="F414" s="124"/>
      <c r="G414" s="124"/>
      <c r="H414" s="124"/>
      <c r="I414" s="124"/>
      <c r="J414" s="124"/>
      <c r="K414" s="124"/>
    </row>
    <row r="415" ht="15.75" customHeight="1">
      <c r="E415" s="124"/>
      <c r="F415" s="124"/>
      <c r="G415" s="124"/>
      <c r="H415" s="124"/>
      <c r="I415" s="124"/>
      <c r="J415" s="124"/>
      <c r="K415" s="124"/>
    </row>
    <row r="416" ht="15.75" customHeight="1">
      <c r="E416" s="124"/>
      <c r="F416" s="124"/>
      <c r="G416" s="124"/>
      <c r="H416" s="124"/>
      <c r="I416" s="124"/>
      <c r="J416" s="124"/>
      <c r="K416" s="124"/>
    </row>
    <row r="417" ht="15.75" customHeight="1">
      <c r="E417" s="124"/>
      <c r="F417" s="124"/>
      <c r="G417" s="124"/>
      <c r="H417" s="124"/>
      <c r="I417" s="124"/>
      <c r="J417" s="124"/>
      <c r="K417" s="124"/>
    </row>
    <row r="418" ht="15.75" customHeight="1">
      <c r="E418" s="124"/>
      <c r="F418" s="124"/>
      <c r="G418" s="124"/>
      <c r="H418" s="124"/>
      <c r="I418" s="124"/>
      <c r="J418" s="124"/>
      <c r="K418" s="124"/>
    </row>
    <row r="419" ht="15.75" customHeight="1">
      <c r="E419" s="124"/>
      <c r="F419" s="124"/>
      <c r="G419" s="124"/>
      <c r="H419" s="124"/>
      <c r="I419" s="124"/>
      <c r="J419" s="124"/>
      <c r="K419" s="124"/>
    </row>
    <row r="420" ht="15.75" customHeight="1">
      <c r="E420" s="124"/>
      <c r="F420" s="124"/>
      <c r="G420" s="124"/>
      <c r="H420" s="124"/>
      <c r="I420" s="124"/>
      <c r="J420" s="124"/>
      <c r="K420" s="124"/>
    </row>
    <row r="421" ht="15.75" customHeight="1">
      <c r="E421" s="124"/>
      <c r="F421" s="124"/>
      <c r="G421" s="124"/>
      <c r="H421" s="124"/>
      <c r="I421" s="124"/>
      <c r="J421" s="124"/>
      <c r="K421" s="124"/>
    </row>
    <row r="422" ht="15.75" customHeight="1">
      <c r="E422" s="124"/>
      <c r="F422" s="124"/>
      <c r="G422" s="124"/>
      <c r="H422" s="124"/>
      <c r="I422" s="124"/>
      <c r="J422" s="124"/>
      <c r="K422" s="124"/>
    </row>
    <row r="423" ht="15.75" customHeight="1">
      <c r="E423" s="124"/>
      <c r="F423" s="124"/>
      <c r="G423" s="124"/>
      <c r="H423" s="124"/>
      <c r="I423" s="124"/>
      <c r="J423" s="124"/>
      <c r="K423" s="124"/>
    </row>
    <row r="424" ht="15.75" customHeight="1">
      <c r="E424" s="124"/>
      <c r="F424" s="124"/>
      <c r="G424" s="124"/>
      <c r="H424" s="124"/>
      <c r="I424" s="124"/>
      <c r="J424" s="124"/>
      <c r="K424" s="124"/>
    </row>
    <row r="425" ht="15.75" customHeight="1">
      <c r="E425" s="124"/>
      <c r="F425" s="124"/>
      <c r="G425" s="124"/>
      <c r="H425" s="124"/>
      <c r="I425" s="124"/>
      <c r="J425" s="124"/>
      <c r="K425" s="124"/>
    </row>
    <row r="426" ht="15.75" customHeight="1">
      <c r="E426" s="124"/>
      <c r="F426" s="124"/>
      <c r="G426" s="124"/>
      <c r="H426" s="124"/>
      <c r="I426" s="124"/>
      <c r="J426" s="124"/>
      <c r="K426" s="124"/>
    </row>
    <row r="427" ht="15.75" customHeight="1">
      <c r="E427" s="124"/>
      <c r="F427" s="124"/>
      <c r="G427" s="124"/>
      <c r="H427" s="124"/>
      <c r="I427" s="124"/>
      <c r="J427" s="124"/>
      <c r="K427" s="124"/>
    </row>
    <row r="428" ht="15.75" customHeight="1">
      <c r="E428" s="124"/>
      <c r="F428" s="124"/>
      <c r="G428" s="124"/>
      <c r="H428" s="124"/>
      <c r="I428" s="124"/>
      <c r="J428" s="124"/>
      <c r="K428" s="124"/>
    </row>
    <row r="429" ht="15.75" customHeight="1">
      <c r="E429" s="124"/>
      <c r="F429" s="124"/>
      <c r="G429" s="124"/>
      <c r="H429" s="124"/>
      <c r="I429" s="124"/>
      <c r="J429" s="124"/>
      <c r="K429" s="124"/>
    </row>
    <row r="430" ht="15.75" customHeight="1">
      <c r="E430" s="124"/>
      <c r="F430" s="124"/>
      <c r="G430" s="124"/>
      <c r="H430" s="124"/>
      <c r="I430" s="124"/>
      <c r="J430" s="124"/>
      <c r="K430" s="124"/>
    </row>
    <row r="431" ht="15.75" customHeight="1">
      <c r="E431" s="124"/>
      <c r="F431" s="124"/>
      <c r="G431" s="124"/>
      <c r="H431" s="124"/>
      <c r="I431" s="124"/>
      <c r="J431" s="124"/>
      <c r="K431" s="124"/>
    </row>
    <row r="432" ht="15.75" customHeight="1">
      <c r="E432" s="124"/>
      <c r="F432" s="124"/>
      <c r="G432" s="124"/>
      <c r="H432" s="124"/>
      <c r="I432" s="124"/>
      <c r="J432" s="124"/>
      <c r="K432" s="124"/>
    </row>
    <row r="433" ht="15.75" customHeight="1">
      <c r="E433" s="124"/>
      <c r="F433" s="124"/>
      <c r="G433" s="124"/>
      <c r="H433" s="124"/>
      <c r="I433" s="124"/>
      <c r="J433" s="124"/>
      <c r="K433" s="124"/>
    </row>
    <row r="434" ht="15.75" customHeight="1">
      <c r="E434" s="124"/>
      <c r="F434" s="124"/>
      <c r="G434" s="124"/>
      <c r="H434" s="124"/>
      <c r="I434" s="124"/>
      <c r="J434" s="124"/>
      <c r="K434" s="124"/>
    </row>
    <row r="435" ht="15.75" customHeight="1">
      <c r="E435" s="124"/>
      <c r="F435" s="124"/>
      <c r="G435" s="124"/>
      <c r="H435" s="124"/>
      <c r="I435" s="124"/>
      <c r="J435" s="124"/>
      <c r="K435" s="124"/>
    </row>
    <row r="436" ht="15.75" customHeight="1">
      <c r="E436" s="124"/>
      <c r="F436" s="124"/>
      <c r="G436" s="124"/>
      <c r="H436" s="124"/>
      <c r="I436" s="124"/>
      <c r="J436" s="124"/>
      <c r="K436" s="124"/>
    </row>
    <row r="437" ht="15.75" customHeight="1">
      <c r="E437" s="124"/>
      <c r="F437" s="124"/>
      <c r="G437" s="124"/>
      <c r="H437" s="124"/>
      <c r="I437" s="124"/>
      <c r="J437" s="124"/>
      <c r="K437" s="124"/>
    </row>
    <row r="438" ht="15.75" customHeight="1">
      <c r="E438" s="124"/>
      <c r="F438" s="124"/>
      <c r="G438" s="124"/>
      <c r="H438" s="124"/>
      <c r="I438" s="124"/>
      <c r="J438" s="124"/>
      <c r="K438" s="124"/>
    </row>
    <row r="439" ht="15.75" customHeight="1">
      <c r="E439" s="124"/>
      <c r="F439" s="124"/>
      <c r="G439" s="124"/>
      <c r="H439" s="124"/>
      <c r="I439" s="124"/>
      <c r="J439" s="124"/>
      <c r="K439" s="124"/>
    </row>
    <row r="440" ht="15.75" customHeight="1">
      <c r="E440" s="124"/>
      <c r="F440" s="124"/>
      <c r="G440" s="124"/>
      <c r="H440" s="124"/>
      <c r="I440" s="124"/>
      <c r="J440" s="124"/>
      <c r="K440" s="124"/>
    </row>
    <row r="441" ht="15.75" customHeight="1">
      <c r="E441" s="124"/>
      <c r="F441" s="124"/>
      <c r="G441" s="124"/>
      <c r="H441" s="124"/>
      <c r="I441" s="124"/>
      <c r="J441" s="124"/>
      <c r="K441" s="124"/>
    </row>
    <row r="442" ht="15.75" customHeight="1">
      <c r="E442" s="124"/>
      <c r="F442" s="124"/>
      <c r="G442" s="124"/>
      <c r="H442" s="124"/>
      <c r="I442" s="124"/>
      <c r="J442" s="124"/>
      <c r="K442" s="124"/>
    </row>
    <row r="443" ht="15.75" customHeight="1">
      <c r="E443" s="124"/>
      <c r="F443" s="124"/>
      <c r="G443" s="124"/>
      <c r="H443" s="124"/>
      <c r="I443" s="124"/>
      <c r="J443" s="124"/>
      <c r="K443" s="124"/>
    </row>
    <row r="444" ht="15.75" customHeight="1">
      <c r="E444" s="124"/>
      <c r="F444" s="124"/>
      <c r="G444" s="124"/>
      <c r="H444" s="124"/>
      <c r="I444" s="124"/>
      <c r="J444" s="124"/>
      <c r="K444" s="124"/>
    </row>
    <row r="445" ht="15.75" customHeight="1">
      <c r="E445" s="124"/>
      <c r="F445" s="124"/>
      <c r="G445" s="124"/>
      <c r="H445" s="124"/>
      <c r="I445" s="124"/>
      <c r="J445" s="124"/>
      <c r="K445" s="124"/>
    </row>
    <row r="446" ht="15.75" customHeight="1">
      <c r="E446" s="124"/>
      <c r="F446" s="124"/>
      <c r="G446" s="124"/>
      <c r="H446" s="124"/>
      <c r="I446" s="124"/>
      <c r="J446" s="124"/>
      <c r="K446" s="124"/>
    </row>
    <row r="447" ht="15.75" customHeight="1">
      <c r="E447" s="124"/>
      <c r="F447" s="124"/>
      <c r="G447" s="124"/>
      <c r="H447" s="124"/>
      <c r="I447" s="124"/>
      <c r="J447" s="124"/>
      <c r="K447" s="124"/>
    </row>
    <row r="448" ht="15.75" customHeight="1">
      <c r="E448" s="124"/>
      <c r="F448" s="124"/>
      <c r="G448" s="124"/>
      <c r="H448" s="124"/>
      <c r="I448" s="124"/>
      <c r="J448" s="124"/>
      <c r="K448" s="124"/>
    </row>
    <row r="449" ht="15.75" customHeight="1">
      <c r="E449" s="124"/>
      <c r="F449" s="124"/>
      <c r="G449" s="124"/>
      <c r="H449" s="124"/>
      <c r="I449" s="124"/>
      <c r="J449" s="124"/>
      <c r="K449" s="124"/>
    </row>
    <row r="450" ht="15.75" customHeight="1">
      <c r="E450" s="124"/>
      <c r="F450" s="124"/>
      <c r="G450" s="124"/>
      <c r="H450" s="124"/>
      <c r="I450" s="124"/>
      <c r="J450" s="124"/>
      <c r="K450" s="124"/>
    </row>
    <row r="451" ht="15.75" customHeight="1">
      <c r="E451" s="124"/>
      <c r="F451" s="124"/>
      <c r="G451" s="124"/>
      <c r="H451" s="124"/>
      <c r="I451" s="124"/>
      <c r="J451" s="124"/>
      <c r="K451" s="124"/>
    </row>
    <row r="452" ht="15.75" customHeight="1">
      <c r="E452" s="124"/>
      <c r="F452" s="124"/>
      <c r="G452" s="124"/>
      <c r="H452" s="124"/>
      <c r="I452" s="124"/>
      <c r="J452" s="124"/>
      <c r="K452" s="124"/>
    </row>
    <row r="453" ht="15.75" customHeight="1">
      <c r="E453" s="124"/>
      <c r="F453" s="124"/>
      <c r="G453" s="124"/>
      <c r="H453" s="124"/>
      <c r="I453" s="124"/>
      <c r="J453" s="124"/>
      <c r="K453" s="124"/>
    </row>
    <row r="454" ht="15.75" customHeight="1">
      <c r="E454" s="124"/>
      <c r="F454" s="124"/>
      <c r="G454" s="124"/>
      <c r="H454" s="124"/>
      <c r="I454" s="124"/>
      <c r="J454" s="124"/>
      <c r="K454" s="124"/>
    </row>
    <row r="455" ht="15.75" customHeight="1">
      <c r="E455" s="124"/>
      <c r="F455" s="124"/>
      <c r="G455" s="124"/>
      <c r="H455" s="124"/>
      <c r="I455" s="124"/>
      <c r="J455" s="124"/>
      <c r="K455" s="124"/>
    </row>
    <row r="456" ht="15.75" customHeight="1">
      <c r="E456" s="124"/>
      <c r="F456" s="124"/>
      <c r="G456" s="124"/>
      <c r="H456" s="124"/>
      <c r="I456" s="124"/>
      <c r="J456" s="124"/>
      <c r="K456" s="124"/>
    </row>
    <row r="457" ht="15.75" customHeight="1">
      <c r="E457" s="124"/>
      <c r="F457" s="124"/>
      <c r="G457" s="124"/>
      <c r="H457" s="124"/>
      <c r="I457" s="124"/>
      <c r="J457" s="124"/>
      <c r="K457" s="124"/>
    </row>
    <row r="458" ht="15.75" customHeight="1">
      <c r="E458" s="124"/>
      <c r="F458" s="124"/>
      <c r="G458" s="124"/>
      <c r="H458" s="124"/>
      <c r="I458" s="124"/>
      <c r="J458" s="124"/>
      <c r="K458" s="124"/>
    </row>
    <row r="459" ht="15.75" customHeight="1">
      <c r="E459" s="124"/>
      <c r="F459" s="124"/>
      <c r="G459" s="124"/>
      <c r="H459" s="124"/>
      <c r="I459" s="124"/>
      <c r="J459" s="124"/>
      <c r="K459" s="124"/>
    </row>
    <row r="460" ht="15.75" customHeight="1">
      <c r="E460" s="124"/>
      <c r="F460" s="124"/>
      <c r="G460" s="124"/>
      <c r="H460" s="124"/>
      <c r="I460" s="124"/>
      <c r="J460" s="124"/>
      <c r="K460" s="124"/>
    </row>
    <row r="461" ht="15.75" customHeight="1">
      <c r="E461" s="124"/>
      <c r="F461" s="124"/>
      <c r="G461" s="124"/>
      <c r="H461" s="124"/>
      <c r="I461" s="124"/>
      <c r="J461" s="124"/>
      <c r="K461" s="124"/>
    </row>
    <row r="462" ht="15.75" customHeight="1">
      <c r="E462" s="124"/>
      <c r="F462" s="124"/>
      <c r="G462" s="124"/>
      <c r="H462" s="124"/>
      <c r="I462" s="124"/>
      <c r="J462" s="124"/>
      <c r="K462" s="124"/>
    </row>
    <row r="463" ht="15.75" customHeight="1">
      <c r="E463" s="124"/>
      <c r="F463" s="124"/>
      <c r="G463" s="124"/>
      <c r="H463" s="124"/>
      <c r="I463" s="124"/>
      <c r="J463" s="124"/>
      <c r="K463" s="124"/>
    </row>
    <row r="464" ht="15.75" customHeight="1">
      <c r="E464" s="124"/>
      <c r="F464" s="124"/>
      <c r="G464" s="124"/>
      <c r="H464" s="124"/>
      <c r="I464" s="124"/>
      <c r="J464" s="124"/>
      <c r="K464" s="124"/>
    </row>
    <row r="465" ht="15.75" customHeight="1">
      <c r="E465" s="124"/>
      <c r="F465" s="124"/>
      <c r="G465" s="124"/>
      <c r="H465" s="124"/>
      <c r="I465" s="124"/>
      <c r="J465" s="124"/>
      <c r="K465" s="124"/>
    </row>
    <row r="466" ht="15.75" customHeight="1">
      <c r="E466" s="124"/>
      <c r="F466" s="124"/>
      <c r="G466" s="124"/>
      <c r="H466" s="124"/>
      <c r="I466" s="124"/>
      <c r="J466" s="124"/>
      <c r="K466" s="124"/>
    </row>
    <row r="467" ht="15.75" customHeight="1">
      <c r="E467" s="124"/>
      <c r="F467" s="124"/>
      <c r="G467" s="124"/>
      <c r="H467" s="124"/>
      <c r="I467" s="124"/>
      <c r="J467" s="124"/>
      <c r="K467" s="124"/>
    </row>
    <row r="468" ht="15.75" customHeight="1">
      <c r="E468" s="124"/>
      <c r="F468" s="124"/>
      <c r="G468" s="124"/>
      <c r="H468" s="124"/>
      <c r="I468" s="124"/>
      <c r="J468" s="124"/>
      <c r="K468" s="124"/>
    </row>
    <row r="469" ht="15.75" customHeight="1">
      <c r="E469" s="124"/>
      <c r="F469" s="124"/>
      <c r="G469" s="124"/>
      <c r="H469" s="124"/>
      <c r="I469" s="124"/>
      <c r="J469" s="124"/>
      <c r="K469" s="124"/>
    </row>
    <row r="470" ht="15.75" customHeight="1">
      <c r="E470" s="124"/>
      <c r="F470" s="124"/>
      <c r="G470" s="124"/>
      <c r="H470" s="124"/>
      <c r="I470" s="124"/>
      <c r="J470" s="124"/>
      <c r="K470" s="124"/>
    </row>
    <row r="471" ht="15.75" customHeight="1">
      <c r="E471" s="124"/>
      <c r="F471" s="124"/>
      <c r="G471" s="124"/>
      <c r="H471" s="124"/>
      <c r="I471" s="124"/>
      <c r="J471" s="124"/>
      <c r="K471" s="124"/>
    </row>
    <row r="472" ht="15.75" customHeight="1">
      <c r="E472" s="124"/>
      <c r="F472" s="124"/>
      <c r="G472" s="124"/>
      <c r="H472" s="124"/>
      <c r="I472" s="124"/>
      <c r="J472" s="124"/>
      <c r="K472" s="124"/>
    </row>
    <row r="473" ht="15.75" customHeight="1">
      <c r="E473" s="124"/>
      <c r="F473" s="124"/>
      <c r="G473" s="124"/>
      <c r="H473" s="124"/>
      <c r="I473" s="124"/>
      <c r="J473" s="124"/>
      <c r="K473" s="124"/>
    </row>
    <row r="474" ht="15.75" customHeight="1">
      <c r="E474" s="124"/>
      <c r="F474" s="124"/>
      <c r="G474" s="124"/>
      <c r="H474" s="124"/>
      <c r="I474" s="124"/>
      <c r="J474" s="124"/>
      <c r="K474" s="124"/>
    </row>
    <row r="475" ht="15.75" customHeight="1">
      <c r="E475" s="124"/>
      <c r="F475" s="124"/>
      <c r="G475" s="124"/>
      <c r="H475" s="124"/>
      <c r="I475" s="124"/>
      <c r="J475" s="124"/>
      <c r="K475" s="124"/>
    </row>
    <row r="476" ht="15.75" customHeight="1">
      <c r="E476" s="124"/>
      <c r="F476" s="124"/>
      <c r="G476" s="124"/>
      <c r="H476" s="124"/>
      <c r="I476" s="124"/>
      <c r="J476" s="124"/>
      <c r="K476" s="124"/>
    </row>
    <row r="477" ht="15.75" customHeight="1">
      <c r="E477" s="124"/>
      <c r="F477" s="124"/>
      <c r="G477" s="124"/>
      <c r="H477" s="124"/>
      <c r="I477" s="124"/>
      <c r="J477" s="124"/>
      <c r="K477" s="124"/>
    </row>
    <row r="478" ht="15.75" customHeight="1">
      <c r="E478" s="124"/>
      <c r="F478" s="124"/>
      <c r="G478" s="124"/>
      <c r="H478" s="124"/>
      <c r="I478" s="124"/>
      <c r="J478" s="124"/>
      <c r="K478" s="124"/>
    </row>
    <row r="479" ht="15.75" customHeight="1">
      <c r="E479" s="124"/>
      <c r="F479" s="124"/>
      <c r="G479" s="124"/>
      <c r="H479" s="124"/>
      <c r="I479" s="124"/>
      <c r="J479" s="124"/>
      <c r="K479" s="124"/>
    </row>
    <row r="480" ht="15.75" customHeight="1">
      <c r="E480" s="124"/>
      <c r="F480" s="124"/>
      <c r="G480" s="124"/>
      <c r="H480" s="124"/>
      <c r="I480" s="124"/>
      <c r="J480" s="124"/>
      <c r="K480" s="124"/>
    </row>
    <row r="481" ht="15.75" customHeight="1">
      <c r="E481" s="124"/>
      <c r="F481" s="124"/>
      <c r="G481" s="124"/>
      <c r="H481" s="124"/>
      <c r="I481" s="124"/>
      <c r="J481" s="124"/>
      <c r="K481" s="124"/>
    </row>
    <row r="482" ht="15.75" customHeight="1">
      <c r="E482" s="124"/>
      <c r="F482" s="124"/>
      <c r="G482" s="124"/>
      <c r="H482" s="124"/>
      <c r="I482" s="124"/>
      <c r="J482" s="124"/>
      <c r="K482" s="124"/>
    </row>
    <row r="483" ht="15.75" customHeight="1">
      <c r="E483" s="124"/>
      <c r="F483" s="124"/>
      <c r="G483" s="124"/>
      <c r="H483" s="124"/>
      <c r="I483" s="124"/>
      <c r="J483" s="124"/>
      <c r="K483" s="124"/>
    </row>
    <row r="484" ht="15.75" customHeight="1">
      <c r="E484" s="124"/>
      <c r="F484" s="124"/>
      <c r="G484" s="124"/>
      <c r="H484" s="124"/>
      <c r="I484" s="124"/>
      <c r="J484" s="124"/>
      <c r="K484" s="124"/>
    </row>
    <row r="485" ht="15.75" customHeight="1">
      <c r="E485" s="124"/>
      <c r="F485" s="124"/>
      <c r="G485" s="124"/>
      <c r="H485" s="124"/>
      <c r="I485" s="124"/>
      <c r="J485" s="124"/>
      <c r="K485" s="124"/>
    </row>
    <row r="486" ht="15.75" customHeight="1">
      <c r="E486" s="124"/>
      <c r="F486" s="124"/>
      <c r="G486" s="124"/>
      <c r="H486" s="124"/>
      <c r="I486" s="124"/>
      <c r="J486" s="124"/>
      <c r="K486" s="124"/>
    </row>
    <row r="487" ht="15.75" customHeight="1">
      <c r="E487" s="124"/>
      <c r="F487" s="124"/>
      <c r="G487" s="124"/>
      <c r="H487" s="124"/>
      <c r="I487" s="124"/>
      <c r="J487" s="124"/>
      <c r="K487" s="124"/>
    </row>
    <row r="488" ht="15.75" customHeight="1">
      <c r="E488" s="124"/>
      <c r="F488" s="124"/>
      <c r="G488" s="124"/>
      <c r="H488" s="124"/>
      <c r="I488" s="124"/>
      <c r="J488" s="124"/>
      <c r="K488" s="124"/>
    </row>
    <row r="489" ht="15.75" customHeight="1">
      <c r="E489" s="124"/>
      <c r="F489" s="124"/>
      <c r="G489" s="124"/>
      <c r="H489" s="124"/>
      <c r="I489" s="124"/>
      <c r="J489" s="124"/>
      <c r="K489" s="124"/>
    </row>
    <row r="490" ht="15.75" customHeight="1">
      <c r="E490" s="124"/>
      <c r="F490" s="124"/>
      <c r="G490" s="124"/>
      <c r="H490" s="124"/>
      <c r="I490" s="124"/>
      <c r="J490" s="124"/>
      <c r="K490" s="124"/>
    </row>
    <row r="491" ht="15.75" customHeight="1">
      <c r="E491" s="124"/>
      <c r="F491" s="124"/>
      <c r="G491" s="124"/>
      <c r="H491" s="124"/>
      <c r="I491" s="124"/>
      <c r="J491" s="124"/>
      <c r="K491" s="124"/>
    </row>
    <row r="492" ht="15.75" customHeight="1">
      <c r="E492" s="124"/>
      <c r="F492" s="124"/>
      <c r="G492" s="124"/>
      <c r="H492" s="124"/>
      <c r="I492" s="124"/>
      <c r="J492" s="124"/>
      <c r="K492" s="124"/>
    </row>
    <row r="493" ht="15.75" customHeight="1">
      <c r="E493" s="124"/>
      <c r="F493" s="124"/>
      <c r="G493" s="124"/>
      <c r="H493" s="124"/>
      <c r="I493" s="124"/>
      <c r="J493" s="124"/>
      <c r="K493" s="124"/>
    </row>
    <row r="494" ht="15.75" customHeight="1">
      <c r="E494" s="124"/>
      <c r="F494" s="124"/>
      <c r="G494" s="124"/>
      <c r="H494" s="124"/>
      <c r="I494" s="124"/>
      <c r="J494" s="124"/>
      <c r="K494" s="124"/>
    </row>
    <row r="495" ht="15.75" customHeight="1">
      <c r="E495" s="124"/>
      <c r="F495" s="124"/>
      <c r="G495" s="124"/>
      <c r="H495" s="124"/>
      <c r="I495" s="124"/>
      <c r="J495" s="124"/>
      <c r="K495" s="124"/>
    </row>
    <row r="496" ht="15.75" customHeight="1">
      <c r="E496" s="124"/>
      <c r="F496" s="124"/>
      <c r="G496" s="124"/>
      <c r="H496" s="124"/>
      <c r="I496" s="124"/>
      <c r="J496" s="124"/>
      <c r="K496" s="124"/>
    </row>
    <row r="497" ht="15.75" customHeight="1">
      <c r="E497" s="124"/>
      <c r="F497" s="124"/>
      <c r="G497" s="124"/>
      <c r="H497" s="124"/>
      <c r="I497" s="124"/>
      <c r="J497" s="124"/>
      <c r="K497" s="124"/>
    </row>
    <row r="498" ht="15.75" customHeight="1">
      <c r="E498" s="124"/>
      <c r="F498" s="124"/>
      <c r="G498" s="124"/>
      <c r="H498" s="124"/>
      <c r="I498" s="124"/>
      <c r="J498" s="124"/>
      <c r="K498" s="124"/>
    </row>
    <row r="499" ht="15.75" customHeight="1">
      <c r="E499" s="124"/>
      <c r="F499" s="124"/>
      <c r="G499" s="124"/>
      <c r="H499" s="124"/>
      <c r="I499" s="124"/>
      <c r="J499" s="124"/>
      <c r="K499" s="124"/>
    </row>
    <row r="500" ht="15.75" customHeight="1">
      <c r="E500" s="124"/>
      <c r="F500" s="124"/>
      <c r="G500" s="124"/>
      <c r="H500" s="124"/>
      <c r="I500" s="124"/>
      <c r="J500" s="124"/>
      <c r="K500" s="124"/>
    </row>
    <row r="501" ht="15.75" customHeight="1">
      <c r="E501" s="124"/>
      <c r="F501" s="124"/>
      <c r="G501" s="124"/>
      <c r="H501" s="124"/>
      <c r="I501" s="124"/>
      <c r="J501" s="124"/>
      <c r="K501" s="124"/>
    </row>
    <row r="502" ht="15.75" customHeight="1">
      <c r="E502" s="124"/>
      <c r="F502" s="124"/>
      <c r="G502" s="124"/>
      <c r="H502" s="124"/>
      <c r="I502" s="124"/>
      <c r="J502" s="124"/>
      <c r="K502" s="124"/>
    </row>
    <row r="503" ht="15.75" customHeight="1">
      <c r="E503" s="124"/>
      <c r="F503" s="124"/>
      <c r="G503" s="124"/>
      <c r="H503" s="124"/>
      <c r="I503" s="124"/>
      <c r="J503" s="124"/>
      <c r="K503" s="124"/>
    </row>
    <row r="504" ht="15.75" customHeight="1">
      <c r="E504" s="124"/>
      <c r="F504" s="124"/>
      <c r="G504" s="124"/>
      <c r="H504" s="124"/>
      <c r="I504" s="124"/>
      <c r="J504" s="124"/>
      <c r="K504" s="124"/>
    </row>
    <row r="505" ht="15.75" customHeight="1">
      <c r="E505" s="124"/>
      <c r="F505" s="124"/>
      <c r="G505" s="124"/>
      <c r="H505" s="124"/>
      <c r="I505" s="124"/>
      <c r="J505" s="124"/>
      <c r="K505" s="124"/>
    </row>
    <row r="506" ht="15.75" customHeight="1">
      <c r="E506" s="124"/>
      <c r="F506" s="124"/>
      <c r="G506" s="124"/>
      <c r="H506" s="124"/>
      <c r="I506" s="124"/>
      <c r="J506" s="124"/>
      <c r="K506" s="124"/>
    </row>
    <row r="507" ht="15.75" customHeight="1">
      <c r="E507" s="124"/>
      <c r="F507" s="124"/>
      <c r="G507" s="124"/>
      <c r="H507" s="124"/>
      <c r="I507" s="124"/>
      <c r="J507" s="124"/>
      <c r="K507" s="124"/>
    </row>
    <row r="508" ht="15.75" customHeight="1">
      <c r="E508" s="124"/>
      <c r="F508" s="124"/>
      <c r="G508" s="124"/>
      <c r="H508" s="124"/>
      <c r="I508" s="124"/>
      <c r="J508" s="124"/>
      <c r="K508" s="124"/>
    </row>
    <row r="509" ht="15.75" customHeight="1">
      <c r="E509" s="124"/>
      <c r="F509" s="124"/>
      <c r="G509" s="124"/>
      <c r="H509" s="124"/>
      <c r="I509" s="124"/>
      <c r="J509" s="124"/>
      <c r="K509" s="124"/>
    </row>
    <row r="510" ht="15.75" customHeight="1">
      <c r="E510" s="124"/>
      <c r="F510" s="124"/>
      <c r="G510" s="124"/>
      <c r="H510" s="124"/>
      <c r="I510" s="124"/>
      <c r="J510" s="124"/>
      <c r="K510" s="124"/>
    </row>
    <row r="511" ht="15.75" customHeight="1">
      <c r="E511" s="124"/>
      <c r="F511" s="124"/>
      <c r="G511" s="124"/>
      <c r="H511" s="124"/>
      <c r="I511" s="124"/>
      <c r="J511" s="124"/>
      <c r="K511" s="124"/>
    </row>
    <row r="512" ht="15.75" customHeight="1">
      <c r="E512" s="124"/>
      <c r="F512" s="124"/>
      <c r="G512" s="124"/>
      <c r="H512" s="124"/>
      <c r="I512" s="124"/>
      <c r="J512" s="124"/>
      <c r="K512" s="124"/>
    </row>
    <row r="513" ht="15.75" customHeight="1">
      <c r="E513" s="124"/>
      <c r="F513" s="124"/>
      <c r="G513" s="124"/>
      <c r="H513" s="124"/>
      <c r="I513" s="124"/>
      <c r="J513" s="124"/>
      <c r="K513" s="124"/>
    </row>
    <row r="514" ht="15.75" customHeight="1">
      <c r="E514" s="124"/>
      <c r="F514" s="124"/>
      <c r="G514" s="124"/>
      <c r="H514" s="124"/>
      <c r="I514" s="124"/>
      <c r="J514" s="124"/>
      <c r="K514" s="124"/>
    </row>
    <row r="515" ht="15.75" customHeight="1">
      <c r="E515" s="124"/>
      <c r="F515" s="124"/>
      <c r="G515" s="124"/>
      <c r="H515" s="124"/>
      <c r="I515" s="124"/>
      <c r="J515" s="124"/>
      <c r="K515" s="124"/>
    </row>
    <row r="516" ht="15.75" customHeight="1">
      <c r="E516" s="124"/>
      <c r="F516" s="124"/>
      <c r="G516" s="124"/>
      <c r="H516" s="124"/>
      <c r="I516" s="124"/>
      <c r="J516" s="124"/>
      <c r="K516" s="124"/>
    </row>
    <row r="517" ht="15.75" customHeight="1">
      <c r="E517" s="124"/>
      <c r="F517" s="124"/>
      <c r="G517" s="124"/>
      <c r="H517" s="124"/>
      <c r="I517" s="124"/>
      <c r="J517" s="124"/>
      <c r="K517" s="124"/>
    </row>
    <row r="518" ht="15.75" customHeight="1">
      <c r="E518" s="124"/>
      <c r="F518" s="124"/>
      <c r="G518" s="124"/>
      <c r="H518" s="124"/>
      <c r="I518" s="124"/>
      <c r="J518" s="124"/>
      <c r="K518" s="124"/>
    </row>
    <row r="519" ht="15.75" customHeight="1">
      <c r="E519" s="124"/>
      <c r="F519" s="124"/>
      <c r="G519" s="124"/>
      <c r="H519" s="124"/>
      <c r="I519" s="124"/>
      <c r="J519" s="124"/>
      <c r="K519" s="124"/>
    </row>
    <row r="520" ht="15.75" customHeight="1">
      <c r="E520" s="124"/>
      <c r="F520" s="124"/>
      <c r="G520" s="124"/>
      <c r="H520" s="124"/>
      <c r="I520" s="124"/>
      <c r="J520" s="124"/>
      <c r="K520" s="124"/>
    </row>
    <row r="521" ht="15.75" customHeight="1">
      <c r="E521" s="124"/>
      <c r="F521" s="124"/>
      <c r="G521" s="124"/>
      <c r="H521" s="124"/>
      <c r="I521" s="124"/>
      <c r="J521" s="124"/>
      <c r="K521" s="124"/>
    </row>
    <row r="522" ht="15.75" customHeight="1">
      <c r="E522" s="124"/>
      <c r="F522" s="124"/>
      <c r="G522" s="124"/>
      <c r="H522" s="124"/>
      <c r="I522" s="124"/>
      <c r="J522" s="124"/>
      <c r="K522" s="124"/>
    </row>
    <row r="523" ht="15.75" customHeight="1">
      <c r="E523" s="124"/>
      <c r="F523" s="124"/>
      <c r="G523" s="124"/>
      <c r="H523" s="124"/>
      <c r="I523" s="124"/>
      <c r="J523" s="124"/>
      <c r="K523" s="124"/>
    </row>
    <row r="524" ht="15.75" customHeight="1">
      <c r="E524" s="124"/>
      <c r="F524" s="124"/>
      <c r="G524" s="124"/>
      <c r="H524" s="124"/>
      <c r="I524" s="124"/>
      <c r="J524" s="124"/>
      <c r="K524" s="124"/>
    </row>
    <row r="525" ht="15.75" customHeight="1">
      <c r="E525" s="124"/>
      <c r="F525" s="124"/>
      <c r="G525" s="124"/>
      <c r="H525" s="124"/>
      <c r="I525" s="124"/>
      <c r="J525" s="124"/>
      <c r="K525" s="124"/>
    </row>
    <row r="526" ht="15.75" customHeight="1">
      <c r="E526" s="124"/>
      <c r="F526" s="124"/>
      <c r="G526" s="124"/>
      <c r="H526" s="124"/>
      <c r="I526" s="124"/>
      <c r="J526" s="124"/>
      <c r="K526" s="124"/>
    </row>
    <row r="527" ht="15.75" customHeight="1">
      <c r="E527" s="124"/>
      <c r="F527" s="124"/>
      <c r="G527" s="124"/>
      <c r="H527" s="124"/>
      <c r="I527" s="124"/>
      <c r="J527" s="124"/>
      <c r="K527" s="124"/>
    </row>
    <row r="528" ht="15.75" customHeight="1">
      <c r="E528" s="124"/>
      <c r="F528" s="124"/>
      <c r="G528" s="124"/>
      <c r="H528" s="124"/>
      <c r="I528" s="124"/>
      <c r="J528" s="124"/>
      <c r="K528" s="124"/>
    </row>
    <row r="529" ht="15.75" customHeight="1">
      <c r="E529" s="124"/>
      <c r="F529" s="124"/>
      <c r="G529" s="124"/>
      <c r="H529" s="124"/>
      <c r="I529" s="124"/>
      <c r="J529" s="124"/>
      <c r="K529" s="124"/>
    </row>
    <row r="530" ht="15.75" customHeight="1">
      <c r="E530" s="124"/>
      <c r="F530" s="124"/>
      <c r="G530" s="124"/>
      <c r="H530" s="124"/>
      <c r="I530" s="124"/>
      <c r="J530" s="124"/>
      <c r="K530" s="124"/>
    </row>
    <row r="531" ht="15.75" customHeight="1">
      <c r="E531" s="124"/>
      <c r="F531" s="124"/>
      <c r="G531" s="124"/>
      <c r="H531" s="124"/>
      <c r="I531" s="124"/>
      <c r="J531" s="124"/>
      <c r="K531" s="124"/>
    </row>
    <row r="532" ht="15.75" customHeight="1">
      <c r="E532" s="124"/>
      <c r="F532" s="124"/>
      <c r="G532" s="124"/>
      <c r="H532" s="124"/>
      <c r="I532" s="124"/>
      <c r="J532" s="124"/>
      <c r="K532" s="124"/>
    </row>
    <row r="533" ht="15.75" customHeight="1">
      <c r="E533" s="124"/>
      <c r="F533" s="124"/>
      <c r="G533" s="124"/>
      <c r="H533" s="124"/>
      <c r="I533" s="124"/>
      <c r="J533" s="124"/>
      <c r="K533" s="124"/>
    </row>
    <row r="534" ht="15.75" customHeight="1">
      <c r="E534" s="124"/>
      <c r="F534" s="124"/>
      <c r="G534" s="124"/>
      <c r="H534" s="124"/>
      <c r="I534" s="124"/>
      <c r="J534" s="124"/>
      <c r="K534" s="124"/>
    </row>
    <row r="535" ht="15.75" customHeight="1">
      <c r="E535" s="124"/>
      <c r="F535" s="124"/>
      <c r="G535" s="124"/>
      <c r="H535" s="124"/>
      <c r="I535" s="124"/>
      <c r="J535" s="124"/>
      <c r="K535" s="124"/>
    </row>
    <row r="536" ht="15.75" customHeight="1">
      <c r="E536" s="124"/>
      <c r="F536" s="124"/>
      <c r="G536" s="124"/>
      <c r="H536" s="124"/>
      <c r="I536" s="124"/>
      <c r="J536" s="124"/>
      <c r="K536" s="124"/>
    </row>
    <row r="537" ht="15.75" customHeight="1">
      <c r="E537" s="124"/>
      <c r="F537" s="124"/>
      <c r="G537" s="124"/>
      <c r="H537" s="124"/>
      <c r="I537" s="124"/>
      <c r="J537" s="124"/>
      <c r="K537" s="124"/>
    </row>
    <row r="538" ht="15.75" customHeight="1">
      <c r="E538" s="124"/>
      <c r="F538" s="124"/>
      <c r="G538" s="124"/>
      <c r="H538" s="124"/>
      <c r="I538" s="124"/>
      <c r="J538" s="124"/>
      <c r="K538" s="124"/>
    </row>
    <row r="539" ht="15.75" customHeight="1">
      <c r="E539" s="124"/>
      <c r="F539" s="124"/>
      <c r="G539" s="124"/>
      <c r="H539" s="124"/>
      <c r="I539" s="124"/>
      <c r="J539" s="124"/>
      <c r="K539" s="124"/>
    </row>
    <row r="540" ht="15.75" customHeight="1">
      <c r="E540" s="124"/>
      <c r="F540" s="124"/>
      <c r="G540" s="124"/>
      <c r="H540" s="124"/>
      <c r="I540" s="124"/>
      <c r="J540" s="124"/>
      <c r="K540" s="124"/>
    </row>
    <row r="541" ht="15.75" customHeight="1">
      <c r="E541" s="124"/>
      <c r="F541" s="124"/>
      <c r="G541" s="124"/>
      <c r="H541" s="124"/>
      <c r="I541" s="124"/>
      <c r="J541" s="124"/>
      <c r="K541" s="124"/>
    </row>
    <row r="542" ht="15.75" customHeight="1">
      <c r="E542" s="124"/>
      <c r="F542" s="124"/>
      <c r="G542" s="124"/>
      <c r="H542" s="124"/>
      <c r="I542" s="124"/>
      <c r="J542" s="124"/>
      <c r="K542" s="124"/>
    </row>
    <row r="543" ht="15.75" customHeight="1">
      <c r="E543" s="124"/>
      <c r="F543" s="124"/>
      <c r="G543" s="124"/>
      <c r="H543" s="124"/>
      <c r="I543" s="124"/>
      <c r="J543" s="124"/>
      <c r="K543" s="124"/>
    </row>
    <row r="544" ht="15.75" customHeight="1">
      <c r="E544" s="124"/>
      <c r="F544" s="124"/>
      <c r="G544" s="124"/>
      <c r="H544" s="124"/>
      <c r="I544" s="124"/>
      <c r="J544" s="124"/>
      <c r="K544" s="124"/>
    </row>
    <row r="545" ht="15.75" customHeight="1">
      <c r="E545" s="124"/>
      <c r="F545" s="124"/>
      <c r="G545" s="124"/>
      <c r="H545" s="124"/>
      <c r="I545" s="124"/>
      <c r="J545" s="124"/>
      <c r="K545" s="124"/>
    </row>
    <row r="546" ht="15.75" customHeight="1">
      <c r="E546" s="124"/>
      <c r="F546" s="124"/>
      <c r="G546" s="124"/>
      <c r="H546" s="124"/>
      <c r="I546" s="124"/>
      <c r="J546" s="124"/>
      <c r="K546" s="124"/>
    </row>
    <row r="547" ht="15.75" customHeight="1">
      <c r="E547" s="124"/>
      <c r="F547" s="124"/>
      <c r="G547" s="124"/>
      <c r="H547" s="124"/>
      <c r="I547" s="124"/>
      <c r="J547" s="124"/>
      <c r="K547" s="124"/>
    </row>
    <row r="548" ht="15.75" customHeight="1">
      <c r="E548" s="124"/>
      <c r="F548" s="124"/>
      <c r="G548" s="124"/>
      <c r="H548" s="124"/>
      <c r="I548" s="124"/>
      <c r="J548" s="124"/>
      <c r="K548" s="124"/>
    </row>
    <row r="549" ht="15.75" customHeight="1">
      <c r="E549" s="124"/>
      <c r="F549" s="124"/>
      <c r="G549" s="124"/>
      <c r="H549" s="124"/>
      <c r="I549" s="124"/>
      <c r="J549" s="124"/>
      <c r="K549" s="124"/>
    </row>
    <row r="550" ht="15.75" customHeight="1">
      <c r="E550" s="124"/>
      <c r="F550" s="124"/>
      <c r="G550" s="124"/>
      <c r="H550" s="124"/>
      <c r="I550" s="124"/>
      <c r="J550" s="124"/>
      <c r="K550" s="124"/>
    </row>
    <row r="551" ht="15.75" customHeight="1">
      <c r="E551" s="124"/>
      <c r="F551" s="124"/>
      <c r="G551" s="124"/>
      <c r="H551" s="124"/>
      <c r="I551" s="124"/>
      <c r="J551" s="124"/>
      <c r="K551" s="124"/>
    </row>
    <row r="552" ht="15.75" customHeight="1">
      <c r="E552" s="124"/>
      <c r="F552" s="124"/>
      <c r="G552" s="124"/>
      <c r="H552" s="124"/>
      <c r="I552" s="124"/>
      <c r="J552" s="124"/>
      <c r="K552" s="124"/>
    </row>
    <row r="553" ht="15.75" customHeight="1">
      <c r="E553" s="124"/>
      <c r="F553" s="124"/>
      <c r="G553" s="124"/>
      <c r="H553" s="124"/>
      <c r="I553" s="124"/>
      <c r="J553" s="124"/>
      <c r="K553" s="124"/>
    </row>
    <row r="554" ht="15.75" customHeight="1">
      <c r="E554" s="124"/>
      <c r="F554" s="124"/>
      <c r="G554" s="124"/>
      <c r="H554" s="124"/>
      <c r="I554" s="124"/>
      <c r="J554" s="124"/>
      <c r="K554" s="124"/>
    </row>
    <row r="555" ht="15.75" customHeight="1">
      <c r="E555" s="124"/>
      <c r="F555" s="124"/>
      <c r="G555" s="124"/>
      <c r="H555" s="124"/>
      <c r="I555" s="124"/>
      <c r="J555" s="124"/>
      <c r="K555" s="124"/>
    </row>
    <row r="556" ht="15.75" customHeight="1">
      <c r="E556" s="124"/>
      <c r="F556" s="124"/>
      <c r="G556" s="124"/>
      <c r="H556" s="124"/>
      <c r="I556" s="124"/>
      <c r="J556" s="124"/>
      <c r="K556" s="124"/>
    </row>
    <row r="557" ht="15.75" customHeight="1">
      <c r="E557" s="124"/>
      <c r="F557" s="124"/>
      <c r="G557" s="124"/>
      <c r="H557" s="124"/>
      <c r="I557" s="124"/>
      <c r="J557" s="124"/>
      <c r="K557" s="124"/>
    </row>
    <row r="558" ht="15.75" customHeight="1">
      <c r="E558" s="124"/>
      <c r="F558" s="124"/>
      <c r="G558" s="124"/>
      <c r="H558" s="124"/>
      <c r="I558" s="124"/>
      <c r="J558" s="124"/>
      <c r="K558" s="124"/>
    </row>
    <row r="559" ht="15.75" customHeight="1">
      <c r="E559" s="124"/>
      <c r="F559" s="124"/>
      <c r="G559" s="124"/>
      <c r="H559" s="124"/>
      <c r="I559" s="124"/>
      <c r="J559" s="124"/>
      <c r="K559" s="124"/>
    </row>
    <row r="560" ht="15.75" customHeight="1">
      <c r="E560" s="124"/>
      <c r="F560" s="124"/>
      <c r="G560" s="124"/>
      <c r="H560" s="124"/>
      <c r="I560" s="124"/>
      <c r="J560" s="124"/>
      <c r="K560" s="124"/>
    </row>
    <row r="561" ht="15.75" customHeight="1">
      <c r="E561" s="124"/>
      <c r="F561" s="124"/>
      <c r="G561" s="124"/>
      <c r="H561" s="124"/>
      <c r="I561" s="124"/>
      <c r="J561" s="124"/>
      <c r="K561" s="124"/>
    </row>
    <row r="562" ht="15.75" customHeight="1">
      <c r="E562" s="124"/>
      <c r="F562" s="124"/>
      <c r="G562" s="124"/>
      <c r="H562" s="124"/>
      <c r="I562" s="124"/>
      <c r="J562" s="124"/>
      <c r="K562" s="124"/>
    </row>
    <row r="563" ht="15.75" customHeight="1">
      <c r="E563" s="124"/>
      <c r="F563" s="124"/>
      <c r="G563" s="124"/>
      <c r="H563" s="124"/>
      <c r="I563" s="124"/>
      <c r="J563" s="124"/>
      <c r="K563" s="124"/>
    </row>
    <row r="564" ht="15.75" customHeight="1">
      <c r="E564" s="124"/>
      <c r="F564" s="124"/>
      <c r="G564" s="124"/>
      <c r="H564" s="124"/>
      <c r="I564" s="124"/>
      <c r="J564" s="124"/>
      <c r="K564" s="124"/>
    </row>
    <row r="565" ht="15.75" customHeight="1">
      <c r="E565" s="124"/>
      <c r="F565" s="124"/>
      <c r="G565" s="124"/>
      <c r="H565" s="124"/>
      <c r="I565" s="124"/>
      <c r="J565" s="124"/>
      <c r="K565" s="124"/>
    </row>
    <row r="566" ht="15.75" customHeight="1">
      <c r="E566" s="124"/>
      <c r="F566" s="124"/>
      <c r="G566" s="124"/>
      <c r="H566" s="124"/>
      <c r="I566" s="124"/>
      <c r="J566" s="124"/>
      <c r="K566" s="124"/>
    </row>
    <row r="567" ht="15.75" customHeight="1">
      <c r="E567" s="124"/>
      <c r="F567" s="124"/>
      <c r="G567" s="124"/>
      <c r="H567" s="124"/>
      <c r="I567" s="124"/>
      <c r="J567" s="124"/>
      <c r="K567" s="124"/>
    </row>
    <row r="568" ht="15.75" customHeight="1">
      <c r="E568" s="124"/>
      <c r="F568" s="124"/>
      <c r="G568" s="124"/>
      <c r="H568" s="124"/>
      <c r="I568" s="124"/>
      <c r="J568" s="124"/>
      <c r="K568" s="124"/>
    </row>
    <row r="569" ht="15.75" customHeight="1">
      <c r="E569" s="124"/>
      <c r="F569" s="124"/>
      <c r="G569" s="124"/>
      <c r="H569" s="124"/>
      <c r="I569" s="124"/>
      <c r="J569" s="124"/>
      <c r="K569" s="124"/>
    </row>
    <row r="570" ht="15.75" customHeight="1">
      <c r="E570" s="124"/>
      <c r="F570" s="124"/>
      <c r="G570" s="124"/>
      <c r="H570" s="124"/>
      <c r="I570" s="124"/>
      <c r="J570" s="124"/>
      <c r="K570" s="124"/>
    </row>
    <row r="571" ht="15.75" customHeight="1">
      <c r="E571" s="124"/>
      <c r="F571" s="124"/>
      <c r="G571" s="124"/>
      <c r="H571" s="124"/>
      <c r="I571" s="124"/>
      <c r="J571" s="124"/>
      <c r="K571" s="124"/>
    </row>
    <row r="572" ht="15.75" customHeight="1">
      <c r="E572" s="124"/>
      <c r="F572" s="124"/>
      <c r="G572" s="124"/>
      <c r="H572" s="124"/>
      <c r="I572" s="124"/>
      <c r="J572" s="124"/>
      <c r="K572" s="124"/>
    </row>
    <row r="573" ht="15.75" customHeight="1">
      <c r="E573" s="124"/>
      <c r="F573" s="124"/>
      <c r="G573" s="124"/>
      <c r="H573" s="124"/>
      <c r="I573" s="124"/>
      <c r="J573" s="124"/>
      <c r="K573" s="124"/>
    </row>
    <row r="574" ht="15.75" customHeight="1">
      <c r="E574" s="124"/>
      <c r="F574" s="124"/>
      <c r="G574" s="124"/>
      <c r="H574" s="124"/>
      <c r="I574" s="124"/>
      <c r="J574" s="124"/>
      <c r="K574" s="124"/>
    </row>
    <row r="575" ht="15.75" customHeight="1">
      <c r="E575" s="124"/>
      <c r="F575" s="124"/>
      <c r="G575" s="124"/>
      <c r="H575" s="124"/>
      <c r="I575" s="124"/>
      <c r="J575" s="124"/>
      <c r="K575" s="124"/>
    </row>
    <row r="576" ht="15.75" customHeight="1">
      <c r="E576" s="124"/>
      <c r="F576" s="124"/>
      <c r="G576" s="124"/>
      <c r="H576" s="124"/>
      <c r="I576" s="124"/>
      <c r="J576" s="124"/>
      <c r="K576" s="124"/>
    </row>
    <row r="577" ht="15.75" customHeight="1">
      <c r="E577" s="124"/>
      <c r="F577" s="124"/>
      <c r="G577" s="124"/>
      <c r="H577" s="124"/>
      <c r="I577" s="124"/>
      <c r="J577" s="124"/>
      <c r="K577" s="124"/>
    </row>
    <row r="578" ht="15.75" customHeight="1">
      <c r="E578" s="124"/>
      <c r="F578" s="124"/>
      <c r="G578" s="124"/>
      <c r="H578" s="124"/>
      <c r="I578" s="124"/>
      <c r="J578" s="124"/>
      <c r="K578" s="124"/>
    </row>
    <row r="579" ht="15.75" customHeight="1">
      <c r="E579" s="124"/>
      <c r="F579" s="124"/>
      <c r="G579" s="124"/>
      <c r="H579" s="124"/>
      <c r="I579" s="124"/>
      <c r="J579" s="124"/>
      <c r="K579" s="124"/>
    </row>
    <row r="580" ht="15.75" customHeight="1">
      <c r="E580" s="124"/>
      <c r="F580" s="124"/>
      <c r="G580" s="124"/>
      <c r="H580" s="124"/>
      <c r="I580" s="124"/>
      <c r="J580" s="124"/>
      <c r="K580" s="124"/>
    </row>
    <row r="581" ht="15.75" customHeight="1">
      <c r="E581" s="124"/>
      <c r="F581" s="124"/>
      <c r="G581" s="124"/>
      <c r="H581" s="124"/>
      <c r="I581" s="124"/>
      <c r="J581" s="124"/>
      <c r="K581" s="124"/>
    </row>
    <row r="582" ht="15.75" customHeight="1">
      <c r="E582" s="124"/>
      <c r="F582" s="124"/>
      <c r="G582" s="124"/>
      <c r="H582" s="124"/>
      <c r="I582" s="124"/>
      <c r="J582" s="124"/>
      <c r="K582" s="124"/>
    </row>
    <row r="583" ht="15.75" customHeight="1">
      <c r="E583" s="124"/>
      <c r="F583" s="124"/>
      <c r="G583" s="124"/>
      <c r="H583" s="124"/>
      <c r="I583" s="124"/>
      <c r="J583" s="124"/>
      <c r="K583" s="124"/>
    </row>
    <row r="584" ht="15.75" customHeight="1">
      <c r="E584" s="124"/>
      <c r="F584" s="124"/>
      <c r="G584" s="124"/>
      <c r="H584" s="124"/>
      <c r="I584" s="124"/>
      <c r="J584" s="124"/>
      <c r="K584" s="124"/>
    </row>
    <row r="585" ht="15.75" customHeight="1">
      <c r="E585" s="124"/>
      <c r="F585" s="124"/>
      <c r="G585" s="124"/>
      <c r="H585" s="124"/>
      <c r="I585" s="124"/>
      <c r="J585" s="124"/>
      <c r="K585" s="124"/>
    </row>
    <row r="586" ht="15.75" customHeight="1">
      <c r="E586" s="124"/>
      <c r="F586" s="124"/>
      <c r="G586" s="124"/>
      <c r="H586" s="124"/>
      <c r="I586" s="124"/>
      <c r="J586" s="124"/>
      <c r="K586" s="124"/>
    </row>
    <row r="587" ht="15.75" customHeight="1">
      <c r="E587" s="124"/>
      <c r="F587" s="124"/>
      <c r="G587" s="124"/>
      <c r="H587" s="124"/>
      <c r="I587" s="124"/>
      <c r="J587" s="124"/>
      <c r="K587" s="124"/>
    </row>
    <row r="588" ht="15.75" customHeight="1">
      <c r="E588" s="124"/>
      <c r="F588" s="124"/>
      <c r="G588" s="124"/>
      <c r="H588" s="124"/>
      <c r="I588" s="124"/>
      <c r="J588" s="124"/>
      <c r="K588" s="124"/>
    </row>
    <row r="589" ht="15.75" customHeight="1">
      <c r="E589" s="124"/>
      <c r="F589" s="124"/>
      <c r="G589" s="124"/>
      <c r="H589" s="124"/>
      <c r="I589" s="124"/>
      <c r="J589" s="124"/>
      <c r="K589" s="124"/>
    </row>
    <row r="590" ht="15.75" customHeight="1">
      <c r="E590" s="124"/>
      <c r="F590" s="124"/>
      <c r="G590" s="124"/>
      <c r="H590" s="124"/>
      <c r="I590" s="124"/>
      <c r="J590" s="124"/>
      <c r="K590" s="124"/>
    </row>
    <row r="591" ht="15.75" customHeight="1">
      <c r="E591" s="124"/>
      <c r="F591" s="124"/>
      <c r="G591" s="124"/>
      <c r="H591" s="124"/>
      <c r="I591" s="124"/>
      <c r="J591" s="124"/>
      <c r="K591" s="124"/>
    </row>
    <row r="592" ht="15.75" customHeight="1">
      <c r="E592" s="124"/>
      <c r="F592" s="124"/>
      <c r="G592" s="124"/>
      <c r="H592" s="124"/>
      <c r="I592" s="124"/>
      <c r="J592" s="124"/>
      <c r="K592" s="124"/>
    </row>
    <row r="593" ht="15.75" customHeight="1">
      <c r="E593" s="124"/>
      <c r="F593" s="124"/>
      <c r="G593" s="124"/>
      <c r="H593" s="124"/>
      <c r="I593" s="124"/>
      <c r="J593" s="124"/>
      <c r="K593" s="124"/>
    </row>
    <row r="594" ht="15.75" customHeight="1">
      <c r="E594" s="124"/>
      <c r="F594" s="124"/>
      <c r="G594" s="124"/>
      <c r="H594" s="124"/>
      <c r="I594" s="124"/>
      <c r="J594" s="124"/>
      <c r="K594" s="124"/>
    </row>
    <row r="595" ht="15.75" customHeight="1">
      <c r="E595" s="124"/>
      <c r="F595" s="124"/>
      <c r="G595" s="124"/>
      <c r="H595" s="124"/>
      <c r="I595" s="124"/>
      <c r="J595" s="124"/>
      <c r="K595" s="124"/>
    </row>
    <row r="596" ht="15.75" customHeight="1">
      <c r="E596" s="124"/>
      <c r="F596" s="124"/>
      <c r="G596" s="124"/>
      <c r="H596" s="124"/>
      <c r="I596" s="124"/>
      <c r="J596" s="124"/>
      <c r="K596" s="124"/>
    </row>
    <row r="597" ht="15.75" customHeight="1">
      <c r="E597" s="124"/>
      <c r="F597" s="124"/>
      <c r="G597" s="124"/>
      <c r="H597" s="124"/>
      <c r="I597" s="124"/>
      <c r="J597" s="124"/>
      <c r="K597" s="124"/>
    </row>
    <row r="598" ht="15.75" customHeight="1">
      <c r="E598" s="124"/>
      <c r="F598" s="124"/>
      <c r="G598" s="124"/>
      <c r="H598" s="124"/>
      <c r="I598" s="124"/>
      <c r="J598" s="124"/>
      <c r="K598" s="124"/>
    </row>
    <row r="599" ht="15.75" customHeight="1">
      <c r="E599" s="124"/>
      <c r="F599" s="124"/>
      <c r="G599" s="124"/>
      <c r="H599" s="124"/>
      <c r="I599" s="124"/>
      <c r="J599" s="124"/>
      <c r="K599" s="124"/>
    </row>
    <row r="600" ht="15.75" customHeight="1">
      <c r="E600" s="124"/>
      <c r="F600" s="124"/>
      <c r="G600" s="124"/>
      <c r="H600" s="124"/>
      <c r="I600" s="124"/>
      <c r="J600" s="124"/>
      <c r="K600" s="124"/>
    </row>
    <row r="601" ht="15.75" customHeight="1">
      <c r="E601" s="124"/>
      <c r="F601" s="124"/>
      <c r="G601" s="124"/>
      <c r="H601" s="124"/>
      <c r="I601" s="124"/>
      <c r="J601" s="124"/>
      <c r="K601" s="124"/>
    </row>
    <row r="602" ht="15.75" customHeight="1">
      <c r="E602" s="124"/>
      <c r="F602" s="124"/>
      <c r="G602" s="124"/>
      <c r="H602" s="124"/>
      <c r="I602" s="124"/>
      <c r="J602" s="124"/>
      <c r="K602" s="124"/>
    </row>
    <row r="603" ht="15.75" customHeight="1">
      <c r="E603" s="124"/>
      <c r="F603" s="124"/>
      <c r="G603" s="124"/>
      <c r="H603" s="124"/>
      <c r="I603" s="124"/>
      <c r="J603" s="124"/>
      <c r="K603" s="124"/>
    </row>
    <row r="604" ht="15.75" customHeight="1">
      <c r="E604" s="124"/>
      <c r="F604" s="124"/>
      <c r="G604" s="124"/>
      <c r="H604" s="124"/>
      <c r="I604" s="124"/>
      <c r="J604" s="124"/>
      <c r="K604" s="124"/>
    </row>
    <row r="605" ht="15.75" customHeight="1">
      <c r="E605" s="124"/>
      <c r="F605" s="124"/>
      <c r="G605" s="124"/>
      <c r="H605" s="124"/>
      <c r="I605" s="124"/>
      <c r="J605" s="124"/>
      <c r="K605" s="124"/>
    </row>
    <row r="606" ht="15.75" customHeight="1">
      <c r="E606" s="124"/>
      <c r="F606" s="124"/>
      <c r="G606" s="124"/>
      <c r="H606" s="124"/>
      <c r="I606" s="124"/>
      <c r="J606" s="124"/>
      <c r="K606" s="124"/>
    </row>
    <row r="607" ht="15.75" customHeight="1">
      <c r="E607" s="124"/>
      <c r="F607" s="124"/>
      <c r="G607" s="124"/>
      <c r="H607" s="124"/>
      <c r="I607" s="124"/>
      <c r="J607" s="124"/>
      <c r="K607" s="124"/>
    </row>
    <row r="608" ht="15.75" customHeight="1">
      <c r="E608" s="124"/>
      <c r="F608" s="124"/>
      <c r="G608" s="124"/>
      <c r="H608" s="124"/>
      <c r="I608" s="124"/>
      <c r="J608" s="124"/>
      <c r="K608" s="124"/>
    </row>
    <row r="609" ht="15.75" customHeight="1">
      <c r="E609" s="124"/>
      <c r="F609" s="124"/>
      <c r="G609" s="124"/>
      <c r="H609" s="124"/>
      <c r="I609" s="124"/>
      <c r="J609" s="124"/>
      <c r="K609" s="124"/>
    </row>
    <row r="610" ht="15.75" customHeight="1">
      <c r="E610" s="124"/>
      <c r="F610" s="124"/>
      <c r="G610" s="124"/>
      <c r="H610" s="124"/>
      <c r="I610" s="124"/>
      <c r="J610" s="124"/>
      <c r="K610" s="124"/>
    </row>
    <row r="611" ht="15.75" customHeight="1">
      <c r="E611" s="124"/>
      <c r="F611" s="124"/>
      <c r="G611" s="124"/>
      <c r="H611" s="124"/>
      <c r="I611" s="124"/>
      <c r="J611" s="124"/>
      <c r="K611" s="124"/>
    </row>
    <row r="612" ht="15.75" customHeight="1">
      <c r="E612" s="124"/>
      <c r="F612" s="124"/>
      <c r="G612" s="124"/>
      <c r="H612" s="124"/>
      <c r="I612" s="124"/>
      <c r="J612" s="124"/>
      <c r="K612" s="124"/>
    </row>
    <row r="613" ht="15.75" customHeight="1">
      <c r="E613" s="124"/>
      <c r="F613" s="124"/>
      <c r="G613" s="124"/>
      <c r="H613" s="124"/>
      <c r="I613" s="124"/>
      <c r="J613" s="124"/>
      <c r="K613" s="124"/>
    </row>
    <row r="614" ht="15.75" customHeight="1">
      <c r="E614" s="124"/>
      <c r="F614" s="124"/>
      <c r="G614" s="124"/>
      <c r="H614" s="124"/>
      <c r="I614" s="124"/>
      <c r="J614" s="124"/>
      <c r="K614" s="124"/>
    </row>
    <row r="615" ht="15.75" customHeight="1">
      <c r="E615" s="124"/>
      <c r="F615" s="124"/>
      <c r="G615" s="124"/>
      <c r="H615" s="124"/>
      <c r="I615" s="124"/>
      <c r="J615" s="124"/>
      <c r="K615" s="124"/>
    </row>
    <row r="616" ht="15.75" customHeight="1">
      <c r="E616" s="124"/>
      <c r="F616" s="124"/>
      <c r="G616" s="124"/>
      <c r="H616" s="124"/>
      <c r="I616" s="124"/>
      <c r="J616" s="124"/>
      <c r="K616" s="124"/>
    </row>
    <row r="617" ht="15.75" customHeight="1">
      <c r="E617" s="124"/>
      <c r="F617" s="124"/>
      <c r="G617" s="124"/>
      <c r="H617" s="124"/>
      <c r="I617" s="124"/>
      <c r="J617" s="124"/>
      <c r="K617" s="124"/>
    </row>
    <row r="618" ht="15.75" customHeight="1">
      <c r="E618" s="124"/>
      <c r="F618" s="124"/>
      <c r="G618" s="124"/>
      <c r="H618" s="124"/>
      <c r="I618" s="124"/>
      <c r="J618" s="124"/>
      <c r="K618" s="124"/>
    </row>
    <row r="619" ht="15.75" customHeight="1">
      <c r="E619" s="124"/>
      <c r="F619" s="124"/>
      <c r="G619" s="124"/>
      <c r="H619" s="124"/>
      <c r="I619" s="124"/>
      <c r="J619" s="124"/>
      <c r="K619" s="124"/>
    </row>
    <row r="620" ht="15.75" customHeight="1">
      <c r="E620" s="124"/>
      <c r="F620" s="124"/>
      <c r="G620" s="124"/>
      <c r="H620" s="124"/>
      <c r="I620" s="124"/>
      <c r="J620" s="124"/>
      <c r="K620" s="124"/>
    </row>
    <row r="621" ht="15.75" customHeight="1">
      <c r="E621" s="124"/>
      <c r="F621" s="124"/>
      <c r="G621" s="124"/>
      <c r="H621" s="124"/>
      <c r="I621" s="124"/>
      <c r="J621" s="124"/>
      <c r="K621" s="124"/>
    </row>
    <row r="622" ht="15.75" customHeight="1">
      <c r="E622" s="124"/>
      <c r="F622" s="124"/>
      <c r="G622" s="124"/>
      <c r="H622" s="124"/>
      <c r="I622" s="124"/>
      <c r="J622" s="124"/>
      <c r="K622" s="124"/>
    </row>
    <row r="623" ht="15.75" customHeight="1">
      <c r="E623" s="124"/>
      <c r="F623" s="124"/>
      <c r="G623" s="124"/>
      <c r="H623" s="124"/>
      <c r="I623" s="124"/>
      <c r="J623" s="124"/>
      <c r="K623" s="124"/>
    </row>
    <row r="624" ht="15.75" customHeight="1">
      <c r="E624" s="124"/>
      <c r="F624" s="124"/>
      <c r="G624" s="124"/>
      <c r="H624" s="124"/>
      <c r="I624" s="124"/>
      <c r="J624" s="124"/>
      <c r="K624" s="124"/>
    </row>
    <row r="625" ht="15.75" customHeight="1">
      <c r="E625" s="124"/>
      <c r="F625" s="124"/>
      <c r="G625" s="124"/>
      <c r="H625" s="124"/>
      <c r="I625" s="124"/>
      <c r="J625" s="124"/>
      <c r="K625" s="124"/>
    </row>
    <row r="626" ht="15.75" customHeight="1">
      <c r="E626" s="124"/>
      <c r="F626" s="124"/>
      <c r="G626" s="124"/>
      <c r="H626" s="124"/>
      <c r="I626" s="124"/>
      <c r="J626" s="124"/>
      <c r="K626" s="124"/>
    </row>
    <row r="627" ht="15.75" customHeight="1">
      <c r="E627" s="124"/>
      <c r="F627" s="124"/>
      <c r="G627" s="124"/>
      <c r="H627" s="124"/>
      <c r="I627" s="124"/>
      <c r="J627" s="124"/>
      <c r="K627" s="124"/>
    </row>
    <row r="628" ht="15.75" customHeight="1">
      <c r="E628" s="124"/>
      <c r="F628" s="124"/>
      <c r="G628" s="124"/>
      <c r="H628" s="124"/>
      <c r="I628" s="124"/>
      <c r="J628" s="124"/>
      <c r="K628" s="124"/>
    </row>
    <row r="629" ht="15.75" customHeight="1">
      <c r="E629" s="124"/>
      <c r="F629" s="124"/>
      <c r="G629" s="124"/>
      <c r="H629" s="124"/>
      <c r="I629" s="124"/>
      <c r="J629" s="124"/>
      <c r="K629" s="124"/>
    </row>
    <row r="630" ht="15.75" customHeight="1">
      <c r="E630" s="124"/>
      <c r="F630" s="124"/>
      <c r="G630" s="124"/>
      <c r="H630" s="124"/>
      <c r="I630" s="124"/>
      <c r="J630" s="124"/>
      <c r="K630" s="124"/>
    </row>
    <row r="631" ht="15.75" customHeight="1">
      <c r="E631" s="124"/>
      <c r="F631" s="124"/>
      <c r="G631" s="124"/>
      <c r="H631" s="124"/>
      <c r="I631" s="124"/>
      <c r="J631" s="124"/>
      <c r="K631" s="124"/>
    </row>
    <row r="632" ht="15.75" customHeight="1">
      <c r="E632" s="124"/>
      <c r="F632" s="124"/>
      <c r="G632" s="124"/>
      <c r="H632" s="124"/>
      <c r="I632" s="124"/>
      <c r="J632" s="124"/>
      <c r="K632" s="124"/>
    </row>
    <row r="633" ht="15.75" customHeight="1">
      <c r="E633" s="124"/>
      <c r="F633" s="124"/>
      <c r="G633" s="124"/>
      <c r="H633" s="124"/>
      <c r="I633" s="124"/>
      <c r="J633" s="124"/>
      <c r="K633" s="124"/>
    </row>
    <row r="634" ht="15.75" customHeight="1">
      <c r="E634" s="124"/>
      <c r="F634" s="124"/>
      <c r="G634" s="124"/>
      <c r="H634" s="124"/>
      <c r="I634" s="124"/>
      <c r="J634" s="124"/>
      <c r="K634" s="124"/>
    </row>
    <row r="635" ht="15.75" customHeight="1">
      <c r="E635" s="124"/>
      <c r="F635" s="124"/>
      <c r="G635" s="124"/>
      <c r="H635" s="124"/>
      <c r="I635" s="124"/>
      <c r="J635" s="124"/>
      <c r="K635" s="124"/>
    </row>
    <row r="636" ht="15.75" customHeight="1">
      <c r="E636" s="124"/>
      <c r="F636" s="124"/>
      <c r="G636" s="124"/>
      <c r="H636" s="124"/>
      <c r="I636" s="124"/>
      <c r="J636" s="124"/>
      <c r="K636" s="124"/>
    </row>
    <row r="637" ht="15.75" customHeight="1">
      <c r="E637" s="124"/>
      <c r="F637" s="124"/>
      <c r="G637" s="124"/>
      <c r="H637" s="124"/>
      <c r="I637" s="124"/>
      <c r="J637" s="124"/>
      <c r="K637" s="124"/>
    </row>
    <row r="638" ht="15.75" customHeight="1">
      <c r="E638" s="124"/>
      <c r="F638" s="124"/>
      <c r="G638" s="124"/>
      <c r="H638" s="124"/>
      <c r="I638" s="124"/>
      <c r="J638" s="124"/>
      <c r="K638" s="124"/>
    </row>
    <row r="639" ht="15.75" customHeight="1">
      <c r="E639" s="124"/>
      <c r="F639" s="124"/>
      <c r="G639" s="124"/>
      <c r="H639" s="124"/>
      <c r="I639" s="124"/>
      <c r="J639" s="124"/>
      <c r="K639" s="124"/>
    </row>
    <row r="640" ht="15.75" customHeight="1">
      <c r="E640" s="124"/>
      <c r="F640" s="124"/>
      <c r="G640" s="124"/>
      <c r="H640" s="124"/>
      <c r="I640" s="124"/>
      <c r="J640" s="124"/>
      <c r="K640" s="124"/>
    </row>
    <row r="641" ht="15.75" customHeight="1">
      <c r="E641" s="124"/>
      <c r="F641" s="124"/>
      <c r="G641" s="124"/>
      <c r="H641" s="124"/>
      <c r="I641" s="124"/>
      <c r="J641" s="124"/>
      <c r="K641" s="124"/>
    </row>
    <row r="642" ht="15.75" customHeight="1">
      <c r="E642" s="124"/>
      <c r="F642" s="124"/>
      <c r="G642" s="124"/>
      <c r="H642" s="124"/>
      <c r="I642" s="124"/>
      <c r="J642" s="124"/>
      <c r="K642" s="124"/>
    </row>
    <row r="643" ht="15.75" customHeight="1">
      <c r="E643" s="124"/>
      <c r="F643" s="124"/>
      <c r="G643" s="124"/>
      <c r="H643" s="124"/>
      <c r="I643" s="124"/>
      <c r="J643" s="124"/>
      <c r="K643" s="124"/>
    </row>
    <row r="644" ht="15.75" customHeight="1">
      <c r="E644" s="124"/>
      <c r="F644" s="124"/>
      <c r="G644" s="124"/>
      <c r="H644" s="124"/>
      <c r="I644" s="124"/>
      <c r="J644" s="124"/>
      <c r="K644" s="124"/>
    </row>
    <row r="645" ht="15.75" customHeight="1">
      <c r="E645" s="124"/>
      <c r="F645" s="124"/>
      <c r="G645" s="124"/>
      <c r="H645" s="124"/>
      <c r="I645" s="124"/>
      <c r="J645" s="124"/>
      <c r="K645" s="124"/>
    </row>
    <row r="646" ht="15.75" customHeight="1">
      <c r="E646" s="124"/>
      <c r="F646" s="124"/>
      <c r="G646" s="124"/>
      <c r="H646" s="124"/>
      <c r="I646" s="124"/>
      <c r="J646" s="124"/>
      <c r="K646" s="124"/>
    </row>
    <row r="647" ht="15.75" customHeight="1">
      <c r="E647" s="124"/>
      <c r="F647" s="124"/>
      <c r="G647" s="124"/>
      <c r="H647" s="124"/>
      <c r="I647" s="124"/>
      <c r="J647" s="124"/>
      <c r="K647" s="124"/>
    </row>
    <row r="648" ht="15.75" customHeight="1">
      <c r="E648" s="124"/>
      <c r="F648" s="124"/>
      <c r="G648" s="124"/>
      <c r="H648" s="124"/>
      <c r="I648" s="124"/>
      <c r="J648" s="124"/>
      <c r="K648" s="124"/>
    </row>
    <row r="649" ht="15.75" customHeight="1">
      <c r="E649" s="124"/>
      <c r="F649" s="124"/>
      <c r="G649" s="124"/>
      <c r="H649" s="124"/>
      <c r="I649" s="124"/>
      <c r="J649" s="124"/>
      <c r="K649" s="124"/>
    </row>
    <row r="650" ht="15.75" customHeight="1">
      <c r="E650" s="124"/>
      <c r="F650" s="124"/>
      <c r="G650" s="124"/>
      <c r="H650" s="124"/>
      <c r="I650" s="124"/>
      <c r="J650" s="124"/>
      <c r="K650" s="124"/>
    </row>
    <row r="651" ht="15.75" customHeight="1">
      <c r="E651" s="124"/>
      <c r="F651" s="124"/>
      <c r="G651" s="124"/>
      <c r="H651" s="124"/>
      <c r="I651" s="124"/>
      <c r="J651" s="124"/>
      <c r="K651" s="124"/>
    </row>
    <row r="652" ht="15.75" customHeight="1">
      <c r="E652" s="124"/>
      <c r="F652" s="124"/>
      <c r="G652" s="124"/>
      <c r="H652" s="124"/>
      <c r="I652" s="124"/>
      <c r="J652" s="124"/>
      <c r="K652" s="124"/>
    </row>
    <row r="653" ht="15.75" customHeight="1">
      <c r="E653" s="124"/>
      <c r="F653" s="124"/>
      <c r="G653" s="124"/>
      <c r="H653" s="124"/>
      <c r="I653" s="124"/>
      <c r="J653" s="124"/>
      <c r="K653" s="124"/>
    </row>
    <row r="654" ht="15.75" customHeight="1">
      <c r="E654" s="124"/>
      <c r="F654" s="124"/>
      <c r="G654" s="124"/>
      <c r="H654" s="124"/>
      <c r="I654" s="124"/>
      <c r="J654" s="124"/>
      <c r="K654" s="124"/>
    </row>
    <row r="655" ht="15.75" customHeight="1">
      <c r="E655" s="124"/>
      <c r="F655" s="124"/>
      <c r="G655" s="124"/>
      <c r="H655" s="124"/>
      <c r="I655" s="124"/>
      <c r="J655" s="124"/>
      <c r="K655" s="124"/>
    </row>
    <row r="656" ht="15.75" customHeight="1">
      <c r="E656" s="124"/>
      <c r="F656" s="124"/>
      <c r="G656" s="124"/>
      <c r="H656" s="124"/>
      <c r="I656" s="124"/>
      <c r="J656" s="124"/>
      <c r="K656" s="124"/>
    </row>
    <row r="657" ht="15.75" customHeight="1">
      <c r="E657" s="124"/>
      <c r="F657" s="124"/>
      <c r="G657" s="124"/>
      <c r="H657" s="124"/>
      <c r="I657" s="124"/>
      <c r="J657" s="124"/>
      <c r="K657" s="124"/>
    </row>
    <row r="658" ht="15.75" customHeight="1">
      <c r="E658" s="124"/>
      <c r="F658" s="124"/>
      <c r="G658" s="124"/>
      <c r="H658" s="124"/>
      <c r="I658" s="124"/>
      <c r="J658" s="124"/>
      <c r="K658" s="124"/>
    </row>
    <row r="659" ht="15.75" customHeight="1">
      <c r="E659" s="124"/>
      <c r="F659" s="124"/>
      <c r="G659" s="124"/>
      <c r="H659" s="124"/>
      <c r="I659" s="124"/>
      <c r="J659" s="124"/>
      <c r="K659" s="124"/>
    </row>
    <row r="660" ht="15.75" customHeight="1">
      <c r="E660" s="124"/>
      <c r="F660" s="124"/>
      <c r="G660" s="124"/>
      <c r="H660" s="124"/>
      <c r="I660" s="124"/>
      <c r="J660" s="124"/>
      <c r="K660" s="124"/>
    </row>
    <row r="661" ht="15.75" customHeight="1">
      <c r="E661" s="124"/>
      <c r="F661" s="124"/>
      <c r="G661" s="124"/>
      <c r="H661" s="124"/>
      <c r="I661" s="124"/>
      <c r="J661" s="124"/>
      <c r="K661" s="124"/>
    </row>
    <row r="662" ht="15.75" customHeight="1">
      <c r="E662" s="124"/>
      <c r="F662" s="124"/>
      <c r="G662" s="124"/>
      <c r="H662" s="124"/>
      <c r="I662" s="124"/>
      <c r="J662" s="124"/>
      <c r="K662" s="124"/>
    </row>
    <row r="663" ht="15.75" customHeight="1">
      <c r="E663" s="124"/>
      <c r="F663" s="124"/>
      <c r="G663" s="124"/>
      <c r="H663" s="124"/>
      <c r="I663" s="124"/>
      <c r="J663" s="124"/>
      <c r="K663" s="124"/>
    </row>
    <row r="664" ht="15.75" customHeight="1">
      <c r="E664" s="124"/>
      <c r="F664" s="124"/>
      <c r="G664" s="124"/>
      <c r="H664" s="124"/>
      <c r="I664" s="124"/>
      <c r="J664" s="124"/>
      <c r="K664" s="124"/>
    </row>
    <row r="665" ht="15.75" customHeight="1">
      <c r="E665" s="124"/>
      <c r="F665" s="124"/>
      <c r="G665" s="124"/>
      <c r="H665" s="124"/>
      <c r="I665" s="124"/>
      <c r="J665" s="124"/>
      <c r="K665" s="124"/>
    </row>
    <row r="666" ht="15.75" customHeight="1">
      <c r="E666" s="124"/>
      <c r="F666" s="124"/>
      <c r="G666" s="124"/>
      <c r="H666" s="124"/>
      <c r="I666" s="124"/>
      <c r="J666" s="124"/>
      <c r="K666" s="124"/>
    </row>
    <row r="667" ht="15.75" customHeight="1">
      <c r="E667" s="124"/>
      <c r="F667" s="124"/>
      <c r="G667" s="124"/>
      <c r="H667" s="124"/>
      <c r="I667" s="124"/>
      <c r="J667" s="124"/>
      <c r="K667" s="124"/>
    </row>
    <row r="668" ht="15.75" customHeight="1">
      <c r="E668" s="124"/>
      <c r="F668" s="124"/>
      <c r="G668" s="124"/>
      <c r="H668" s="124"/>
      <c r="I668" s="124"/>
      <c r="J668" s="124"/>
      <c r="K668" s="124"/>
    </row>
    <row r="669" ht="15.75" customHeight="1">
      <c r="E669" s="124"/>
      <c r="F669" s="124"/>
      <c r="G669" s="124"/>
      <c r="H669" s="124"/>
      <c r="I669" s="124"/>
      <c r="J669" s="124"/>
      <c r="K669" s="124"/>
    </row>
    <row r="670" ht="15.75" customHeight="1">
      <c r="E670" s="124"/>
      <c r="F670" s="124"/>
      <c r="G670" s="124"/>
      <c r="H670" s="124"/>
      <c r="I670" s="124"/>
      <c r="J670" s="124"/>
      <c r="K670" s="124"/>
    </row>
    <row r="671" ht="15.75" customHeight="1">
      <c r="E671" s="124"/>
      <c r="F671" s="124"/>
      <c r="G671" s="124"/>
      <c r="H671" s="124"/>
      <c r="I671" s="124"/>
      <c r="J671" s="124"/>
      <c r="K671" s="124"/>
    </row>
    <row r="672" ht="15.75" customHeight="1">
      <c r="E672" s="124"/>
      <c r="F672" s="124"/>
      <c r="G672" s="124"/>
      <c r="H672" s="124"/>
      <c r="I672" s="124"/>
      <c r="J672" s="124"/>
      <c r="K672" s="124"/>
    </row>
    <row r="673" ht="15.75" customHeight="1">
      <c r="E673" s="124"/>
      <c r="F673" s="124"/>
      <c r="G673" s="124"/>
      <c r="H673" s="124"/>
      <c r="I673" s="124"/>
      <c r="J673" s="124"/>
      <c r="K673" s="124"/>
    </row>
    <row r="674" ht="15.75" customHeight="1">
      <c r="E674" s="124"/>
      <c r="F674" s="124"/>
      <c r="G674" s="124"/>
      <c r="H674" s="124"/>
      <c r="I674" s="124"/>
      <c r="J674" s="124"/>
      <c r="K674" s="124"/>
    </row>
    <row r="675" ht="15.75" customHeight="1">
      <c r="E675" s="124"/>
      <c r="F675" s="124"/>
      <c r="G675" s="124"/>
      <c r="H675" s="124"/>
      <c r="I675" s="124"/>
      <c r="J675" s="124"/>
      <c r="K675" s="124"/>
    </row>
    <row r="676" ht="15.75" customHeight="1">
      <c r="E676" s="124"/>
      <c r="F676" s="124"/>
      <c r="G676" s="124"/>
      <c r="H676" s="124"/>
      <c r="I676" s="124"/>
      <c r="J676" s="124"/>
      <c r="K676" s="124"/>
    </row>
    <row r="677" ht="15.75" customHeight="1">
      <c r="E677" s="124"/>
      <c r="F677" s="124"/>
      <c r="G677" s="124"/>
      <c r="H677" s="124"/>
      <c r="I677" s="124"/>
      <c r="J677" s="124"/>
      <c r="K677" s="124"/>
    </row>
    <row r="678" ht="15.75" customHeight="1">
      <c r="E678" s="124"/>
      <c r="F678" s="124"/>
      <c r="G678" s="124"/>
      <c r="H678" s="124"/>
      <c r="I678" s="124"/>
      <c r="J678" s="124"/>
      <c r="K678" s="124"/>
    </row>
    <row r="679" ht="15.75" customHeight="1">
      <c r="E679" s="124"/>
      <c r="F679" s="124"/>
      <c r="G679" s="124"/>
      <c r="H679" s="124"/>
      <c r="I679" s="124"/>
      <c r="J679" s="124"/>
      <c r="K679" s="124"/>
    </row>
    <row r="680" ht="15.75" customHeight="1">
      <c r="E680" s="124"/>
      <c r="F680" s="124"/>
      <c r="G680" s="124"/>
      <c r="H680" s="124"/>
      <c r="I680" s="124"/>
      <c r="J680" s="124"/>
      <c r="K680" s="124"/>
    </row>
    <row r="681" ht="15.75" customHeight="1">
      <c r="E681" s="124"/>
      <c r="F681" s="124"/>
      <c r="G681" s="124"/>
      <c r="H681" s="124"/>
      <c r="I681" s="124"/>
      <c r="J681" s="124"/>
      <c r="K681" s="124"/>
    </row>
    <row r="682" ht="15.75" customHeight="1">
      <c r="E682" s="124"/>
      <c r="F682" s="124"/>
      <c r="G682" s="124"/>
      <c r="H682" s="124"/>
      <c r="I682" s="124"/>
      <c r="J682" s="124"/>
      <c r="K682" s="124"/>
    </row>
    <row r="683" ht="15.75" customHeight="1">
      <c r="E683" s="124"/>
      <c r="F683" s="124"/>
      <c r="G683" s="124"/>
      <c r="H683" s="124"/>
      <c r="I683" s="124"/>
      <c r="J683" s="124"/>
      <c r="K683" s="124"/>
    </row>
    <row r="684" ht="15.75" customHeight="1">
      <c r="E684" s="124"/>
      <c r="F684" s="124"/>
      <c r="G684" s="124"/>
      <c r="H684" s="124"/>
      <c r="I684" s="124"/>
      <c r="J684" s="124"/>
      <c r="K684" s="124"/>
    </row>
    <row r="685" ht="15.75" customHeight="1">
      <c r="E685" s="124"/>
      <c r="F685" s="124"/>
      <c r="G685" s="124"/>
      <c r="H685" s="124"/>
      <c r="I685" s="124"/>
      <c r="J685" s="124"/>
      <c r="K685" s="124"/>
    </row>
    <row r="686" ht="15.75" customHeight="1">
      <c r="E686" s="124"/>
      <c r="F686" s="124"/>
      <c r="G686" s="124"/>
      <c r="H686" s="124"/>
      <c r="I686" s="124"/>
      <c r="J686" s="124"/>
      <c r="K686" s="124"/>
    </row>
    <row r="687" ht="15.75" customHeight="1">
      <c r="E687" s="124"/>
      <c r="F687" s="124"/>
      <c r="G687" s="124"/>
      <c r="H687" s="124"/>
      <c r="I687" s="124"/>
      <c r="J687" s="124"/>
      <c r="K687" s="124"/>
    </row>
    <row r="688" ht="15.75" customHeight="1">
      <c r="E688" s="124"/>
      <c r="F688" s="124"/>
      <c r="G688" s="124"/>
      <c r="H688" s="124"/>
      <c r="I688" s="124"/>
      <c r="J688" s="124"/>
      <c r="K688" s="124"/>
    </row>
    <row r="689" ht="15.75" customHeight="1">
      <c r="E689" s="124"/>
      <c r="F689" s="124"/>
      <c r="G689" s="124"/>
      <c r="H689" s="124"/>
      <c r="I689" s="124"/>
      <c r="J689" s="124"/>
      <c r="K689" s="124"/>
    </row>
    <row r="690" ht="15.75" customHeight="1">
      <c r="E690" s="124"/>
      <c r="F690" s="124"/>
      <c r="G690" s="124"/>
      <c r="H690" s="124"/>
      <c r="I690" s="124"/>
      <c r="J690" s="124"/>
      <c r="K690" s="124"/>
    </row>
    <row r="691" ht="15.75" customHeight="1">
      <c r="E691" s="124"/>
      <c r="F691" s="124"/>
      <c r="G691" s="124"/>
      <c r="H691" s="124"/>
      <c r="I691" s="124"/>
      <c r="J691" s="124"/>
      <c r="K691" s="124"/>
    </row>
    <row r="692" ht="15.75" customHeight="1">
      <c r="E692" s="124"/>
      <c r="F692" s="124"/>
      <c r="G692" s="124"/>
      <c r="H692" s="124"/>
      <c r="I692" s="124"/>
      <c r="J692" s="124"/>
      <c r="K692" s="124"/>
    </row>
    <row r="693" ht="15.75" customHeight="1">
      <c r="E693" s="124"/>
      <c r="F693" s="124"/>
      <c r="G693" s="124"/>
      <c r="H693" s="124"/>
      <c r="I693" s="124"/>
      <c r="J693" s="124"/>
      <c r="K693" s="124"/>
    </row>
    <row r="694" ht="15.75" customHeight="1">
      <c r="E694" s="124"/>
      <c r="F694" s="124"/>
      <c r="G694" s="124"/>
      <c r="H694" s="124"/>
      <c r="I694" s="124"/>
      <c r="J694" s="124"/>
      <c r="K694" s="124"/>
    </row>
    <row r="695" ht="15.75" customHeight="1">
      <c r="E695" s="124"/>
      <c r="F695" s="124"/>
      <c r="G695" s="124"/>
      <c r="H695" s="124"/>
      <c r="I695" s="124"/>
      <c r="J695" s="124"/>
      <c r="K695" s="124"/>
    </row>
    <row r="696" ht="15.75" customHeight="1">
      <c r="E696" s="124"/>
      <c r="F696" s="124"/>
      <c r="G696" s="124"/>
      <c r="H696" s="124"/>
      <c r="I696" s="124"/>
      <c r="J696" s="124"/>
      <c r="K696" s="124"/>
    </row>
    <row r="697" ht="15.75" customHeight="1">
      <c r="E697" s="124"/>
      <c r="F697" s="124"/>
      <c r="G697" s="124"/>
      <c r="H697" s="124"/>
      <c r="I697" s="124"/>
      <c r="J697" s="124"/>
      <c r="K697" s="124"/>
    </row>
    <row r="698" ht="15.75" customHeight="1">
      <c r="E698" s="124"/>
      <c r="F698" s="124"/>
      <c r="G698" s="124"/>
      <c r="H698" s="124"/>
      <c r="I698" s="124"/>
      <c r="J698" s="124"/>
      <c r="K698" s="124"/>
    </row>
    <row r="699" ht="15.75" customHeight="1">
      <c r="E699" s="124"/>
      <c r="F699" s="124"/>
      <c r="G699" s="124"/>
      <c r="H699" s="124"/>
      <c r="I699" s="124"/>
      <c r="J699" s="124"/>
      <c r="K699" s="124"/>
    </row>
    <row r="700" ht="15.75" customHeight="1">
      <c r="E700" s="124"/>
      <c r="F700" s="124"/>
      <c r="G700" s="124"/>
      <c r="H700" s="124"/>
      <c r="I700" s="124"/>
      <c r="J700" s="124"/>
      <c r="K700" s="124"/>
    </row>
    <row r="701" ht="15.75" customHeight="1">
      <c r="E701" s="124"/>
      <c r="F701" s="124"/>
      <c r="G701" s="124"/>
      <c r="H701" s="124"/>
      <c r="I701" s="124"/>
      <c r="J701" s="124"/>
      <c r="K701" s="124"/>
    </row>
    <row r="702" ht="15.75" customHeight="1">
      <c r="E702" s="124"/>
      <c r="F702" s="124"/>
      <c r="G702" s="124"/>
      <c r="H702" s="124"/>
      <c r="I702" s="124"/>
      <c r="J702" s="124"/>
      <c r="K702" s="124"/>
    </row>
    <row r="703" ht="15.75" customHeight="1">
      <c r="E703" s="124"/>
      <c r="F703" s="124"/>
      <c r="G703" s="124"/>
      <c r="H703" s="124"/>
      <c r="I703" s="124"/>
      <c r="J703" s="124"/>
      <c r="K703" s="124"/>
    </row>
    <row r="704" ht="15.75" customHeight="1">
      <c r="E704" s="124"/>
      <c r="F704" s="124"/>
      <c r="G704" s="124"/>
      <c r="H704" s="124"/>
      <c r="I704" s="124"/>
      <c r="J704" s="124"/>
      <c r="K704" s="124"/>
    </row>
    <row r="705" ht="15.75" customHeight="1">
      <c r="E705" s="124"/>
      <c r="F705" s="124"/>
      <c r="G705" s="124"/>
      <c r="H705" s="124"/>
      <c r="I705" s="124"/>
      <c r="J705" s="124"/>
      <c r="K705" s="124"/>
    </row>
    <row r="706" ht="15.75" customHeight="1">
      <c r="E706" s="124"/>
      <c r="F706" s="124"/>
      <c r="G706" s="124"/>
      <c r="H706" s="124"/>
      <c r="I706" s="124"/>
      <c r="J706" s="124"/>
      <c r="K706" s="124"/>
    </row>
    <row r="707" ht="15.75" customHeight="1">
      <c r="E707" s="124"/>
      <c r="F707" s="124"/>
      <c r="G707" s="124"/>
      <c r="H707" s="124"/>
      <c r="I707" s="124"/>
      <c r="J707" s="124"/>
      <c r="K707" s="124"/>
    </row>
    <row r="708" ht="15.75" customHeight="1">
      <c r="E708" s="124"/>
      <c r="F708" s="124"/>
      <c r="G708" s="124"/>
      <c r="H708" s="124"/>
      <c r="I708" s="124"/>
      <c r="J708" s="124"/>
      <c r="K708" s="124"/>
    </row>
    <row r="709" ht="15.75" customHeight="1">
      <c r="E709" s="124"/>
      <c r="F709" s="124"/>
      <c r="G709" s="124"/>
      <c r="H709" s="124"/>
      <c r="I709" s="124"/>
      <c r="J709" s="124"/>
      <c r="K709" s="124"/>
    </row>
    <row r="710" ht="15.75" customHeight="1">
      <c r="E710" s="124"/>
      <c r="F710" s="124"/>
      <c r="G710" s="124"/>
      <c r="H710" s="124"/>
      <c r="I710" s="124"/>
      <c r="J710" s="124"/>
      <c r="K710" s="124"/>
    </row>
    <row r="711" ht="15.75" customHeight="1">
      <c r="E711" s="124"/>
      <c r="F711" s="124"/>
      <c r="G711" s="124"/>
      <c r="H711" s="124"/>
      <c r="I711" s="124"/>
      <c r="J711" s="124"/>
      <c r="K711" s="124"/>
    </row>
    <row r="712" ht="15.75" customHeight="1">
      <c r="E712" s="124"/>
      <c r="F712" s="124"/>
      <c r="G712" s="124"/>
      <c r="H712" s="124"/>
      <c r="I712" s="124"/>
      <c r="J712" s="124"/>
      <c r="K712" s="124"/>
    </row>
    <row r="713" ht="15.75" customHeight="1">
      <c r="E713" s="124"/>
      <c r="F713" s="124"/>
      <c r="G713" s="124"/>
      <c r="H713" s="124"/>
      <c r="I713" s="124"/>
      <c r="J713" s="124"/>
      <c r="K713" s="124"/>
    </row>
    <row r="714" ht="15.75" customHeight="1">
      <c r="E714" s="124"/>
      <c r="F714" s="124"/>
      <c r="G714" s="124"/>
      <c r="H714" s="124"/>
      <c r="I714" s="124"/>
      <c r="J714" s="124"/>
      <c r="K714" s="124"/>
    </row>
    <row r="715" ht="15.75" customHeight="1">
      <c r="E715" s="124"/>
      <c r="F715" s="124"/>
      <c r="G715" s="124"/>
      <c r="H715" s="124"/>
      <c r="I715" s="124"/>
      <c r="J715" s="124"/>
      <c r="K715" s="124"/>
    </row>
    <row r="716" ht="15.75" customHeight="1">
      <c r="E716" s="124"/>
      <c r="F716" s="124"/>
      <c r="G716" s="124"/>
      <c r="H716" s="124"/>
      <c r="I716" s="124"/>
      <c r="J716" s="124"/>
      <c r="K716" s="124"/>
    </row>
    <row r="717" ht="15.75" customHeight="1">
      <c r="E717" s="124"/>
      <c r="F717" s="124"/>
      <c r="G717" s="124"/>
      <c r="H717" s="124"/>
      <c r="I717" s="124"/>
      <c r="J717" s="124"/>
      <c r="K717" s="124"/>
    </row>
    <row r="718" ht="15.75" customHeight="1">
      <c r="E718" s="124"/>
      <c r="F718" s="124"/>
      <c r="G718" s="124"/>
      <c r="H718" s="124"/>
      <c r="I718" s="124"/>
      <c r="J718" s="124"/>
      <c r="K718" s="124"/>
    </row>
    <row r="719" ht="15.75" customHeight="1">
      <c r="E719" s="124"/>
      <c r="F719" s="124"/>
      <c r="G719" s="124"/>
      <c r="H719" s="124"/>
      <c r="I719" s="124"/>
      <c r="J719" s="124"/>
      <c r="K719" s="124"/>
    </row>
    <row r="720" ht="15.75" customHeight="1">
      <c r="E720" s="124"/>
      <c r="F720" s="124"/>
      <c r="G720" s="124"/>
      <c r="H720" s="124"/>
      <c r="I720" s="124"/>
      <c r="J720" s="124"/>
      <c r="K720" s="124"/>
    </row>
    <row r="721" ht="15.75" customHeight="1">
      <c r="E721" s="124"/>
      <c r="F721" s="124"/>
      <c r="G721" s="124"/>
      <c r="H721" s="124"/>
      <c r="I721" s="124"/>
      <c r="J721" s="124"/>
      <c r="K721" s="124"/>
    </row>
    <row r="722" ht="15.75" customHeight="1">
      <c r="E722" s="124"/>
      <c r="F722" s="124"/>
      <c r="G722" s="124"/>
      <c r="H722" s="124"/>
      <c r="I722" s="124"/>
      <c r="J722" s="124"/>
      <c r="K722" s="124"/>
    </row>
    <row r="723" ht="15.75" customHeight="1">
      <c r="E723" s="124"/>
      <c r="F723" s="124"/>
      <c r="G723" s="124"/>
      <c r="H723" s="124"/>
      <c r="I723" s="124"/>
      <c r="J723" s="124"/>
      <c r="K723" s="124"/>
    </row>
    <row r="724" ht="15.75" customHeight="1">
      <c r="E724" s="124"/>
      <c r="F724" s="124"/>
      <c r="G724" s="124"/>
      <c r="H724" s="124"/>
      <c r="I724" s="124"/>
      <c r="J724" s="124"/>
      <c r="K724" s="124"/>
    </row>
    <row r="725" ht="15.75" customHeight="1">
      <c r="E725" s="124"/>
      <c r="F725" s="124"/>
      <c r="G725" s="124"/>
      <c r="H725" s="124"/>
      <c r="I725" s="124"/>
      <c r="J725" s="124"/>
      <c r="K725" s="124"/>
    </row>
    <row r="726" ht="15.75" customHeight="1">
      <c r="E726" s="124"/>
      <c r="F726" s="124"/>
      <c r="G726" s="124"/>
      <c r="H726" s="124"/>
      <c r="I726" s="124"/>
      <c r="J726" s="124"/>
      <c r="K726" s="124"/>
    </row>
    <row r="727" ht="15.75" customHeight="1">
      <c r="E727" s="124"/>
      <c r="F727" s="124"/>
      <c r="G727" s="124"/>
      <c r="H727" s="124"/>
      <c r="I727" s="124"/>
      <c r="J727" s="124"/>
      <c r="K727" s="124"/>
    </row>
    <row r="728" ht="15.75" customHeight="1">
      <c r="E728" s="124"/>
      <c r="F728" s="124"/>
      <c r="G728" s="124"/>
      <c r="H728" s="124"/>
      <c r="I728" s="124"/>
      <c r="J728" s="124"/>
      <c r="K728" s="124"/>
    </row>
    <row r="729" ht="15.75" customHeight="1">
      <c r="E729" s="124"/>
      <c r="F729" s="124"/>
      <c r="G729" s="124"/>
      <c r="H729" s="124"/>
      <c r="I729" s="124"/>
      <c r="J729" s="124"/>
      <c r="K729" s="124"/>
    </row>
    <row r="730" ht="15.75" customHeight="1">
      <c r="E730" s="124"/>
      <c r="F730" s="124"/>
      <c r="G730" s="124"/>
      <c r="H730" s="124"/>
      <c r="I730" s="124"/>
      <c r="J730" s="124"/>
      <c r="K730" s="124"/>
    </row>
    <row r="731" ht="15.75" customHeight="1">
      <c r="E731" s="124"/>
      <c r="F731" s="124"/>
      <c r="G731" s="124"/>
      <c r="H731" s="124"/>
      <c r="I731" s="124"/>
      <c r="J731" s="124"/>
      <c r="K731" s="124"/>
    </row>
    <row r="732" ht="15.75" customHeight="1">
      <c r="E732" s="124"/>
      <c r="F732" s="124"/>
      <c r="G732" s="124"/>
      <c r="H732" s="124"/>
      <c r="I732" s="124"/>
      <c r="J732" s="124"/>
      <c r="K732" s="124"/>
    </row>
    <row r="733" ht="15.75" customHeight="1">
      <c r="E733" s="124"/>
      <c r="F733" s="124"/>
      <c r="G733" s="124"/>
      <c r="H733" s="124"/>
      <c r="I733" s="124"/>
      <c r="J733" s="124"/>
      <c r="K733" s="124"/>
    </row>
    <row r="734" ht="15.75" customHeight="1">
      <c r="E734" s="124"/>
      <c r="F734" s="124"/>
      <c r="G734" s="124"/>
      <c r="H734" s="124"/>
      <c r="I734" s="124"/>
      <c r="J734" s="124"/>
      <c r="K734" s="124"/>
    </row>
    <row r="735" ht="15.75" customHeight="1">
      <c r="E735" s="124"/>
      <c r="F735" s="124"/>
      <c r="G735" s="124"/>
      <c r="H735" s="124"/>
      <c r="I735" s="124"/>
      <c r="J735" s="124"/>
      <c r="K735" s="124"/>
    </row>
    <row r="736" ht="15.75" customHeight="1">
      <c r="E736" s="124"/>
      <c r="F736" s="124"/>
      <c r="G736" s="124"/>
      <c r="H736" s="124"/>
      <c r="I736" s="124"/>
      <c r="J736" s="124"/>
      <c r="K736" s="124"/>
    </row>
    <row r="737" ht="15.75" customHeight="1">
      <c r="E737" s="124"/>
      <c r="F737" s="124"/>
      <c r="G737" s="124"/>
      <c r="H737" s="124"/>
      <c r="I737" s="124"/>
      <c r="J737" s="124"/>
      <c r="K737" s="124"/>
    </row>
    <row r="738" ht="15.75" customHeight="1">
      <c r="E738" s="124"/>
      <c r="F738" s="124"/>
      <c r="G738" s="124"/>
      <c r="H738" s="124"/>
      <c r="I738" s="124"/>
      <c r="J738" s="124"/>
      <c r="K738" s="124"/>
    </row>
    <row r="739" ht="15.75" customHeight="1">
      <c r="E739" s="124"/>
      <c r="F739" s="124"/>
      <c r="G739" s="124"/>
      <c r="H739" s="124"/>
      <c r="I739" s="124"/>
      <c r="J739" s="124"/>
      <c r="K739" s="124"/>
    </row>
    <row r="740" ht="15.75" customHeight="1">
      <c r="E740" s="124"/>
      <c r="F740" s="124"/>
      <c r="G740" s="124"/>
      <c r="H740" s="124"/>
      <c r="I740" s="124"/>
      <c r="J740" s="124"/>
      <c r="K740" s="124"/>
    </row>
    <row r="741" ht="15.75" customHeight="1">
      <c r="E741" s="124"/>
      <c r="F741" s="124"/>
      <c r="G741" s="124"/>
      <c r="H741" s="124"/>
      <c r="I741" s="124"/>
      <c r="J741" s="124"/>
      <c r="K741" s="124"/>
    </row>
    <row r="742" ht="15.75" customHeight="1">
      <c r="E742" s="124"/>
      <c r="F742" s="124"/>
      <c r="G742" s="124"/>
      <c r="H742" s="124"/>
      <c r="I742" s="124"/>
      <c r="J742" s="124"/>
      <c r="K742" s="124"/>
    </row>
    <row r="743" ht="15.75" customHeight="1">
      <c r="E743" s="124"/>
      <c r="F743" s="124"/>
      <c r="G743" s="124"/>
      <c r="H743" s="124"/>
      <c r="I743" s="124"/>
      <c r="J743" s="124"/>
      <c r="K743" s="124"/>
    </row>
    <row r="744" ht="15.75" customHeight="1">
      <c r="E744" s="124"/>
      <c r="F744" s="124"/>
      <c r="G744" s="124"/>
      <c r="H744" s="124"/>
      <c r="I744" s="124"/>
      <c r="J744" s="124"/>
      <c r="K744" s="124"/>
    </row>
    <row r="745" ht="15.75" customHeight="1">
      <c r="E745" s="124"/>
      <c r="F745" s="124"/>
      <c r="G745" s="124"/>
      <c r="H745" s="124"/>
      <c r="I745" s="124"/>
      <c r="J745" s="124"/>
      <c r="K745" s="124"/>
    </row>
    <row r="746" ht="15.75" customHeight="1">
      <c r="E746" s="124"/>
      <c r="F746" s="124"/>
      <c r="G746" s="124"/>
      <c r="H746" s="124"/>
      <c r="I746" s="124"/>
      <c r="J746" s="124"/>
      <c r="K746" s="124"/>
    </row>
    <row r="747" ht="15.75" customHeight="1">
      <c r="E747" s="124"/>
      <c r="F747" s="124"/>
      <c r="G747" s="124"/>
      <c r="H747" s="124"/>
      <c r="I747" s="124"/>
      <c r="J747" s="124"/>
      <c r="K747" s="124"/>
    </row>
    <row r="748" ht="15.75" customHeight="1">
      <c r="E748" s="124"/>
      <c r="F748" s="124"/>
      <c r="G748" s="124"/>
      <c r="H748" s="124"/>
      <c r="I748" s="124"/>
      <c r="J748" s="124"/>
      <c r="K748" s="124"/>
    </row>
    <row r="749" ht="15.75" customHeight="1">
      <c r="E749" s="124"/>
      <c r="F749" s="124"/>
      <c r="G749" s="124"/>
      <c r="H749" s="124"/>
      <c r="I749" s="124"/>
      <c r="J749" s="124"/>
      <c r="K749" s="124"/>
    </row>
    <row r="750" ht="15.75" customHeight="1">
      <c r="E750" s="124"/>
      <c r="F750" s="124"/>
      <c r="G750" s="124"/>
      <c r="H750" s="124"/>
      <c r="I750" s="124"/>
      <c r="J750" s="124"/>
      <c r="K750" s="124"/>
    </row>
    <row r="751" ht="15.75" customHeight="1">
      <c r="E751" s="124"/>
      <c r="F751" s="124"/>
      <c r="G751" s="124"/>
      <c r="H751" s="124"/>
      <c r="I751" s="124"/>
      <c r="J751" s="124"/>
      <c r="K751" s="124"/>
    </row>
    <row r="752" ht="15.75" customHeight="1">
      <c r="E752" s="124"/>
      <c r="F752" s="124"/>
      <c r="G752" s="124"/>
      <c r="H752" s="124"/>
      <c r="I752" s="124"/>
      <c r="J752" s="124"/>
      <c r="K752" s="124"/>
    </row>
    <row r="753" ht="15.75" customHeight="1">
      <c r="E753" s="124"/>
      <c r="F753" s="124"/>
      <c r="G753" s="124"/>
      <c r="H753" s="124"/>
      <c r="I753" s="124"/>
      <c r="J753" s="124"/>
      <c r="K753" s="124"/>
    </row>
    <row r="754" ht="15.75" customHeight="1">
      <c r="E754" s="124"/>
      <c r="F754" s="124"/>
      <c r="G754" s="124"/>
      <c r="H754" s="124"/>
      <c r="I754" s="124"/>
      <c r="J754" s="124"/>
      <c r="K754" s="124"/>
    </row>
    <row r="755" ht="15.75" customHeight="1">
      <c r="E755" s="124"/>
      <c r="F755" s="124"/>
      <c r="G755" s="124"/>
      <c r="H755" s="124"/>
      <c r="I755" s="124"/>
      <c r="J755" s="124"/>
      <c r="K755" s="124"/>
    </row>
    <row r="756" ht="15.75" customHeight="1">
      <c r="E756" s="124"/>
      <c r="F756" s="124"/>
      <c r="G756" s="124"/>
      <c r="H756" s="124"/>
      <c r="I756" s="124"/>
      <c r="J756" s="124"/>
      <c r="K756" s="124"/>
    </row>
    <row r="757" ht="15.75" customHeight="1">
      <c r="E757" s="124"/>
      <c r="F757" s="124"/>
      <c r="G757" s="124"/>
      <c r="H757" s="124"/>
      <c r="I757" s="124"/>
      <c r="J757" s="124"/>
      <c r="K757" s="124"/>
    </row>
    <row r="758" ht="15.75" customHeight="1">
      <c r="E758" s="124"/>
      <c r="F758" s="124"/>
      <c r="G758" s="124"/>
      <c r="H758" s="124"/>
      <c r="I758" s="124"/>
      <c r="J758" s="124"/>
      <c r="K758" s="124"/>
    </row>
    <row r="759" ht="15.75" customHeight="1">
      <c r="E759" s="124"/>
      <c r="F759" s="124"/>
      <c r="G759" s="124"/>
      <c r="H759" s="124"/>
      <c r="I759" s="124"/>
      <c r="J759" s="124"/>
      <c r="K759" s="124"/>
    </row>
    <row r="760" ht="15.75" customHeight="1">
      <c r="E760" s="124"/>
      <c r="F760" s="124"/>
      <c r="G760" s="124"/>
      <c r="H760" s="124"/>
      <c r="I760" s="124"/>
      <c r="J760" s="124"/>
      <c r="K760" s="124"/>
    </row>
    <row r="761" ht="15.75" customHeight="1">
      <c r="E761" s="124"/>
      <c r="F761" s="124"/>
      <c r="G761" s="124"/>
      <c r="H761" s="124"/>
      <c r="I761" s="124"/>
      <c r="J761" s="124"/>
      <c r="K761" s="124"/>
    </row>
    <row r="762" ht="15.75" customHeight="1">
      <c r="E762" s="124"/>
      <c r="F762" s="124"/>
      <c r="G762" s="124"/>
      <c r="H762" s="124"/>
      <c r="I762" s="124"/>
      <c r="J762" s="124"/>
      <c r="K762" s="124"/>
    </row>
    <row r="763" ht="15.75" customHeight="1">
      <c r="E763" s="124"/>
      <c r="F763" s="124"/>
      <c r="G763" s="124"/>
      <c r="H763" s="124"/>
      <c r="I763" s="124"/>
      <c r="J763" s="124"/>
      <c r="K763" s="124"/>
    </row>
    <row r="764" ht="15.75" customHeight="1">
      <c r="E764" s="124"/>
      <c r="F764" s="124"/>
      <c r="G764" s="124"/>
      <c r="H764" s="124"/>
      <c r="I764" s="124"/>
      <c r="J764" s="124"/>
      <c r="K764" s="124"/>
    </row>
    <row r="765" ht="15.75" customHeight="1">
      <c r="E765" s="124"/>
      <c r="F765" s="124"/>
      <c r="G765" s="124"/>
      <c r="H765" s="124"/>
      <c r="I765" s="124"/>
      <c r="J765" s="124"/>
      <c r="K765" s="124"/>
    </row>
    <row r="766" ht="15.75" customHeight="1">
      <c r="E766" s="124"/>
      <c r="F766" s="124"/>
      <c r="G766" s="124"/>
      <c r="H766" s="124"/>
      <c r="I766" s="124"/>
      <c r="J766" s="124"/>
      <c r="K766" s="124"/>
    </row>
    <row r="767" ht="15.75" customHeight="1">
      <c r="E767" s="124"/>
      <c r="F767" s="124"/>
      <c r="G767" s="124"/>
      <c r="H767" s="124"/>
      <c r="I767" s="124"/>
      <c r="J767" s="124"/>
      <c r="K767" s="124"/>
    </row>
    <row r="768" ht="15.75" customHeight="1">
      <c r="E768" s="124"/>
      <c r="F768" s="124"/>
      <c r="G768" s="124"/>
      <c r="H768" s="124"/>
      <c r="I768" s="124"/>
      <c r="J768" s="124"/>
      <c r="K768" s="124"/>
    </row>
    <row r="769" ht="15.75" customHeight="1">
      <c r="E769" s="124"/>
      <c r="F769" s="124"/>
      <c r="G769" s="124"/>
      <c r="H769" s="124"/>
      <c r="I769" s="124"/>
      <c r="J769" s="124"/>
      <c r="K769" s="124"/>
    </row>
    <row r="770" ht="15.75" customHeight="1">
      <c r="E770" s="124"/>
      <c r="F770" s="124"/>
      <c r="G770" s="124"/>
      <c r="H770" s="124"/>
      <c r="I770" s="124"/>
      <c r="J770" s="124"/>
      <c r="K770" s="124"/>
    </row>
    <row r="771" ht="15.75" customHeight="1">
      <c r="E771" s="124"/>
      <c r="F771" s="124"/>
      <c r="G771" s="124"/>
      <c r="H771" s="124"/>
      <c r="I771" s="124"/>
      <c r="J771" s="124"/>
      <c r="K771" s="124"/>
    </row>
    <row r="772" ht="15.75" customHeight="1">
      <c r="E772" s="124"/>
      <c r="F772" s="124"/>
      <c r="G772" s="124"/>
      <c r="H772" s="124"/>
      <c r="I772" s="124"/>
      <c r="J772" s="124"/>
      <c r="K772" s="124"/>
    </row>
    <row r="773" ht="15.75" customHeight="1">
      <c r="E773" s="124"/>
      <c r="F773" s="124"/>
      <c r="G773" s="124"/>
      <c r="H773" s="124"/>
      <c r="I773" s="124"/>
      <c r="J773" s="124"/>
      <c r="K773" s="124"/>
    </row>
    <row r="774" ht="15.75" customHeight="1">
      <c r="E774" s="124"/>
      <c r="F774" s="124"/>
      <c r="G774" s="124"/>
      <c r="H774" s="124"/>
      <c r="I774" s="124"/>
      <c r="J774" s="124"/>
      <c r="K774" s="124"/>
    </row>
    <row r="775" ht="15.75" customHeight="1">
      <c r="E775" s="124"/>
      <c r="F775" s="124"/>
      <c r="G775" s="124"/>
      <c r="H775" s="124"/>
      <c r="I775" s="124"/>
      <c r="J775" s="124"/>
      <c r="K775" s="124"/>
    </row>
    <row r="776" ht="15.75" customHeight="1">
      <c r="E776" s="124"/>
      <c r="F776" s="124"/>
      <c r="G776" s="124"/>
      <c r="H776" s="124"/>
      <c r="I776" s="124"/>
      <c r="J776" s="124"/>
      <c r="K776" s="124"/>
    </row>
    <row r="777" ht="15.75" customHeight="1">
      <c r="E777" s="124"/>
      <c r="F777" s="124"/>
      <c r="G777" s="124"/>
      <c r="H777" s="124"/>
      <c r="I777" s="124"/>
      <c r="J777" s="124"/>
      <c r="K777" s="124"/>
    </row>
    <row r="778" ht="15.75" customHeight="1">
      <c r="E778" s="124"/>
      <c r="F778" s="124"/>
      <c r="G778" s="124"/>
      <c r="H778" s="124"/>
      <c r="I778" s="124"/>
      <c r="J778" s="124"/>
      <c r="K778" s="124"/>
    </row>
    <row r="779" ht="15.75" customHeight="1">
      <c r="E779" s="124"/>
      <c r="F779" s="124"/>
      <c r="G779" s="124"/>
      <c r="H779" s="124"/>
      <c r="I779" s="124"/>
      <c r="J779" s="124"/>
      <c r="K779" s="124"/>
    </row>
    <row r="780" ht="15.75" customHeight="1">
      <c r="E780" s="124"/>
      <c r="F780" s="124"/>
      <c r="G780" s="124"/>
      <c r="H780" s="124"/>
      <c r="I780" s="124"/>
      <c r="J780" s="124"/>
      <c r="K780" s="124"/>
    </row>
    <row r="781" ht="15.75" customHeight="1">
      <c r="E781" s="124"/>
      <c r="F781" s="124"/>
      <c r="G781" s="124"/>
      <c r="H781" s="124"/>
      <c r="I781" s="124"/>
      <c r="J781" s="124"/>
      <c r="K781" s="124"/>
    </row>
    <row r="782" ht="15.75" customHeight="1">
      <c r="E782" s="124"/>
      <c r="F782" s="124"/>
      <c r="G782" s="124"/>
      <c r="H782" s="124"/>
      <c r="I782" s="124"/>
      <c r="J782" s="124"/>
      <c r="K782" s="124"/>
    </row>
    <row r="783" ht="15.75" customHeight="1">
      <c r="E783" s="124"/>
      <c r="F783" s="124"/>
      <c r="G783" s="124"/>
      <c r="H783" s="124"/>
      <c r="I783" s="124"/>
      <c r="J783" s="124"/>
      <c r="K783" s="124"/>
    </row>
    <row r="784" ht="15.75" customHeight="1">
      <c r="E784" s="124"/>
      <c r="F784" s="124"/>
      <c r="G784" s="124"/>
      <c r="H784" s="124"/>
      <c r="I784" s="124"/>
      <c r="J784" s="124"/>
      <c r="K784" s="124"/>
    </row>
    <row r="785" ht="15.75" customHeight="1">
      <c r="E785" s="124"/>
      <c r="F785" s="124"/>
      <c r="G785" s="124"/>
      <c r="H785" s="124"/>
      <c r="I785" s="124"/>
      <c r="J785" s="124"/>
      <c r="K785" s="124"/>
    </row>
    <row r="786" ht="15.75" customHeight="1">
      <c r="E786" s="124"/>
      <c r="F786" s="124"/>
      <c r="G786" s="124"/>
      <c r="H786" s="124"/>
      <c r="I786" s="124"/>
      <c r="J786" s="124"/>
      <c r="K786" s="124"/>
    </row>
    <row r="787" ht="15.75" customHeight="1">
      <c r="E787" s="124"/>
      <c r="F787" s="124"/>
      <c r="G787" s="124"/>
      <c r="H787" s="124"/>
      <c r="I787" s="124"/>
      <c r="J787" s="124"/>
      <c r="K787" s="124"/>
    </row>
    <row r="788" ht="15.75" customHeight="1">
      <c r="E788" s="124"/>
      <c r="F788" s="124"/>
      <c r="G788" s="124"/>
      <c r="H788" s="124"/>
      <c r="I788" s="124"/>
      <c r="J788" s="124"/>
      <c r="K788" s="124"/>
    </row>
    <row r="789" ht="15.75" customHeight="1">
      <c r="E789" s="124"/>
      <c r="F789" s="124"/>
      <c r="G789" s="124"/>
      <c r="H789" s="124"/>
      <c r="I789" s="124"/>
      <c r="J789" s="124"/>
      <c r="K789" s="124"/>
    </row>
    <row r="790" ht="15.75" customHeight="1">
      <c r="E790" s="124"/>
      <c r="F790" s="124"/>
      <c r="G790" s="124"/>
      <c r="H790" s="124"/>
      <c r="I790" s="124"/>
      <c r="J790" s="124"/>
      <c r="K790" s="124"/>
    </row>
    <row r="791" ht="15.75" customHeight="1">
      <c r="E791" s="124"/>
      <c r="F791" s="124"/>
      <c r="G791" s="124"/>
      <c r="H791" s="124"/>
      <c r="I791" s="124"/>
      <c r="J791" s="124"/>
      <c r="K791" s="124"/>
    </row>
    <row r="792" ht="15.75" customHeight="1">
      <c r="E792" s="124"/>
      <c r="F792" s="124"/>
      <c r="G792" s="124"/>
      <c r="H792" s="124"/>
      <c r="I792" s="124"/>
      <c r="J792" s="124"/>
      <c r="K792" s="124"/>
    </row>
    <row r="793" ht="15.75" customHeight="1">
      <c r="E793" s="124"/>
      <c r="F793" s="124"/>
      <c r="G793" s="124"/>
      <c r="H793" s="124"/>
      <c r="I793" s="124"/>
      <c r="J793" s="124"/>
      <c r="K793" s="124"/>
    </row>
    <row r="794" ht="15.75" customHeight="1">
      <c r="E794" s="124"/>
      <c r="F794" s="124"/>
      <c r="G794" s="124"/>
      <c r="H794" s="124"/>
      <c r="I794" s="124"/>
      <c r="J794" s="124"/>
      <c r="K794" s="124"/>
    </row>
    <row r="795" ht="15.75" customHeight="1">
      <c r="E795" s="124"/>
      <c r="F795" s="124"/>
      <c r="G795" s="124"/>
      <c r="H795" s="124"/>
      <c r="I795" s="124"/>
      <c r="J795" s="124"/>
      <c r="K795" s="124"/>
    </row>
    <row r="796" ht="15.75" customHeight="1">
      <c r="E796" s="124"/>
      <c r="F796" s="124"/>
      <c r="G796" s="124"/>
      <c r="H796" s="124"/>
      <c r="I796" s="124"/>
      <c r="J796" s="124"/>
      <c r="K796" s="124"/>
    </row>
    <row r="797" ht="15.75" customHeight="1">
      <c r="E797" s="124"/>
      <c r="F797" s="124"/>
      <c r="G797" s="124"/>
      <c r="H797" s="124"/>
      <c r="I797" s="124"/>
      <c r="J797" s="124"/>
      <c r="K797" s="124"/>
    </row>
    <row r="798" ht="15.75" customHeight="1">
      <c r="E798" s="124"/>
      <c r="F798" s="124"/>
      <c r="G798" s="124"/>
      <c r="H798" s="124"/>
      <c r="I798" s="124"/>
      <c r="J798" s="124"/>
      <c r="K798" s="124"/>
    </row>
    <row r="799" ht="15.75" customHeight="1">
      <c r="E799" s="124"/>
      <c r="F799" s="124"/>
      <c r="G799" s="124"/>
      <c r="H799" s="124"/>
      <c r="I799" s="124"/>
      <c r="J799" s="124"/>
      <c r="K799" s="124"/>
    </row>
    <row r="800" ht="15.75" customHeight="1">
      <c r="E800" s="124"/>
      <c r="F800" s="124"/>
      <c r="G800" s="124"/>
      <c r="H800" s="124"/>
      <c r="I800" s="124"/>
      <c r="J800" s="124"/>
      <c r="K800" s="124"/>
    </row>
    <row r="801" ht="15.75" customHeight="1">
      <c r="E801" s="124"/>
      <c r="F801" s="124"/>
      <c r="G801" s="124"/>
      <c r="H801" s="124"/>
      <c r="I801" s="124"/>
      <c r="J801" s="124"/>
      <c r="K801" s="124"/>
    </row>
    <row r="802" ht="15.75" customHeight="1">
      <c r="E802" s="124"/>
      <c r="F802" s="124"/>
      <c r="G802" s="124"/>
      <c r="H802" s="124"/>
      <c r="I802" s="124"/>
      <c r="J802" s="124"/>
      <c r="K802" s="124"/>
    </row>
    <row r="803" ht="15.75" customHeight="1">
      <c r="E803" s="124"/>
      <c r="F803" s="124"/>
      <c r="G803" s="124"/>
      <c r="H803" s="124"/>
      <c r="I803" s="124"/>
      <c r="J803" s="124"/>
      <c r="K803" s="124"/>
    </row>
    <row r="804" ht="15.75" customHeight="1">
      <c r="E804" s="124"/>
      <c r="F804" s="124"/>
      <c r="G804" s="124"/>
      <c r="H804" s="124"/>
      <c r="I804" s="124"/>
      <c r="J804" s="124"/>
      <c r="K804" s="124"/>
    </row>
    <row r="805" ht="15.75" customHeight="1">
      <c r="E805" s="124"/>
      <c r="F805" s="124"/>
      <c r="G805" s="124"/>
      <c r="H805" s="124"/>
      <c r="I805" s="124"/>
      <c r="J805" s="124"/>
      <c r="K805" s="124"/>
    </row>
    <row r="806" ht="15.75" customHeight="1">
      <c r="E806" s="124"/>
      <c r="F806" s="124"/>
      <c r="G806" s="124"/>
      <c r="H806" s="124"/>
      <c r="I806" s="124"/>
      <c r="J806" s="124"/>
      <c r="K806" s="124"/>
    </row>
    <row r="807" ht="15.75" customHeight="1">
      <c r="E807" s="124"/>
      <c r="F807" s="124"/>
      <c r="G807" s="124"/>
      <c r="H807" s="124"/>
      <c r="I807" s="124"/>
      <c r="J807" s="124"/>
      <c r="K807" s="124"/>
    </row>
    <row r="808" ht="15.75" customHeight="1">
      <c r="E808" s="124"/>
      <c r="F808" s="124"/>
      <c r="G808" s="124"/>
      <c r="H808" s="124"/>
      <c r="I808" s="124"/>
      <c r="J808" s="124"/>
      <c r="K808" s="124"/>
    </row>
    <row r="809" ht="15.75" customHeight="1">
      <c r="E809" s="124"/>
      <c r="F809" s="124"/>
      <c r="G809" s="124"/>
      <c r="H809" s="124"/>
      <c r="I809" s="124"/>
      <c r="J809" s="124"/>
      <c r="K809" s="124"/>
    </row>
    <row r="810" ht="15.75" customHeight="1">
      <c r="E810" s="124"/>
      <c r="F810" s="124"/>
      <c r="G810" s="124"/>
      <c r="H810" s="124"/>
      <c r="I810" s="124"/>
      <c r="J810" s="124"/>
      <c r="K810" s="124"/>
    </row>
    <row r="811" ht="15.75" customHeight="1">
      <c r="E811" s="124"/>
      <c r="F811" s="124"/>
      <c r="G811" s="124"/>
      <c r="H811" s="124"/>
      <c r="I811" s="124"/>
      <c r="J811" s="124"/>
      <c r="K811" s="124"/>
    </row>
    <row r="812" ht="15.75" customHeight="1">
      <c r="E812" s="124"/>
      <c r="F812" s="124"/>
      <c r="G812" s="124"/>
      <c r="H812" s="124"/>
      <c r="I812" s="124"/>
      <c r="J812" s="124"/>
      <c r="K812" s="124"/>
    </row>
    <row r="813" ht="15.75" customHeight="1">
      <c r="E813" s="124"/>
      <c r="F813" s="124"/>
      <c r="G813" s="124"/>
      <c r="H813" s="124"/>
      <c r="I813" s="124"/>
      <c r="J813" s="124"/>
      <c r="K813" s="124"/>
    </row>
    <row r="814" ht="15.75" customHeight="1">
      <c r="E814" s="124"/>
      <c r="F814" s="124"/>
      <c r="G814" s="124"/>
      <c r="H814" s="124"/>
      <c r="I814" s="124"/>
      <c r="J814" s="124"/>
      <c r="K814" s="124"/>
    </row>
    <row r="815" ht="15.75" customHeight="1">
      <c r="E815" s="124"/>
      <c r="F815" s="124"/>
      <c r="G815" s="124"/>
      <c r="H815" s="124"/>
      <c r="I815" s="124"/>
      <c r="J815" s="124"/>
      <c r="K815" s="124"/>
    </row>
    <row r="816" ht="15.75" customHeight="1">
      <c r="E816" s="124"/>
      <c r="F816" s="124"/>
      <c r="G816" s="124"/>
      <c r="H816" s="124"/>
      <c r="I816" s="124"/>
      <c r="J816" s="124"/>
      <c r="K816" s="124"/>
    </row>
    <row r="817" ht="15.75" customHeight="1">
      <c r="E817" s="124"/>
      <c r="F817" s="124"/>
      <c r="G817" s="124"/>
      <c r="H817" s="124"/>
      <c r="I817" s="124"/>
      <c r="J817" s="124"/>
      <c r="K817" s="124"/>
    </row>
    <row r="818" ht="15.75" customHeight="1">
      <c r="E818" s="124"/>
      <c r="F818" s="124"/>
      <c r="G818" s="124"/>
      <c r="H818" s="124"/>
      <c r="I818" s="124"/>
      <c r="J818" s="124"/>
      <c r="K818" s="124"/>
    </row>
    <row r="819" ht="15.75" customHeight="1">
      <c r="E819" s="124"/>
      <c r="F819" s="124"/>
      <c r="G819" s="124"/>
      <c r="H819" s="124"/>
      <c r="I819" s="124"/>
      <c r="J819" s="124"/>
      <c r="K819" s="124"/>
    </row>
    <row r="820" ht="15.75" customHeight="1">
      <c r="E820" s="124"/>
      <c r="F820" s="124"/>
      <c r="G820" s="124"/>
      <c r="H820" s="124"/>
      <c r="I820" s="124"/>
      <c r="J820" s="124"/>
      <c r="K820" s="124"/>
    </row>
    <row r="821" ht="15.75" customHeight="1">
      <c r="E821" s="124"/>
      <c r="F821" s="124"/>
      <c r="G821" s="124"/>
      <c r="H821" s="124"/>
      <c r="I821" s="124"/>
      <c r="J821" s="124"/>
      <c r="K821" s="124"/>
    </row>
    <row r="822" ht="15.75" customHeight="1">
      <c r="E822" s="124"/>
      <c r="F822" s="124"/>
      <c r="G822" s="124"/>
      <c r="H822" s="124"/>
      <c r="I822" s="124"/>
      <c r="J822" s="124"/>
      <c r="K822" s="124"/>
    </row>
    <row r="823" ht="15.75" customHeight="1">
      <c r="E823" s="124"/>
      <c r="F823" s="124"/>
      <c r="G823" s="124"/>
      <c r="H823" s="124"/>
      <c r="I823" s="124"/>
      <c r="J823" s="124"/>
      <c r="K823" s="124"/>
    </row>
    <row r="824" ht="15.75" customHeight="1">
      <c r="E824" s="124"/>
      <c r="F824" s="124"/>
      <c r="G824" s="124"/>
      <c r="H824" s="124"/>
      <c r="I824" s="124"/>
      <c r="J824" s="124"/>
      <c r="K824" s="124"/>
    </row>
    <row r="825" ht="15.75" customHeight="1">
      <c r="E825" s="124"/>
      <c r="F825" s="124"/>
      <c r="G825" s="124"/>
      <c r="H825" s="124"/>
      <c r="I825" s="124"/>
      <c r="J825" s="124"/>
      <c r="K825" s="124"/>
    </row>
    <row r="826" ht="15.75" customHeight="1">
      <c r="E826" s="124"/>
      <c r="F826" s="124"/>
      <c r="G826" s="124"/>
      <c r="H826" s="124"/>
      <c r="I826" s="124"/>
      <c r="J826" s="124"/>
      <c r="K826" s="124"/>
    </row>
    <row r="827" ht="15.75" customHeight="1">
      <c r="E827" s="124"/>
      <c r="F827" s="124"/>
      <c r="G827" s="124"/>
      <c r="H827" s="124"/>
      <c r="I827" s="124"/>
      <c r="J827" s="124"/>
      <c r="K827" s="124"/>
    </row>
    <row r="828" ht="15.75" customHeight="1">
      <c r="E828" s="124"/>
      <c r="F828" s="124"/>
      <c r="G828" s="124"/>
      <c r="H828" s="124"/>
      <c r="I828" s="124"/>
      <c r="J828" s="124"/>
      <c r="K828" s="124"/>
    </row>
    <row r="829" ht="15.75" customHeight="1">
      <c r="E829" s="124"/>
      <c r="F829" s="124"/>
      <c r="G829" s="124"/>
      <c r="H829" s="124"/>
      <c r="I829" s="124"/>
      <c r="J829" s="124"/>
      <c r="K829" s="124"/>
    </row>
    <row r="830" ht="15.75" customHeight="1">
      <c r="E830" s="124"/>
      <c r="F830" s="124"/>
      <c r="G830" s="124"/>
      <c r="H830" s="124"/>
      <c r="I830" s="124"/>
      <c r="J830" s="124"/>
      <c r="K830" s="124"/>
    </row>
    <row r="831" ht="15.75" customHeight="1">
      <c r="E831" s="124"/>
      <c r="F831" s="124"/>
      <c r="G831" s="124"/>
      <c r="H831" s="124"/>
      <c r="I831" s="124"/>
      <c r="J831" s="124"/>
      <c r="K831" s="124"/>
    </row>
    <row r="832" ht="15.75" customHeight="1">
      <c r="E832" s="124"/>
      <c r="F832" s="124"/>
      <c r="G832" s="124"/>
      <c r="H832" s="124"/>
      <c r="I832" s="124"/>
      <c r="J832" s="124"/>
      <c r="K832" s="124"/>
    </row>
    <row r="833" ht="15.75" customHeight="1">
      <c r="E833" s="124"/>
      <c r="F833" s="124"/>
      <c r="G833" s="124"/>
      <c r="H833" s="124"/>
      <c r="I833" s="124"/>
      <c r="J833" s="124"/>
      <c r="K833" s="124"/>
    </row>
    <row r="834" ht="15.75" customHeight="1">
      <c r="E834" s="124"/>
      <c r="F834" s="124"/>
      <c r="G834" s="124"/>
      <c r="H834" s="124"/>
      <c r="I834" s="124"/>
      <c r="J834" s="124"/>
      <c r="K834" s="124"/>
    </row>
    <row r="835" ht="15.75" customHeight="1">
      <c r="E835" s="124"/>
      <c r="F835" s="124"/>
      <c r="G835" s="124"/>
      <c r="H835" s="124"/>
      <c r="I835" s="124"/>
      <c r="J835" s="124"/>
      <c r="K835" s="124"/>
    </row>
    <row r="836" ht="15.75" customHeight="1">
      <c r="E836" s="124"/>
      <c r="F836" s="124"/>
      <c r="G836" s="124"/>
      <c r="H836" s="124"/>
      <c r="I836" s="124"/>
      <c r="J836" s="124"/>
      <c r="K836" s="124"/>
    </row>
    <row r="837" ht="15.75" customHeight="1">
      <c r="E837" s="124"/>
      <c r="F837" s="124"/>
      <c r="G837" s="124"/>
      <c r="H837" s="124"/>
      <c r="I837" s="124"/>
      <c r="J837" s="124"/>
      <c r="K837" s="124"/>
    </row>
    <row r="838" ht="15.75" customHeight="1">
      <c r="E838" s="124"/>
      <c r="F838" s="124"/>
      <c r="G838" s="124"/>
      <c r="H838" s="124"/>
      <c r="I838" s="124"/>
      <c r="J838" s="124"/>
      <c r="K838" s="124"/>
    </row>
    <row r="839" ht="15.75" customHeight="1">
      <c r="E839" s="124"/>
      <c r="F839" s="124"/>
      <c r="G839" s="124"/>
      <c r="H839" s="124"/>
      <c r="I839" s="124"/>
      <c r="J839" s="124"/>
      <c r="K839" s="124"/>
    </row>
    <row r="840" ht="15.75" customHeight="1">
      <c r="E840" s="124"/>
      <c r="F840" s="124"/>
      <c r="G840" s="124"/>
      <c r="H840" s="124"/>
      <c r="I840" s="124"/>
      <c r="J840" s="124"/>
      <c r="K840" s="124"/>
    </row>
    <row r="841" ht="15.75" customHeight="1">
      <c r="E841" s="124"/>
      <c r="F841" s="124"/>
      <c r="G841" s="124"/>
      <c r="H841" s="124"/>
      <c r="I841" s="124"/>
      <c r="J841" s="124"/>
      <c r="K841" s="124"/>
    </row>
    <row r="842" ht="15.75" customHeight="1">
      <c r="E842" s="124"/>
      <c r="F842" s="124"/>
      <c r="G842" s="124"/>
      <c r="H842" s="124"/>
      <c r="I842" s="124"/>
      <c r="J842" s="124"/>
      <c r="K842" s="124"/>
    </row>
    <row r="843" ht="15.75" customHeight="1">
      <c r="E843" s="124"/>
      <c r="F843" s="124"/>
      <c r="G843" s="124"/>
      <c r="H843" s="124"/>
      <c r="I843" s="124"/>
      <c r="J843" s="124"/>
      <c r="K843" s="124"/>
    </row>
    <row r="844" ht="15.75" customHeight="1">
      <c r="E844" s="124"/>
      <c r="F844" s="124"/>
      <c r="G844" s="124"/>
      <c r="H844" s="124"/>
      <c r="I844" s="124"/>
      <c r="J844" s="124"/>
      <c r="K844" s="124"/>
    </row>
    <row r="845" ht="15.75" customHeight="1">
      <c r="E845" s="124"/>
      <c r="F845" s="124"/>
      <c r="G845" s="124"/>
      <c r="H845" s="124"/>
      <c r="I845" s="124"/>
      <c r="J845" s="124"/>
      <c r="K845" s="124"/>
    </row>
    <row r="846" ht="15.75" customHeight="1">
      <c r="E846" s="124"/>
      <c r="F846" s="124"/>
      <c r="G846" s="124"/>
      <c r="H846" s="124"/>
      <c r="I846" s="124"/>
      <c r="J846" s="124"/>
      <c r="K846" s="124"/>
    </row>
    <row r="847" ht="15.75" customHeight="1">
      <c r="E847" s="124"/>
      <c r="F847" s="124"/>
      <c r="G847" s="124"/>
      <c r="H847" s="124"/>
      <c r="I847" s="124"/>
      <c r="J847" s="124"/>
      <c r="K847" s="124"/>
    </row>
    <row r="848" ht="15.75" customHeight="1">
      <c r="E848" s="124"/>
      <c r="F848" s="124"/>
      <c r="G848" s="124"/>
      <c r="H848" s="124"/>
      <c r="I848" s="124"/>
      <c r="J848" s="124"/>
      <c r="K848" s="124"/>
    </row>
    <row r="849" ht="15.75" customHeight="1">
      <c r="E849" s="124"/>
      <c r="F849" s="124"/>
      <c r="G849" s="124"/>
      <c r="H849" s="124"/>
      <c r="I849" s="124"/>
      <c r="J849" s="124"/>
      <c r="K849" s="124"/>
    </row>
    <row r="850" ht="15.75" customHeight="1">
      <c r="E850" s="124"/>
      <c r="F850" s="124"/>
      <c r="G850" s="124"/>
      <c r="H850" s="124"/>
      <c r="I850" s="124"/>
      <c r="J850" s="124"/>
      <c r="K850" s="124"/>
    </row>
    <row r="851" ht="15.75" customHeight="1">
      <c r="E851" s="124"/>
      <c r="F851" s="124"/>
      <c r="G851" s="124"/>
      <c r="H851" s="124"/>
      <c r="I851" s="124"/>
      <c r="J851" s="124"/>
      <c r="K851" s="124"/>
    </row>
    <row r="852" ht="15.75" customHeight="1">
      <c r="E852" s="124"/>
      <c r="F852" s="124"/>
      <c r="G852" s="124"/>
      <c r="H852" s="124"/>
      <c r="I852" s="124"/>
      <c r="J852" s="124"/>
      <c r="K852" s="124"/>
    </row>
    <row r="853" ht="15.75" customHeight="1">
      <c r="E853" s="124"/>
      <c r="F853" s="124"/>
      <c r="G853" s="124"/>
      <c r="H853" s="124"/>
      <c r="I853" s="124"/>
      <c r="J853" s="124"/>
      <c r="K853" s="124"/>
    </row>
    <row r="854" ht="15.75" customHeight="1">
      <c r="E854" s="124"/>
      <c r="F854" s="124"/>
      <c r="G854" s="124"/>
      <c r="H854" s="124"/>
      <c r="I854" s="124"/>
      <c r="J854" s="124"/>
      <c r="K854" s="124"/>
    </row>
    <row r="855" ht="15.75" customHeight="1">
      <c r="E855" s="124"/>
      <c r="F855" s="124"/>
      <c r="G855" s="124"/>
      <c r="H855" s="124"/>
      <c r="I855" s="124"/>
      <c r="J855" s="124"/>
      <c r="K855" s="124"/>
    </row>
    <row r="856" ht="15.75" customHeight="1">
      <c r="E856" s="124"/>
      <c r="F856" s="124"/>
      <c r="G856" s="124"/>
      <c r="H856" s="124"/>
      <c r="I856" s="124"/>
      <c r="J856" s="124"/>
      <c r="K856" s="124"/>
    </row>
    <row r="857" ht="15.75" customHeight="1">
      <c r="E857" s="124"/>
      <c r="F857" s="124"/>
      <c r="G857" s="124"/>
      <c r="H857" s="124"/>
      <c r="I857" s="124"/>
      <c r="J857" s="124"/>
      <c r="K857" s="124"/>
    </row>
    <row r="858" ht="15.75" customHeight="1">
      <c r="E858" s="124"/>
      <c r="F858" s="124"/>
      <c r="G858" s="124"/>
      <c r="H858" s="124"/>
      <c r="I858" s="124"/>
      <c r="J858" s="124"/>
      <c r="K858" s="124"/>
    </row>
    <row r="859" ht="15.75" customHeight="1">
      <c r="E859" s="124"/>
      <c r="F859" s="124"/>
      <c r="G859" s="124"/>
      <c r="H859" s="124"/>
      <c r="I859" s="124"/>
      <c r="J859" s="124"/>
      <c r="K859" s="124"/>
    </row>
    <row r="860" ht="15.75" customHeight="1">
      <c r="E860" s="124"/>
      <c r="F860" s="124"/>
      <c r="G860" s="124"/>
      <c r="H860" s="124"/>
      <c r="I860" s="124"/>
      <c r="J860" s="124"/>
      <c r="K860" s="124"/>
    </row>
    <row r="861" ht="15.75" customHeight="1">
      <c r="E861" s="124"/>
      <c r="F861" s="124"/>
      <c r="G861" s="124"/>
      <c r="H861" s="124"/>
      <c r="I861" s="124"/>
      <c r="J861" s="124"/>
      <c r="K861" s="124"/>
    </row>
    <row r="862" ht="15.75" customHeight="1">
      <c r="E862" s="124"/>
      <c r="F862" s="124"/>
      <c r="G862" s="124"/>
      <c r="H862" s="124"/>
      <c r="I862" s="124"/>
      <c r="J862" s="124"/>
      <c r="K862" s="124"/>
    </row>
    <row r="863" ht="15.75" customHeight="1">
      <c r="E863" s="124"/>
      <c r="F863" s="124"/>
      <c r="G863" s="124"/>
      <c r="H863" s="124"/>
      <c r="I863" s="124"/>
      <c r="J863" s="124"/>
      <c r="K863" s="124"/>
    </row>
    <row r="864" ht="15.75" customHeight="1">
      <c r="E864" s="124"/>
      <c r="F864" s="124"/>
      <c r="G864" s="124"/>
      <c r="H864" s="124"/>
      <c r="I864" s="124"/>
      <c r="J864" s="124"/>
      <c r="K864" s="124"/>
    </row>
    <row r="865" ht="15.75" customHeight="1">
      <c r="E865" s="124"/>
      <c r="F865" s="124"/>
      <c r="G865" s="124"/>
      <c r="H865" s="124"/>
      <c r="I865" s="124"/>
      <c r="J865" s="124"/>
      <c r="K865" s="124"/>
    </row>
    <row r="866" ht="15.75" customHeight="1">
      <c r="E866" s="124"/>
      <c r="F866" s="124"/>
      <c r="G866" s="124"/>
      <c r="H866" s="124"/>
      <c r="I866" s="124"/>
      <c r="J866" s="124"/>
      <c r="K866" s="124"/>
    </row>
    <row r="867" ht="15.75" customHeight="1">
      <c r="E867" s="124"/>
      <c r="F867" s="124"/>
      <c r="G867" s="124"/>
      <c r="H867" s="124"/>
      <c r="I867" s="124"/>
      <c r="J867" s="124"/>
      <c r="K867" s="124"/>
    </row>
    <row r="868" ht="15.75" customHeight="1">
      <c r="E868" s="124"/>
      <c r="F868" s="124"/>
      <c r="G868" s="124"/>
      <c r="H868" s="124"/>
      <c r="I868" s="124"/>
      <c r="J868" s="124"/>
      <c r="K868" s="124"/>
    </row>
    <row r="869" ht="15.75" customHeight="1">
      <c r="E869" s="124"/>
      <c r="F869" s="124"/>
      <c r="G869" s="124"/>
      <c r="H869" s="124"/>
      <c r="I869" s="124"/>
      <c r="J869" s="124"/>
      <c r="K869" s="124"/>
    </row>
    <row r="870" ht="15.75" customHeight="1">
      <c r="E870" s="124"/>
      <c r="F870" s="124"/>
      <c r="G870" s="124"/>
      <c r="H870" s="124"/>
      <c r="I870" s="124"/>
      <c r="J870" s="124"/>
      <c r="K870" s="124"/>
    </row>
    <row r="871" ht="15.75" customHeight="1">
      <c r="E871" s="124"/>
      <c r="F871" s="124"/>
      <c r="G871" s="124"/>
      <c r="H871" s="124"/>
      <c r="I871" s="124"/>
      <c r="J871" s="124"/>
      <c r="K871" s="124"/>
    </row>
    <row r="872" ht="15.75" customHeight="1">
      <c r="E872" s="124"/>
      <c r="F872" s="124"/>
      <c r="G872" s="124"/>
      <c r="H872" s="124"/>
      <c r="I872" s="124"/>
      <c r="J872" s="124"/>
      <c r="K872" s="124"/>
    </row>
    <row r="873" ht="15.75" customHeight="1">
      <c r="E873" s="124"/>
      <c r="F873" s="124"/>
      <c r="G873" s="124"/>
      <c r="H873" s="124"/>
      <c r="I873" s="124"/>
      <c r="J873" s="124"/>
      <c r="K873" s="124"/>
    </row>
    <row r="874" ht="15.75" customHeight="1">
      <c r="E874" s="124"/>
      <c r="F874" s="124"/>
      <c r="G874" s="124"/>
      <c r="H874" s="124"/>
      <c r="I874" s="124"/>
      <c r="J874" s="124"/>
      <c r="K874" s="124"/>
    </row>
    <row r="875" ht="15.75" customHeight="1">
      <c r="E875" s="124"/>
      <c r="F875" s="124"/>
      <c r="G875" s="124"/>
      <c r="H875" s="124"/>
      <c r="I875" s="124"/>
      <c r="J875" s="124"/>
      <c r="K875" s="124"/>
    </row>
    <row r="876" ht="15.75" customHeight="1">
      <c r="E876" s="124"/>
      <c r="F876" s="124"/>
      <c r="G876" s="124"/>
      <c r="H876" s="124"/>
      <c r="I876" s="124"/>
      <c r="J876" s="124"/>
      <c r="K876" s="124"/>
    </row>
    <row r="877" ht="15.75" customHeight="1">
      <c r="E877" s="124"/>
      <c r="F877" s="124"/>
      <c r="G877" s="124"/>
      <c r="H877" s="124"/>
      <c r="I877" s="124"/>
      <c r="J877" s="124"/>
      <c r="K877" s="124"/>
    </row>
    <row r="878" ht="15.75" customHeight="1">
      <c r="E878" s="124"/>
      <c r="F878" s="124"/>
      <c r="G878" s="124"/>
      <c r="H878" s="124"/>
      <c r="I878" s="124"/>
      <c r="J878" s="124"/>
      <c r="K878" s="124"/>
    </row>
    <row r="879" ht="15.75" customHeight="1">
      <c r="E879" s="124"/>
      <c r="F879" s="124"/>
      <c r="G879" s="124"/>
      <c r="H879" s="124"/>
      <c r="I879" s="124"/>
      <c r="J879" s="124"/>
      <c r="K879" s="124"/>
    </row>
    <row r="880" ht="15.75" customHeight="1">
      <c r="E880" s="124"/>
      <c r="F880" s="124"/>
      <c r="G880" s="124"/>
      <c r="H880" s="124"/>
      <c r="I880" s="124"/>
      <c r="J880" s="124"/>
      <c r="K880" s="124"/>
    </row>
    <row r="881" ht="15.75" customHeight="1">
      <c r="E881" s="124"/>
      <c r="F881" s="124"/>
      <c r="G881" s="124"/>
      <c r="H881" s="124"/>
      <c r="I881" s="124"/>
      <c r="J881" s="124"/>
      <c r="K881" s="124"/>
    </row>
    <row r="882" ht="15.75" customHeight="1">
      <c r="E882" s="124"/>
      <c r="F882" s="124"/>
      <c r="G882" s="124"/>
      <c r="H882" s="124"/>
      <c r="I882" s="124"/>
      <c r="J882" s="124"/>
      <c r="K882" s="124"/>
    </row>
    <row r="883" ht="15.75" customHeight="1">
      <c r="E883" s="124"/>
      <c r="F883" s="124"/>
      <c r="G883" s="124"/>
      <c r="H883" s="124"/>
      <c r="I883" s="124"/>
      <c r="J883" s="124"/>
      <c r="K883" s="124"/>
    </row>
    <row r="884" ht="15.75" customHeight="1">
      <c r="E884" s="124"/>
      <c r="F884" s="124"/>
      <c r="G884" s="124"/>
      <c r="H884" s="124"/>
      <c r="I884" s="124"/>
      <c r="J884" s="124"/>
      <c r="K884" s="124"/>
    </row>
    <row r="885" ht="15.75" customHeight="1">
      <c r="E885" s="124"/>
      <c r="F885" s="124"/>
      <c r="G885" s="124"/>
      <c r="H885" s="124"/>
      <c r="I885" s="124"/>
      <c r="J885" s="124"/>
      <c r="K885" s="124"/>
    </row>
    <row r="886" ht="15.75" customHeight="1">
      <c r="E886" s="124"/>
      <c r="F886" s="124"/>
      <c r="G886" s="124"/>
      <c r="H886" s="124"/>
      <c r="I886" s="124"/>
      <c r="J886" s="124"/>
      <c r="K886" s="124"/>
    </row>
    <row r="887" ht="15.75" customHeight="1">
      <c r="E887" s="124"/>
      <c r="F887" s="124"/>
      <c r="G887" s="124"/>
      <c r="H887" s="124"/>
      <c r="I887" s="124"/>
      <c r="J887" s="124"/>
      <c r="K887" s="124"/>
    </row>
    <row r="888" ht="15.75" customHeight="1">
      <c r="E888" s="124"/>
      <c r="F888" s="124"/>
      <c r="G888" s="124"/>
      <c r="H888" s="124"/>
      <c r="I888" s="124"/>
      <c r="J888" s="124"/>
      <c r="K888" s="124"/>
    </row>
    <row r="889" ht="15.75" customHeight="1">
      <c r="E889" s="124"/>
      <c r="F889" s="124"/>
      <c r="G889" s="124"/>
      <c r="H889" s="124"/>
      <c r="I889" s="124"/>
      <c r="J889" s="124"/>
      <c r="K889" s="124"/>
    </row>
    <row r="890" ht="15.75" customHeight="1">
      <c r="E890" s="124"/>
      <c r="F890" s="124"/>
      <c r="G890" s="124"/>
      <c r="H890" s="124"/>
      <c r="I890" s="124"/>
      <c r="J890" s="124"/>
      <c r="K890" s="124"/>
    </row>
    <row r="891" ht="15.75" customHeight="1">
      <c r="E891" s="124"/>
      <c r="F891" s="124"/>
      <c r="G891" s="124"/>
      <c r="H891" s="124"/>
      <c r="I891" s="124"/>
      <c r="J891" s="124"/>
      <c r="K891" s="124"/>
    </row>
    <row r="892" ht="15.75" customHeight="1">
      <c r="E892" s="124"/>
      <c r="F892" s="124"/>
      <c r="G892" s="124"/>
      <c r="H892" s="124"/>
      <c r="I892" s="124"/>
      <c r="J892" s="124"/>
      <c r="K892" s="124"/>
    </row>
    <row r="893" ht="15.75" customHeight="1">
      <c r="E893" s="124"/>
      <c r="F893" s="124"/>
      <c r="G893" s="124"/>
      <c r="H893" s="124"/>
      <c r="I893" s="124"/>
      <c r="J893" s="124"/>
      <c r="K893" s="124"/>
    </row>
    <row r="894" ht="15.75" customHeight="1">
      <c r="E894" s="124"/>
      <c r="F894" s="124"/>
      <c r="G894" s="124"/>
      <c r="H894" s="124"/>
      <c r="I894" s="124"/>
      <c r="J894" s="124"/>
      <c r="K894" s="124"/>
    </row>
    <row r="895" ht="15.75" customHeight="1">
      <c r="E895" s="124"/>
      <c r="F895" s="124"/>
      <c r="G895" s="124"/>
      <c r="H895" s="124"/>
      <c r="I895" s="124"/>
      <c r="J895" s="124"/>
      <c r="K895" s="124"/>
    </row>
    <row r="896" ht="15.75" customHeight="1">
      <c r="E896" s="124"/>
      <c r="F896" s="124"/>
      <c r="G896" s="124"/>
      <c r="H896" s="124"/>
      <c r="I896" s="124"/>
      <c r="J896" s="124"/>
      <c r="K896" s="124"/>
    </row>
    <row r="897" ht="15.75" customHeight="1">
      <c r="E897" s="124"/>
      <c r="F897" s="124"/>
      <c r="G897" s="124"/>
      <c r="H897" s="124"/>
      <c r="I897" s="124"/>
      <c r="J897" s="124"/>
      <c r="K897" s="124"/>
    </row>
    <row r="898" ht="15.75" customHeight="1">
      <c r="E898" s="124"/>
      <c r="F898" s="124"/>
      <c r="G898" s="124"/>
      <c r="H898" s="124"/>
      <c r="I898" s="124"/>
      <c r="J898" s="124"/>
      <c r="K898" s="124"/>
    </row>
    <row r="899" ht="15.75" customHeight="1">
      <c r="E899" s="124"/>
      <c r="F899" s="124"/>
      <c r="G899" s="124"/>
      <c r="H899" s="124"/>
      <c r="I899" s="124"/>
      <c r="J899" s="124"/>
      <c r="K899" s="124"/>
    </row>
    <row r="900" ht="15.75" customHeight="1">
      <c r="E900" s="124"/>
      <c r="F900" s="124"/>
      <c r="G900" s="124"/>
      <c r="H900" s="124"/>
      <c r="I900" s="124"/>
      <c r="J900" s="124"/>
      <c r="K900" s="124"/>
    </row>
    <row r="901" ht="15.75" customHeight="1">
      <c r="E901" s="124"/>
      <c r="F901" s="124"/>
      <c r="G901" s="124"/>
      <c r="H901" s="124"/>
      <c r="I901" s="124"/>
      <c r="J901" s="124"/>
      <c r="K901" s="124"/>
    </row>
    <row r="902" ht="15.75" customHeight="1">
      <c r="E902" s="124"/>
      <c r="F902" s="124"/>
      <c r="G902" s="124"/>
      <c r="H902" s="124"/>
      <c r="I902" s="124"/>
      <c r="J902" s="124"/>
      <c r="K902" s="124"/>
    </row>
    <row r="903" ht="15.75" customHeight="1">
      <c r="E903" s="124"/>
      <c r="F903" s="124"/>
      <c r="G903" s="124"/>
      <c r="H903" s="124"/>
      <c r="I903" s="124"/>
      <c r="J903" s="124"/>
      <c r="K903" s="124"/>
    </row>
    <row r="904" ht="15.75" customHeight="1">
      <c r="E904" s="124"/>
      <c r="F904" s="124"/>
      <c r="G904" s="124"/>
      <c r="H904" s="124"/>
      <c r="I904" s="124"/>
      <c r="J904" s="124"/>
      <c r="K904" s="124"/>
    </row>
    <row r="905" ht="15.75" customHeight="1">
      <c r="E905" s="124"/>
      <c r="F905" s="124"/>
      <c r="G905" s="124"/>
      <c r="H905" s="124"/>
      <c r="I905" s="124"/>
      <c r="J905" s="124"/>
      <c r="K905" s="124"/>
    </row>
    <row r="906" ht="15.75" customHeight="1">
      <c r="E906" s="124"/>
      <c r="F906" s="124"/>
      <c r="G906" s="124"/>
      <c r="H906" s="124"/>
      <c r="I906" s="124"/>
      <c r="J906" s="124"/>
      <c r="K906" s="124"/>
    </row>
    <row r="907" ht="15.75" customHeight="1">
      <c r="E907" s="124"/>
      <c r="F907" s="124"/>
      <c r="G907" s="124"/>
      <c r="H907" s="124"/>
      <c r="I907" s="124"/>
      <c r="J907" s="124"/>
      <c r="K907" s="124"/>
    </row>
    <row r="908" ht="15.75" customHeight="1">
      <c r="E908" s="124"/>
      <c r="F908" s="124"/>
      <c r="G908" s="124"/>
      <c r="H908" s="124"/>
      <c r="I908" s="124"/>
      <c r="J908" s="124"/>
      <c r="K908" s="124"/>
    </row>
    <row r="909" ht="15.75" customHeight="1">
      <c r="E909" s="124"/>
      <c r="F909" s="124"/>
      <c r="G909" s="124"/>
      <c r="H909" s="124"/>
      <c r="I909" s="124"/>
      <c r="J909" s="124"/>
      <c r="K909" s="124"/>
    </row>
    <row r="910" ht="15.75" customHeight="1">
      <c r="E910" s="124"/>
      <c r="F910" s="124"/>
      <c r="G910" s="124"/>
      <c r="H910" s="124"/>
      <c r="I910" s="124"/>
      <c r="J910" s="124"/>
      <c r="K910" s="124"/>
    </row>
    <row r="911" ht="15.75" customHeight="1">
      <c r="E911" s="124"/>
      <c r="F911" s="124"/>
      <c r="G911" s="124"/>
      <c r="H911" s="124"/>
      <c r="I911" s="124"/>
      <c r="J911" s="124"/>
      <c r="K911" s="124"/>
    </row>
    <row r="912" ht="15.75" customHeight="1">
      <c r="E912" s="124"/>
      <c r="F912" s="124"/>
      <c r="G912" s="124"/>
      <c r="H912" s="124"/>
      <c r="I912" s="124"/>
      <c r="J912" s="124"/>
      <c r="K912" s="124"/>
    </row>
    <row r="913" ht="15.75" customHeight="1">
      <c r="E913" s="124"/>
      <c r="F913" s="124"/>
      <c r="G913" s="124"/>
      <c r="H913" s="124"/>
      <c r="I913" s="124"/>
      <c r="J913" s="124"/>
      <c r="K913" s="124"/>
    </row>
    <row r="914" ht="15.75" customHeight="1">
      <c r="E914" s="124"/>
      <c r="F914" s="124"/>
      <c r="G914" s="124"/>
      <c r="H914" s="124"/>
      <c r="I914" s="124"/>
      <c r="J914" s="124"/>
      <c r="K914" s="124"/>
    </row>
    <row r="915" ht="15.75" customHeight="1">
      <c r="E915" s="124"/>
      <c r="F915" s="124"/>
      <c r="G915" s="124"/>
      <c r="H915" s="124"/>
      <c r="I915" s="124"/>
      <c r="J915" s="124"/>
      <c r="K915" s="124"/>
    </row>
    <row r="916" ht="15.75" customHeight="1">
      <c r="E916" s="124"/>
      <c r="F916" s="124"/>
      <c r="G916" s="124"/>
      <c r="H916" s="124"/>
      <c r="I916" s="124"/>
      <c r="J916" s="124"/>
      <c r="K916" s="124"/>
    </row>
    <row r="917" ht="15.75" customHeight="1">
      <c r="E917" s="124"/>
      <c r="F917" s="124"/>
      <c r="G917" s="124"/>
      <c r="H917" s="124"/>
      <c r="I917" s="124"/>
      <c r="J917" s="124"/>
      <c r="K917" s="124"/>
    </row>
    <row r="918" ht="15.75" customHeight="1">
      <c r="E918" s="124"/>
      <c r="F918" s="124"/>
      <c r="G918" s="124"/>
      <c r="H918" s="124"/>
      <c r="I918" s="124"/>
      <c r="J918" s="124"/>
      <c r="K918" s="124"/>
    </row>
    <row r="919" ht="15.75" customHeight="1">
      <c r="E919" s="124"/>
      <c r="F919" s="124"/>
      <c r="G919" s="124"/>
      <c r="H919" s="124"/>
      <c r="I919" s="124"/>
      <c r="J919" s="124"/>
      <c r="K919" s="124"/>
    </row>
    <row r="920" ht="15.75" customHeight="1">
      <c r="E920" s="124"/>
      <c r="F920" s="124"/>
      <c r="G920" s="124"/>
      <c r="H920" s="124"/>
      <c r="I920" s="124"/>
      <c r="J920" s="124"/>
      <c r="K920" s="124"/>
    </row>
    <row r="921" ht="15.75" customHeight="1">
      <c r="E921" s="124"/>
      <c r="F921" s="124"/>
      <c r="G921" s="124"/>
      <c r="H921" s="124"/>
      <c r="I921" s="124"/>
      <c r="J921" s="124"/>
      <c r="K921" s="124"/>
    </row>
    <row r="922" ht="15.75" customHeight="1">
      <c r="E922" s="124"/>
      <c r="F922" s="124"/>
      <c r="G922" s="124"/>
      <c r="H922" s="124"/>
      <c r="I922" s="124"/>
      <c r="J922" s="124"/>
      <c r="K922" s="124"/>
    </row>
    <row r="923" ht="15.75" customHeight="1">
      <c r="E923" s="124"/>
      <c r="F923" s="124"/>
      <c r="G923" s="124"/>
      <c r="H923" s="124"/>
      <c r="I923" s="124"/>
      <c r="J923" s="124"/>
      <c r="K923" s="124"/>
    </row>
    <row r="924" ht="15.75" customHeight="1">
      <c r="E924" s="124"/>
      <c r="F924" s="124"/>
      <c r="G924" s="124"/>
      <c r="H924" s="124"/>
      <c r="I924" s="124"/>
      <c r="J924" s="124"/>
      <c r="K924" s="124"/>
    </row>
    <row r="925" ht="15.75" customHeight="1">
      <c r="E925" s="124"/>
      <c r="F925" s="124"/>
      <c r="G925" s="124"/>
      <c r="H925" s="124"/>
      <c r="I925" s="124"/>
      <c r="J925" s="124"/>
      <c r="K925" s="124"/>
    </row>
    <row r="926" ht="15.75" customHeight="1">
      <c r="E926" s="124"/>
      <c r="F926" s="124"/>
      <c r="G926" s="124"/>
      <c r="H926" s="124"/>
      <c r="I926" s="124"/>
      <c r="J926" s="124"/>
      <c r="K926" s="124"/>
    </row>
    <row r="927" ht="15.75" customHeight="1">
      <c r="E927" s="124"/>
      <c r="F927" s="124"/>
      <c r="G927" s="124"/>
      <c r="H927" s="124"/>
      <c r="I927" s="124"/>
      <c r="J927" s="124"/>
      <c r="K927" s="124"/>
    </row>
    <row r="928" ht="15.75" customHeight="1">
      <c r="E928" s="124"/>
      <c r="F928" s="124"/>
      <c r="G928" s="124"/>
      <c r="H928" s="124"/>
      <c r="I928" s="124"/>
      <c r="J928" s="124"/>
      <c r="K928" s="124"/>
    </row>
    <row r="929" ht="15.75" customHeight="1">
      <c r="E929" s="124"/>
      <c r="F929" s="124"/>
      <c r="G929" s="124"/>
      <c r="H929" s="124"/>
      <c r="I929" s="124"/>
      <c r="J929" s="124"/>
      <c r="K929" s="124"/>
    </row>
    <row r="930" ht="15.75" customHeight="1">
      <c r="E930" s="124"/>
      <c r="F930" s="124"/>
      <c r="G930" s="124"/>
      <c r="H930" s="124"/>
      <c r="I930" s="124"/>
      <c r="J930" s="124"/>
      <c r="K930" s="124"/>
    </row>
    <row r="931" ht="15.75" customHeight="1">
      <c r="E931" s="124"/>
      <c r="F931" s="124"/>
      <c r="G931" s="124"/>
      <c r="H931" s="124"/>
      <c r="I931" s="124"/>
      <c r="J931" s="124"/>
      <c r="K931" s="124"/>
    </row>
    <row r="932" ht="15.75" customHeight="1">
      <c r="E932" s="124"/>
      <c r="F932" s="124"/>
      <c r="G932" s="124"/>
      <c r="H932" s="124"/>
      <c r="I932" s="124"/>
      <c r="J932" s="124"/>
      <c r="K932" s="124"/>
    </row>
    <row r="933" ht="15.75" customHeight="1">
      <c r="E933" s="124"/>
      <c r="F933" s="124"/>
      <c r="G933" s="124"/>
      <c r="H933" s="124"/>
      <c r="I933" s="124"/>
      <c r="J933" s="124"/>
      <c r="K933" s="124"/>
    </row>
    <row r="934" ht="15.75" customHeight="1">
      <c r="E934" s="124"/>
      <c r="F934" s="124"/>
      <c r="G934" s="124"/>
      <c r="H934" s="124"/>
      <c r="I934" s="124"/>
      <c r="J934" s="124"/>
      <c r="K934" s="124"/>
    </row>
    <row r="935" ht="15.75" customHeight="1">
      <c r="E935" s="124"/>
      <c r="F935" s="124"/>
      <c r="G935" s="124"/>
      <c r="H935" s="124"/>
      <c r="I935" s="124"/>
      <c r="J935" s="124"/>
      <c r="K935" s="124"/>
    </row>
    <row r="936" ht="15.75" customHeight="1">
      <c r="E936" s="124"/>
      <c r="F936" s="124"/>
      <c r="G936" s="124"/>
      <c r="H936" s="124"/>
      <c r="I936" s="124"/>
      <c r="J936" s="124"/>
      <c r="K936" s="124"/>
    </row>
    <row r="937" ht="15.75" customHeight="1">
      <c r="E937" s="124"/>
      <c r="F937" s="124"/>
      <c r="G937" s="124"/>
      <c r="H937" s="124"/>
      <c r="I937" s="124"/>
      <c r="J937" s="124"/>
      <c r="K937" s="124"/>
    </row>
    <row r="938" ht="15.75" customHeight="1">
      <c r="E938" s="124"/>
      <c r="F938" s="124"/>
      <c r="G938" s="124"/>
      <c r="H938" s="124"/>
      <c r="I938" s="124"/>
      <c r="J938" s="124"/>
      <c r="K938" s="124"/>
    </row>
    <row r="939" ht="15.75" customHeight="1">
      <c r="E939" s="124"/>
      <c r="F939" s="124"/>
      <c r="G939" s="124"/>
      <c r="H939" s="124"/>
      <c r="I939" s="124"/>
      <c r="J939" s="124"/>
      <c r="K939" s="124"/>
    </row>
    <row r="940" ht="15.75" customHeight="1">
      <c r="E940" s="124"/>
      <c r="F940" s="124"/>
      <c r="G940" s="124"/>
      <c r="H940" s="124"/>
      <c r="I940" s="124"/>
      <c r="J940" s="124"/>
      <c r="K940" s="124"/>
    </row>
    <row r="941" ht="15.75" customHeight="1">
      <c r="E941" s="124"/>
      <c r="F941" s="124"/>
      <c r="G941" s="124"/>
      <c r="H941" s="124"/>
      <c r="I941" s="124"/>
      <c r="J941" s="124"/>
      <c r="K941" s="124"/>
    </row>
    <row r="942" ht="15.75" customHeight="1">
      <c r="E942" s="124"/>
      <c r="F942" s="124"/>
      <c r="G942" s="124"/>
      <c r="H942" s="124"/>
      <c r="I942" s="124"/>
      <c r="J942" s="124"/>
      <c r="K942" s="124"/>
    </row>
    <row r="943" ht="15.75" customHeight="1">
      <c r="E943" s="124"/>
      <c r="F943" s="124"/>
      <c r="G943" s="124"/>
      <c r="H943" s="124"/>
      <c r="I943" s="124"/>
      <c r="J943" s="124"/>
      <c r="K943" s="124"/>
    </row>
    <row r="944" ht="15.75" customHeight="1">
      <c r="E944" s="124"/>
      <c r="F944" s="124"/>
      <c r="G944" s="124"/>
      <c r="H944" s="124"/>
      <c r="I944" s="124"/>
      <c r="J944" s="124"/>
      <c r="K944" s="124"/>
    </row>
    <row r="945" ht="15.75" customHeight="1">
      <c r="E945" s="124"/>
      <c r="F945" s="124"/>
      <c r="G945" s="124"/>
      <c r="H945" s="124"/>
      <c r="I945" s="124"/>
      <c r="J945" s="124"/>
      <c r="K945" s="124"/>
    </row>
    <row r="946" ht="15.75" customHeight="1">
      <c r="E946" s="124"/>
      <c r="F946" s="124"/>
      <c r="G946" s="124"/>
      <c r="H946" s="124"/>
      <c r="I946" s="124"/>
      <c r="J946" s="124"/>
      <c r="K946" s="124"/>
    </row>
    <row r="947" ht="15.75" customHeight="1">
      <c r="E947" s="124"/>
      <c r="F947" s="124"/>
      <c r="G947" s="124"/>
      <c r="H947" s="124"/>
      <c r="I947" s="124"/>
      <c r="J947" s="124"/>
      <c r="K947" s="124"/>
    </row>
    <row r="948" ht="15.75" customHeight="1">
      <c r="E948" s="124"/>
      <c r="F948" s="124"/>
      <c r="G948" s="124"/>
      <c r="H948" s="124"/>
      <c r="I948" s="124"/>
      <c r="J948" s="124"/>
      <c r="K948" s="124"/>
    </row>
    <row r="949" ht="15.75" customHeight="1">
      <c r="E949" s="124"/>
      <c r="F949" s="124"/>
      <c r="G949" s="124"/>
      <c r="H949" s="124"/>
      <c r="I949" s="124"/>
      <c r="J949" s="124"/>
      <c r="K949" s="124"/>
    </row>
    <row r="950" ht="15.75" customHeight="1">
      <c r="E950" s="124"/>
      <c r="F950" s="124"/>
      <c r="G950" s="124"/>
      <c r="H950" s="124"/>
      <c r="I950" s="124"/>
      <c r="J950" s="124"/>
      <c r="K950" s="124"/>
    </row>
    <row r="951" ht="15.75" customHeight="1">
      <c r="E951" s="124"/>
      <c r="F951" s="124"/>
      <c r="G951" s="124"/>
      <c r="H951" s="124"/>
      <c r="I951" s="124"/>
      <c r="J951" s="124"/>
      <c r="K951" s="124"/>
    </row>
    <row r="952" ht="15.75" customHeight="1">
      <c r="E952" s="124"/>
      <c r="F952" s="124"/>
      <c r="G952" s="124"/>
      <c r="H952" s="124"/>
      <c r="I952" s="124"/>
      <c r="J952" s="124"/>
      <c r="K952" s="124"/>
    </row>
    <row r="953" ht="15.75" customHeight="1">
      <c r="E953" s="124"/>
      <c r="F953" s="124"/>
      <c r="G953" s="124"/>
      <c r="H953" s="124"/>
      <c r="I953" s="124"/>
      <c r="J953" s="124"/>
      <c r="K953" s="124"/>
    </row>
    <row r="954" ht="15.75" customHeight="1">
      <c r="E954" s="124"/>
      <c r="F954" s="124"/>
      <c r="G954" s="124"/>
      <c r="H954" s="124"/>
      <c r="I954" s="124"/>
      <c r="J954" s="124"/>
      <c r="K954" s="124"/>
    </row>
    <row r="955" ht="15.75" customHeight="1">
      <c r="E955" s="124"/>
      <c r="F955" s="124"/>
      <c r="G955" s="124"/>
      <c r="H955" s="124"/>
      <c r="I955" s="124"/>
      <c r="J955" s="124"/>
      <c r="K955" s="124"/>
    </row>
    <row r="956" ht="15.75" customHeight="1">
      <c r="E956" s="124"/>
      <c r="F956" s="124"/>
      <c r="G956" s="124"/>
      <c r="H956" s="124"/>
      <c r="I956" s="124"/>
      <c r="J956" s="124"/>
      <c r="K956" s="124"/>
    </row>
    <row r="957" ht="15.75" customHeight="1">
      <c r="E957" s="124"/>
      <c r="F957" s="124"/>
      <c r="G957" s="124"/>
      <c r="H957" s="124"/>
      <c r="I957" s="124"/>
      <c r="J957" s="124"/>
      <c r="K957" s="124"/>
    </row>
    <row r="958" ht="15.75" customHeight="1">
      <c r="E958" s="124"/>
      <c r="F958" s="124"/>
      <c r="G958" s="124"/>
      <c r="H958" s="124"/>
      <c r="I958" s="124"/>
      <c r="J958" s="124"/>
      <c r="K958" s="124"/>
    </row>
    <row r="959" ht="15.75" customHeight="1">
      <c r="E959" s="124"/>
      <c r="F959" s="124"/>
      <c r="G959" s="124"/>
      <c r="H959" s="124"/>
      <c r="I959" s="124"/>
      <c r="J959" s="124"/>
      <c r="K959" s="124"/>
    </row>
    <row r="960" ht="15.75" customHeight="1">
      <c r="E960" s="124"/>
      <c r="F960" s="124"/>
      <c r="G960" s="124"/>
      <c r="H960" s="124"/>
      <c r="I960" s="124"/>
      <c r="J960" s="124"/>
      <c r="K960" s="124"/>
    </row>
    <row r="961" ht="15.75" customHeight="1">
      <c r="E961" s="124"/>
      <c r="F961" s="124"/>
      <c r="G961" s="124"/>
      <c r="H961" s="124"/>
      <c r="I961" s="124"/>
      <c r="J961" s="124"/>
      <c r="K961" s="124"/>
    </row>
    <row r="962" ht="15.75" customHeight="1">
      <c r="E962" s="124"/>
      <c r="F962" s="124"/>
      <c r="G962" s="124"/>
      <c r="H962" s="124"/>
      <c r="I962" s="124"/>
      <c r="J962" s="124"/>
      <c r="K962" s="124"/>
    </row>
    <row r="963" ht="15.75" customHeight="1">
      <c r="E963" s="124"/>
      <c r="F963" s="124"/>
      <c r="G963" s="124"/>
      <c r="H963" s="124"/>
      <c r="I963" s="124"/>
      <c r="J963" s="124"/>
      <c r="K963" s="124"/>
    </row>
    <row r="964" ht="15.75" customHeight="1">
      <c r="E964" s="124"/>
      <c r="F964" s="124"/>
      <c r="G964" s="124"/>
      <c r="H964" s="124"/>
      <c r="I964" s="124"/>
      <c r="J964" s="124"/>
      <c r="K964" s="124"/>
    </row>
    <row r="965" ht="15.75" customHeight="1">
      <c r="E965" s="124"/>
      <c r="F965" s="124"/>
      <c r="G965" s="124"/>
      <c r="H965" s="124"/>
      <c r="I965" s="124"/>
      <c r="J965" s="124"/>
      <c r="K965" s="124"/>
    </row>
    <row r="966" ht="15.75" customHeight="1">
      <c r="E966" s="124"/>
      <c r="F966" s="124"/>
      <c r="G966" s="124"/>
      <c r="H966" s="124"/>
      <c r="I966" s="124"/>
      <c r="J966" s="124"/>
      <c r="K966" s="124"/>
    </row>
    <row r="967" ht="15.75" customHeight="1">
      <c r="E967" s="124"/>
      <c r="F967" s="124"/>
      <c r="G967" s="124"/>
      <c r="H967" s="124"/>
      <c r="I967" s="124"/>
      <c r="J967" s="124"/>
      <c r="K967" s="124"/>
    </row>
    <row r="968" ht="15.75" customHeight="1">
      <c r="E968" s="124"/>
      <c r="F968" s="124"/>
      <c r="G968" s="124"/>
      <c r="H968" s="124"/>
      <c r="I968" s="124"/>
      <c r="J968" s="124"/>
      <c r="K968" s="124"/>
    </row>
    <row r="969" ht="15.75" customHeight="1">
      <c r="E969" s="124"/>
      <c r="F969" s="124"/>
      <c r="G969" s="124"/>
      <c r="H969" s="124"/>
      <c r="I969" s="124"/>
      <c r="J969" s="124"/>
      <c r="K969" s="124"/>
    </row>
    <row r="970" ht="15.75" customHeight="1">
      <c r="E970" s="124"/>
      <c r="F970" s="124"/>
      <c r="G970" s="124"/>
      <c r="H970" s="124"/>
      <c r="I970" s="124"/>
      <c r="J970" s="124"/>
      <c r="K970" s="124"/>
    </row>
    <row r="971" ht="15.75" customHeight="1">
      <c r="E971" s="124"/>
      <c r="F971" s="124"/>
      <c r="G971" s="124"/>
      <c r="H971" s="124"/>
      <c r="I971" s="124"/>
      <c r="J971" s="124"/>
      <c r="K971" s="124"/>
    </row>
    <row r="972" ht="15.75" customHeight="1">
      <c r="E972" s="124"/>
      <c r="F972" s="124"/>
      <c r="G972" s="124"/>
      <c r="H972" s="124"/>
      <c r="I972" s="124"/>
      <c r="J972" s="124"/>
      <c r="K972" s="124"/>
    </row>
    <row r="973" ht="15.75" customHeight="1">
      <c r="E973" s="124"/>
      <c r="F973" s="124"/>
      <c r="G973" s="124"/>
      <c r="H973" s="124"/>
      <c r="I973" s="124"/>
      <c r="J973" s="124"/>
      <c r="K973" s="124"/>
    </row>
    <row r="974" ht="15.75" customHeight="1">
      <c r="E974" s="124"/>
      <c r="F974" s="124"/>
      <c r="G974" s="124"/>
      <c r="H974" s="124"/>
      <c r="I974" s="124"/>
      <c r="J974" s="124"/>
      <c r="K974" s="124"/>
    </row>
    <row r="975" ht="15.75" customHeight="1">
      <c r="E975" s="124"/>
      <c r="F975" s="124"/>
      <c r="G975" s="124"/>
      <c r="H975" s="124"/>
      <c r="I975" s="124"/>
      <c r="J975" s="124"/>
      <c r="K975" s="124"/>
    </row>
    <row r="976" ht="15.75" customHeight="1">
      <c r="E976" s="124"/>
      <c r="F976" s="124"/>
      <c r="G976" s="124"/>
      <c r="H976" s="124"/>
      <c r="I976" s="124"/>
      <c r="J976" s="124"/>
      <c r="K976" s="124"/>
    </row>
    <row r="977" ht="15.75" customHeight="1">
      <c r="E977" s="124"/>
      <c r="F977" s="124"/>
      <c r="G977" s="124"/>
      <c r="H977" s="124"/>
      <c r="I977" s="124"/>
      <c r="J977" s="124"/>
      <c r="K977" s="124"/>
    </row>
    <row r="978" ht="15.75" customHeight="1">
      <c r="E978" s="124"/>
      <c r="F978" s="124"/>
      <c r="G978" s="124"/>
      <c r="H978" s="124"/>
      <c r="I978" s="124"/>
      <c r="J978" s="124"/>
      <c r="K978" s="124"/>
    </row>
    <row r="979" ht="15.75" customHeight="1">
      <c r="E979" s="124"/>
      <c r="F979" s="124"/>
      <c r="G979" s="124"/>
      <c r="H979" s="124"/>
      <c r="I979" s="124"/>
      <c r="J979" s="124"/>
      <c r="K979" s="124"/>
    </row>
    <row r="980" ht="15.75" customHeight="1">
      <c r="E980" s="124"/>
      <c r="F980" s="124"/>
      <c r="G980" s="124"/>
      <c r="H980" s="124"/>
      <c r="I980" s="124"/>
      <c r="J980" s="124"/>
      <c r="K980" s="124"/>
    </row>
    <row r="981" ht="15.75" customHeight="1">
      <c r="E981" s="124"/>
      <c r="F981" s="124"/>
      <c r="G981" s="124"/>
      <c r="H981" s="124"/>
      <c r="I981" s="124"/>
      <c r="J981" s="124"/>
      <c r="K981" s="124"/>
    </row>
    <row r="982" ht="15.75" customHeight="1">
      <c r="E982" s="124"/>
      <c r="F982" s="124"/>
      <c r="G982" s="124"/>
      <c r="H982" s="124"/>
      <c r="I982" s="124"/>
      <c r="J982" s="124"/>
      <c r="K982" s="124"/>
    </row>
    <row r="983" ht="15.75" customHeight="1">
      <c r="E983" s="124"/>
      <c r="F983" s="124"/>
      <c r="G983" s="124"/>
      <c r="H983" s="124"/>
      <c r="I983" s="124"/>
      <c r="J983" s="124"/>
      <c r="K983" s="124"/>
    </row>
    <row r="984" ht="15.75" customHeight="1">
      <c r="E984" s="124"/>
      <c r="F984" s="124"/>
      <c r="G984" s="124"/>
      <c r="H984" s="124"/>
      <c r="I984" s="124"/>
      <c r="J984" s="124"/>
      <c r="K984" s="124"/>
    </row>
    <row r="985" ht="15.75" customHeight="1">
      <c r="E985" s="124"/>
      <c r="F985" s="124"/>
      <c r="G985" s="124"/>
      <c r="H985" s="124"/>
      <c r="I985" s="124"/>
      <c r="J985" s="124"/>
      <c r="K985" s="124"/>
    </row>
    <row r="986" ht="15.75" customHeight="1">
      <c r="E986" s="124"/>
      <c r="F986" s="124"/>
      <c r="G986" s="124"/>
      <c r="H986" s="124"/>
      <c r="I986" s="124"/>
      <c r="J986" s="124"/>
      <c r="K986" s="124"/>
    </row>
    <row r="987" ht="15.75" customHeight="1">
      <c r="E987" s="124"/>
      <c r="F987" s="124"/>
      <c r="G987" s="124"/>
      <c r="H987" s="124"/>
      <c r="I987" s="124"/>
      <c r="J987" s="124"/>
      <c r="K987" s="124"/>
    </row>
    <row r="988" ht="15.75" customHeight="1">
      <c r="E988" s="124"/>
      <c r="F988" s="124"/>
      <c r="G988" s="124"/>
      <c r="H988" s="124"/>
      <c r="I988" s="124"/>
      <c r="J988" s="124"/>
      <c r="K988" s="124"/>
    </row>
    <row r="989" ht="15.75" customHeight="1">
      <c r="E989" s="124"/>
      <c r="F989" s="124"/>
      <c r="G989" s="124"/>
      <c r="H989" s="124"/>
      <c r="I989" s="124"/>
      <c r="J989" s="124"/>
      <c r="K989" s="124"/>
    </row>
    <row r="990" ht="15.75" customHeight="1">
      <c r="E990" s="124"/>
      <c r="F990" s="124"/>
      <c r="G990" s="124"/>
      <c r="H990" s="124"/>
      <c r="I990" s="124"/>
      <c r="J990" s="124"/>
      <c r="K990" s="124"/>
    </row>
    <row r="991" ht="15.75" customHeight="1">
      <c r="E991" s="124"/>
      <c r="F991" s="124"/>
      <c r="G991" s="124"/>
      <c r="H991" s="124"/>
      <c r="I991" s="124"/>
      <c r="J991" s="124"/>
      <c r="K991" s="124"/>
    </row>
    <row r="992" ht="15.75" customHeight="1">
      <c r="E992" s="124"/>
      <c r="F992" s="124"/>
      <c r="G992" s="124"/>
      <c r="H992" s="124"/>
      <c r="I992" s="124"/>
      <c r="J992" s="124"/>
      <c r="K992" s="124"/>
    </row>
    <row r="993" ht="15.75" customHeight="1">
      <c r="E993" s="124"/>
      <c r="F993" s="124"/>
      <c r="G993" s="124"/>
      <c r="H993" s="124"/>
      <c r="I993" s="124"/>
      <c r="J993" s="124"/>
      <c r="K993" s="124"/>
    </row>
    <row r="994" ht="15.75" customHeight="1">
      <c r="E994" s="124"/>
      <c r="F994" s="124"/>
      <c r="G994" s="124"/>
      <c r="H994" s="124"/>
      <c r="I994" s="124"/>
      <c r="J994" s="124"/>
      <c r="K994" s="124"/>
    </row>
    <row r="995" ht="15.75" customHeight="1">
      <c r="E995" s="124"/>
      <c r="F995" s="124"/>
      <c r="G995" s="124"/>
      <c r="H995" s="124"/>
      <c r="I995" s="124"/>
      <c r="J995" s="124"/>
      <c r="K995" s="124"/>
    </row>
    <row r="996" ht="15.75" customHeight="1">
      <c r="E996" s="124"/>
      <c r="F996" s="124"/>
      <c r="G996" s="124"/>
      <c r="H996" s="124"/>
      <c r="I996" s="124"/>
      <c r="J996" s="124"/>
      <c r="K996" s="124"/>
    </row>
    <row r="997" ht="15.75" customHeight="1">
      <c r="E997" s="124"/>
      <c r="F997" s="124"/>
      <c r="G997" s="124"/>
      <c r="H997" s="124"/>
      <c r="I997" s="124"/>
      <c r="J997" s="124"/>
      <c r="K997" s="124"/>
    </row>
    <row r="998" ht="15.75" customHeight="1">
      <c r="E998" s="124"/>
      <c r="F998" s="124"/>
      <c r="G998" s="124"/>
      <c r="H998" s="124"/>
      <c r="I998" s="124"/>
      <c r="J998" s="124"/>
      <c r="K998" s="124"/>
    </row>
    <row r="999" ht="15.75" customHeight="1">
      <c r="E999" s="124"/>
      <c r="F999" s="124"/>
      <c r="G999" s="124"/>
      <c r="H999" s="124"/>
      <c r="I999" s="124"/>
      <c r="J999" s="124"/>
      <c r="K999" s="124"/>
    </row>
    <row r="1000" ht="15.75" customHeight="1">
      <c r="E1000" s="124"/>
      <c r="F1000" s="124"/>
      <c r="G1000" s="124"/>
      <c r="H1000" s="124"/>
      <c r="I1000" s="124"/>
      <c r="J1000" s="124"/>
      <c r="K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65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12.11"/>
    <col customWidth="1" min="3" max="4" width="9.11"/>
    <col customWidth="1" min="5" max="5" width="15.44"/>
    <col customWidth="1" min="6" max="6" width="12.44"/>
    <col customWidth="1" min="7" max="7" width="10.78"/>
    <col customWidth="1" min="8" max="8" width="16.78"/>
    <col customWidth="1" min="9" max="9" width="10.0"/>
    <col customWidth="1" min="10" max="10" width="10.78"/>
    <col customWidth="1" min="11" max="11" width="17.33"/>
    <col customWidth="1" min="12" max="12" width="12.22"/>
    <col customWidth="1" min="13" max="13" width="13.22"/>
    <col customWidth="1" min="14" max="26" width="8.56"/>
  </cols>
  <sheetData>
    <row r="1" ht="15.75" customHeight="1">
      <c r="A1" s="179" t="s">
        <v>102</v>
      </c>
    </row>
    <row r="2" ht="15.75" customHeight="1">
      <c r="A2" s="180" t="s">
        <v>74</v>
      </c>
      <c r="B2" s="183"/>
      <c r="E2" s="182"/>
      <c r="F2" s="182"/>
      <c r="G2" s="182"/>
      <c r="H2" s="182"/>
      <c r="I2" s="184"/>
      <c r="J2" s="184"/>
      <c r="K2" s="342" t="s">
        <v>65</v>
      </c>
    </row>
    <row r="3" ht="15.75" customHeight="1">
      <c r="A3" s="260" t="s">
        <v>2</v>
      </c>
      <c r="B3" s="260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197" t="s">
        <v>69</v>
      </c>
      <c r="J4" s="197" t="s">
        <v>70</v>
      </c>
      <c r="K4" s="197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'Yakin Pasifik Tuna'!B5</f>
        <v>45137</v>
      </c>
      <c r="C5" s="320">
        <f>'Yakin Pasifik Tuna'!H5</f>
        <v>92</v>
      </c>
      <c r="D5" s="239">
        <f>'Yakin Pasifik Tuna'!X5</f>
        <v>10442.54944</v>
      </c>
      <c r="E5" s="239">
        <f t="shared" ref="E5:E8" si="2">D5*C5</f>
        <v>960714.5487</v>
      </c>
      <c r="F5" s="239"/>
      <c r="G5" s="239"/>
      <c r="H5" s="239"/>
      <c r="I5" s="245">
        <f t="shared" ref="I5:J5" si="1">C5</f>
        <v>92</v>
      </c>
      <c r="J5" s="245">
        <f t="shared" si="1"/>
        <v>10442.54944</v>
      </c>
      <c r="K5" s="245">
        <f>I5*J5</f>
        <v>960714.5487</v>
      </c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'Yakin Pasifik Tuna'!B6</f>
        <v>45138</v>
      </c>
      <c r="C6" s="320">
        <f>'Yakin Pasifik Tuna'!H6</f>
        <v>628</v>
      </c>
      <c r="D6" s="239">
        <f>'Yakin Pasifik Tuna'!X6</f>
        <v>10442.5642</v>
      </c>
      <c r="E6" s="239">
        <f t="shared" si="2"/>
        <v>6557930.319</v>
      </c>
      <c r="F6" s="239"/>
      <c r="G6" s="239"/>
      <c r="H6" s="239"/>
      <c r="I6" s="245">
        <f t="shared" ref="I6:I8" si="3">I5+C6</f>
        <v>720</v>
      </c>
      <c r="J6" s="245">
        <f t="shared" ref="J6:J8" si="4">K6/I6</f>
        <v>10442.56232</v>
      </c>
      <c r="K6" s="245">
        <f t="shared" ref="K6:K8" si="5">K5+E6</f>
        <v>7518644.868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'Yakin Pasifik Tuna'!B7</f>
        <v>45139</v>
      </c>
      <c r="C7" s="320">
        <f>'Yakin Pasifik Tuna'!H7</f>
        <v>451</v>
      </c>
      <c r="D7" s="239">
        <f>'Yakin Pasifik Tuna'!X7</f>
        <v>10444.96644</v>
      </c>
      <c r="E7" s="239">
        <f t="shared" si="2"/>
        <v>4710679.866</v>
      </c>
      <c r="F7" s="239"/>
      <c r="G7" s="239"/>
      <c r="H7" s="239"/>
      <c r="I7" s="245">
        <f t="shared" si="3"/>
        <v>1171</v>
      </c>
      <c r="J7" s="245">
        <f t="shared" si="4"/>
        <v>10443.48824</v>
      </c>
      <c r="K7" s="245">
        <f t="shared" si="5"/>
        <v>12229324.73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'Yakin Pasifik Tuna'!B8</f>
        <v>45149</v>
      </c>
      <c r="C8" s="320">
        <f>'Yakin Pasifik Tuna'!H8</f>
        <v>838</v>
      </c>
      <c r="D8" s="239">
        <f>'Yakin Pasifik Tuna'!X8</f>
        <v>10495.01861</v>
      </c>
      <c r="E8" s="239">
        <f t="shared" si="2"/>
        <v>8794825.598</v>
      </c>
      <c r="F8" s="239"/>
      <c r="G8" s="239"/>
      <c r="H8" s="239"/>
      <c r="I8" s="245">
        <f t="shared" si="3"/>
        <v>2009</v>
      </c>
      <c r="J8" s="245">
        <f t="shared" si="4"/>
        <v>10464.98274</v>
      </c>
      <c r="K8" s="245">
        <f t="shared" si="5"/>
        <v>21024150.33</v>
      </c>
      <c r="L8" s="207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208">
        <v>5.0</v>
      </c>
      <c r="B9" s="209">
        <v>45154.0</v>
      </c>
      <c r="C9" s="321"/>
      <c r="D9" s="240"/>
      <c r="E9" s="240"/>
      <c r="F9" s="240">
        <v>1545.1</v>
      </c>
      <c r="G9" s="240">
        <f>J8</f>
        <v>10464.98274</v>
      </c>
      <c r="H9" s="240">
        <f>F9*G9</f>
        <v>16169444.84</v>
      </c>
      <c r="I9" s="242">
        <f>I8-F9</f>
        <v>463.9</v>
      </c>
      <c r="J9" s="242">
        <f>J8</f>
        <v>10464.98274</v>
      </c>
      <c r="K9" s="242">
        <f>K8-H9</f>
        <v>4854705.495</v>
      </c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199">
        <v>6.0</v>
      </c>
      <c r="B10" s="200">
        <f>'Yakin Pasifik Tuna'!B9</f>
        <v>45165</v>
      </c>
      <c r="C10" s="320">
        <f>'Yakin Pasifik Tuna'!H9</f>
        <v>824</v>
      </c>
      <c r="D10" s="239">
        <f>'Yakin Pasifik Tuna'!X9</f>
        <v>10442.79048</v>
      </c>
      <c r="E10" s="239">
        <f t="shared" ref="E10:E42" si="6">D10*C10</f>
        <v>8604859.356</v>
      </c>
      <c r="F10" s="239"/>
      <c r="G10" s="239"/>
      <c r="H10" s="239"/>
      <c r="I10" s="245">
        <f t="shared" ref="I10:I16" si="7">I9+C10</f>
        <v>1287.9</v>
      </c>
      <c r="J10" s="245">
        <f t="shared" ref="J10:J45" si="8">K10/I10</f>
        <v>10450.78411</v>
      </c>
      <c r="K10" s="245">
        <f t="shared" ref="K10:K16" si="9">K9+E10</f>
        <v>13459564.85</v>
      </c>
      <c r="L10" s="182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200">
        <f>'Yakin Pasifik Tuna'!B10</f>
        <v>45167</v>
      </c>
      <c r="C11" s="320">
        <f>'Yakin Pasifik Tuna'!H10</f>
        <v>183</v>
      </c>
      <c r="D11" s="239">
        <f>'Yakin Pasifik Tuna'!X10</f>
        <v>10441.59292</v>
      </c>
      <c r="E11" s="239">
        <f t="shared" si="6"/>
        <v>1910811.504</v>
      </c>
      <c r="F11" s="239"/>
      <c r="G11" s="239"/>
      <c r="H11" s="239"/>
      <c r="I11" s="245">
        <f t="shared" si="7"/>
        <v>1470.9</v>
      </c>
      <c r="J11" s="245">
        <f t="shared" si="8"/>
        <v>10449.6406</v>
      </c>
      <c r="K11" s="245">
        <f t="shared" si="9"/>
        <v>15370376.36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200">
        <f>'Yakin Pasifik Tuna'!B11</f>
        <v>45169</v>
      </c>
      <c r="C12" s="320">
        <f>'Yakin Pasifik Tuna'!H11</f>
        <v>287</v>
      </c>
      <c r="D12" s="239">
        <f>'Yakin Pasifik Tuna'!X11</f>
        <v>10442.37701</v>
      </c>
      <c r="E12" s="239">
        <f t="shared" si="6"/>
        <v>2996962.202</v>
      </c>
      <c r="F12" s="239"/>
      <c r="G12" s="239"/>
      <c r="H12" s="239"/>
      <c r="I12" s="245">
        <f t="shared" si="7"/>
        <v>1757.9</v>
      </c>
      <c r="J12" s="245">
        <f t="shared" si="8"/>
        <v>10448.45472</v>
      </c>
      <c r="K12" s="245">
        <f t="shared" si="9"/>
        <v>18367338.56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325">
        <f>'Yakin Pasifik Tuna'!B14</f>
        <v>45170</v>
      </c>
      <c r="C13" s="237">
        <f>'Yakin Pasifik Tuna'!H14</f>
        <v>1359</v>
      </c>
      <c r="D13" s="237">
        <f>'Yakin Pasifik Tuna'!X14</f>
        <v>10442.78532</v>
      </c>
      <c r="E13" s="239">
        <f t="shared" si="6"/>
        <v>14191745.25</v>
      </c>
      <c r="F13" s="237"/>
      <c r="G13" s="237"/>
      <c r="H13" s="237"/>
      <c r="I13" s="245">
        <f t="shared" si="7"/>
        <v>3116.9</v>
      </c>
      <c r="J13" s="245">
        <f t="shared" si="8"/>
        <v>10445.98281</v>
      </c>
      <c r="K13" s="245">
        <f t="shared" si="9"/>
        <v>32559083.81</v>
      </c>
    </row>
    <row r="14" ht="15.75" customHeight="1">
      <c r="A14" s="199">
        <v>10.0</v>
      </c>
      <c r="B14" s="325">
        <f>'Yakin Pasifik Tuna'!B15</f>
        <v>45171</v>
      </c>
      <c r="C14" s="237">
        <f>'Yakin Pasifik Tuna'!H15</f>
        <v>446</v>
      </c>
      <c r="D14" s="237">
        <f>'Yakin Pasifik Tuna'!X15</f>
        <v>10442.8081</v>
      </c>
      <c r="E14" s="239">
        <f t="shared" si="6"/>
        <v>4657492.413</v>
      </c>
      <c r="F14" s="237"/>
      <c r="G14" s="237"/>
      <c r="H14" s="237"/>
      <c r="I14" s="245">
        <f t="shared" si="7"/>
        <v>3562.9</v>
      </c>
      <c r="J14" s="245">
        <f t="shared" si="8"/>
        <v>10445.5854</v>
      </c>
      <c r="K14" s="245">
        <f t="shared" si="9"/>
        <v>37216576.22</v>
      </c>
    </row>
    <row r="15" ht="15.75" customHeight="1">
      <c r="A15" s="199">
        <v>11.0</v>
      </c>
      <c r="B15" s="325">
        <f>'Yakin Pasifik Tuna'!B16</f>
        <v>45172</v>
      </c>
      <c r="C15" s="237">
        <f>'Yakin Pasifik Tuna'!H16</f>
        <v>41</v>
      </c>
      <c r="D15" s="237">
        <f>'Yakin Pasifik Tuna'!X16</f>
        <v>10444.92754</v>
      </c>
      <c r="E15" s="239">
        <f t="shared" si="6"/>
        <v>428242.029</v>
      </c>
      <c r="F15" s="237"/>
      <c r="G15" s="237"/>
      <c r="H15" s="237"/>
      <c r="I15" s="245">
        <f t="shared" si="7"/>
        <v>3603.9</v>
      </c>
      <c r="J15" s="245">
        <f t="shared" si="8"/>
        <v>10445.57792</v>
      </c>
      <c r="K15" s="245">
        <f t="shared" si="9"/>
        <v>37644818.25</v>
      </c>
    </row>
    <row r="16" ht="15.75" customHeight="1">
      <c r="A16" s="199">
        <v>12.0</v>
      </c>
      <c r="B16" s="325">
        <f>'Yakin Pasifik Tuna'!B17</f>
        <v>45173</v>
      </c>
      <c r="C16" s="237">
        <f>'Yakin Pasifik Tuna'!H17</f>
        <v>1222</v>
      </c>
      <c r="D16" s="237">
        <f>'Yakin Pasifik Tuna'!X17</f>
        <v>10442.36879</v>
      </c>
      <c r="E16" s="239">
        <f t="shared" si="6"/>
        <v>12760574.66</v>
      </c>
      <c r="F16" s="237"/>
      <c r="G16" s="237"/>
      <c r="H16" s="237"/>
      <c r="I16" s="245">
        <f t="shared" si="7"/>
        <v>4825.9</v>
      </c>
      <c r="J16" s="245">
        <f t="shared" si="8"/>
        <v>10444.76531</v>
      </c>
      <c r="K16" s="245">
        <f t="shared" si="9"/>
        <v>50405392.91</v>
      </c>
    </row>
    <row r="17" ht="15.75" customHeight="1">
      <c r="A17" s="208">
        <v>13.0</v>
      </c>
      <c r="B17" s="326">
        <v>45178.0</v>
      </c>
      <c r="C17" s="228"/>
      <c r="D17" s="228"/>
      <c r="E17" s="240">
        <f t="shared" si="6"/>
        <v>0</v>
      </c>
      <c r="F17" s="248">
        <v>3120.0</v>
      </c>
      <c r="G17" s="248">
        <f t="shared" ref="G17:G18" si="10">J16</f>
        <v>10444.76531</v>
      </c>
      <c r="H17" s="248">
        <f t="shared" ref="H17:H18" si="11">F17*G17</f>
        <v>32587667.77</v>
      </c>
      <c r="I17" s="248">
        <f t="shared" ref="I17:I18" si="12">I16-F17</f>
        <v>1705.9</v>
      </c>
      <c r="J17" s="248">
        <f t="shared" si="8"/>
        <v>10444.76531</v>
      </c>
      <c r="K17" s="248">
        <f t="shared" ref="K17:K18" si="13">K16-H17</f>
        <v>17817725.14</v>
      </c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ht="15.75" customHeight="1">
      <c r="A18" s="208">
        <v>14.0</v>
      </c>
      <c r="B18" s="326">
        <v>45191.0</v>
      </c>
      <c r="C18" s="228"/>
      <c r="D18" s="228"/>
      <c r="E18" s="240">
        <f t="shared" si="6"/>
        <v>0</v>
      </c>
      <c r="F18" s="248">
        <v>1161.9</v>
      </c>
      <c r="G18" s="248">
        <f t="shared" si="10"/>
        <v>10444.76531</v>
      </c>
      <c r="H18" s="248">
        <f t="shared" si="11"/>
        <v>12135772.81</v>
      </c>
      <c r="I18" s="248">
        <f t="shared" si="12"/>
        <v>544</v>
      </c>
      <c r="J18" s="248">
        <f t="shared" si="8"/>
        <v>10444.76531</v>
      </c>
      <c r="K18" s="248">
        <f t="shared" si="13"/>
        <v>5681952.329</v>
      </c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199">
        <v>15.0</v>
      </c>
      <c r="B19" s="325">
        <f>'Yakin Pasifik Tuna'!B18</f>
        <v>45195</v>
      </c>
      <c r="C19" s="249">
        <f>'Yakin Pasifik Tuna'!H18</f>
        <v>1172</v>
      </c>
      <c r="D19" s="237">
        <f>'Yakin Pasifik Tuna'!X18</f>
        <v>10442.71357</v>
      </c>
      <c r="E19" s="239">
        <f t="shared" si="6"/>
        <v>12238860.3</v>
      </c>
      <c r="F19" s="237"/>
      <c r="G19" s="237"/>
      <c r="H19" s="237"/>
      <c r="I19" s="237">
        <f t="shared" ref="I19:I30" si="14">I18+C19</f>
        <v>1716</v>
      </c>
      <c r="J19" s="237">
        <f t="shared" si="8"/>
        <v>10443.364</v>
      </c>
      <c r="K19" s="237">
        <f t="shared" ref="K19:K30" si="15">K18+E19</f>
        <v>17920812.63</v>
      </c>
    </row>
    <row r="20" ht="15.75" customHeight="1">
      <c r="A20" s="199">
        <v>16.0</v>
      </c>
      <c r="B20" s="325">
        <f>'Yakin Pasifik Tuna'!B19</f>
        <v>45197</v>
      </c>
      <c r="C20" s="249">
        <f>'Yakin Pasifik Tuna'!H19</f>
        <v>239</v>
      </c>
      <c r="D20" s="237">
        <f>'Yakin Pasifik Tuna'!X19</f>
        <v>10442.11886</v>
      </c>
      <c r="E20" s="239">
        <f t="shared" si="6"/>
        <v>2495666.408</v>
      </c>
      <c r="F20" s="237"/>
      <c r="G20" s="237"/>
      <c r="H20" s="237"/>
      <c r="I20" s="237">
        <f t="shared" si="14"/>
        <v>1955</v>
      </c>
      <c r="J20" s="237">
        <f t="shared" si="8"/>
        <v>10443.21178</v>
      </c>
      <c r="K20" s="237">
        <f t="shared" si="15"/>
        <v>20416479.04</v>
      </c>
    </row>
    <row r="21" ht="15.75" customHeight="1">
      <c r="A21" s="199">
        <v>17.0</v>
      </c>
      <c r="B21" s="325">
        <f>'Yakin Pasifik Tuna'!B20</f>
        <v>45199</v>
      </c>
      <c r="C21" s="249">
        <f>'Yakin Pasifik Tuna'!H20</f>
        <v>1019</v>
      </c>
      <c r="D21" s="237">
        <f>'Yakin Pasifik Tuna'!X20</f>
        <v>10443.16305</v>
      </c>
      <c r="E21" s="239">
        <f t="shared" si="6"/>
        <v>10641583.14</v>
      </c>
      <c r="F21" s="237"/>
      <c r="G21" s="237"/>
      <c r="H21" s="237"/>
      <c r="I21" s="237">
        <f t="shared" si="14"/>
        <v>2974</v>
      </c>
      <c r="J21" s="237">
        <f t="shared" si="8"/>
        <v>10443.19509</v>
      </c>
      <c r="K21" s="237">
        <f t="shared" si="15"/>
        <v>31058062.18</v>
      </c>
      <c r="L21" s="124">
        <f>SUM(H17:H18)</f>
        <v>44723440.58</v>
      </c>
      <c r="M21" s="124">
        <f>L21+'Persediaan &amp; HPP Ca A-B YPT'!L21+'Persediaan &amp; HPP Cakalang PP'!L54+'Persediaan &amp; HPP Cakalang A-B'!L59</f>
        <v>394257163.8</v>
      </c>
    </row>
    <row r="22" ht="15.75" customHeight="1">
      <c r="A22" s="199">
        <v>18.0</v>
      </c>
      <c r="B22" s="126">
        <v>45200.0</v>
      </c>
      <c r="C22" s="237">
        <f>'Yakin Pasifik Tuna'!H23</f>
        <v>332</v>
      </c>
      <c r="D22" s="237">
        <f>'Yakin Pasifik Tuna'!X23</f>
        <v>10441.53328</v>
      </c>
      <c r="E22" s="239">
        <f t="shared" si="6"/>
        <v>3466589.048</v>
      </c>
      <c r="F22" s="237"/>
      <c r="G22" s="237"/>
      <c r="H22" s="237"/>
      <c r="I22" s="237">
        <f t="shared" si="14"/>
        <v>3306</v>
      </c>
      <c r="J22" s="237">
        <f t="shared" si="8"/>
        <v>10443.0282</v>
      </c>
      <c r="K22" s="237">
        <f t="shared" si="15"/>
        <v>34524651.23</v>
      </c>
    </row>
    <row r="23" ht="15.75" customHeight="1">
      <c r="A23" s="199">
        <v>19.0</v>
      </c>
      <c r="B23" s="126">
        <v>45202.0</v>
      </c>
      <c r="C23" s="237">
        <f>'Yakin Pasifik Tuna'!H24</f>
        <v>453</v>
      </c>
      <c r="D23" s="237">
        <f>'Yakin Pasifik Tuna'!X24</f>
        <v>10442.18972</v>
      </c>
      <c r="E23" s="239">
        <f t="shared" si="6"/>
        <v>4730311.944</v>
      </c>
      <c r="F23" s="237"/>
      <c r="G23" s="237"/>
      <c r="H23" s="237"/>
      <c r="I23" s="237">
        <f t="shared" si="14"/>
        <v>3759</v>
      </c>
      <c r="J23" s="237">
        <f t="shared" si="8"/>
        <v>10442.92715</v>
      </c>
      <c r="K23" s="237">
        <f t="shared" si="15"/>
        <v>39254963.18</v>
      </c>
    </row>
    <row r="24" ht="15.75" customHeight="1">
      <c r="A24" s="199">
        <v>20.0</v>
      </c>
      <c r="B24" s="126">
        <v>45203.0</v>
      </c>
      <c r="C24" s="237">
        <f>'Yakin Pasifik Tuna'!H25</f>
        <v>237</v>
      </c>
      <c r="D24" s="237">
        <f>'Yakin Pasifik Tuna'!X25</f>
        <v>10444.45828</v>
      </c>
      <c r="E24" s="239">
        <f t="shared" si="6"/>
        <v>2475336.613</v>
      </c>
      <c r="F24" s="237"/>
      <c r="G24" s="237"/>
      <c r="H24" s="237"/>
      <c r="I24" s="237">
        <f t="shared" si="14"/>
        <v>3996</v>
      </c>
      <c r="J24" s="237">
        <f t="shared" si="8"/>
        <v>10443.01796</v>
      </c>
      <c r="K24" s="237">
        <f t="shared" si="15"/>
        <v>41730299.79</v>
      </c>
    </row>
    <row r="25" ht="15.75" customHeight="1">
      <c r="A25" s="199">
        <v>21.0</v>
      </c>
      <c r="B25" s="126">
        <v>45204.0</v>
      </c>
      <c r="C25" s="237">
        <f>'Yakin Pasifik Tuna'!H26</f>
        <v>767</v>
      </c>
      <c r="D25" s="237">
        <f>'Yakin Pasifik Tuna'!X26</f>
        <v>10446.66667</v>
      </c>
      <c r="E25" s="239">
        <f t="shared" si="6"/>
        <v>8012593.333</v>
      </c>
      <c r="F25" s="237"/>
      <c r="G25" s="237"/>
      <c r="H25" s="237"/>
      <c r="I25" s="237">
        <f t="shared" si="14"/>
        <v>4763</v>
      </c>
      <c r="J25" s="237">
        <f t="shared" si="8"/>
        <v>10443.60553</v>
      </c>
      <c r="K25" s="237">
        <f t="shared" si="15"/>
        <v>49742893.12</v>
      </c>
    </row>
    <row r="26" ht="15.75" customHeight="1">
      <c r="A26" s="199">
        <v>22.0</v>
      </c>
      <c r="B26" s="126">
        <v>45207.0</v>
      </c>
      <c r="C26" s="237">
        <f>'Yakin Pasifik Tuna'!H27</f>
        <v>3732</v>
      </c>
      <c r="D26" s="237">
        <f>'Yakin Pasifik Tuna'!X27</f>
        <v>10294.68513</v>
      </c>
      <c r="E26" s="239">
        <f t="shared" si="6"/>
        <v>38419764.92</v>
      </c>
      <c r="F26" s="237"/>
      <c r="G26" s="237"/>
      <c r="H26" s="237"/>
      <c r="I26" s="237">
        <f t="shared" si="14"/>
        <v>8495</v>
      </c>
      <c r="J26" s="237">
        <f t="shared" si="8"/>
        <v>10378.18223</v>
      </c>
      <c r="K26" s="237">
        <f t="shared" si="15"/>
        <v>88162658.04</v>
      </c>
    </row>
    <row r="27" ht="15.75" customHeight="1">
      <c r="A27" s="199">
        <v>23.0</v>
      </c>
      <c r="B27" s="126">
        <v>45208.0</v>
      </c>
      <c r="C27" s="237">
        <f>'Yakin Pasifik Tuna'!H28</f>
        <v>2534</v>
      </c>
      <c r="D27" s="237">
        <f>'Yakin Pasifik Tuna'!X28</f>
        <v>10285.4025</v>
      </c>
      <c r="E27" s="239">
        <f t="shared" si="6"/>
        <v>26063209.93</v>
      </c>
      <c r="F27" s="237"/>
      <c r="G27" s="237"/>
      <c r="H27" s="237"/>
      <c r="I27" s="237">
        <f t="shared" si="14"/>
        <v>11029</v>
      </c>
      <c r="J27" s="237">
        <f t="shared" si="8"/>
        <v>10356.86535</v>
      </c>
      <c r="K27" s="237">
        <f t="shared" si="15"/>
        <v>114225868</v>
      </c>
    </row>
    <row r="28" ht="15.75" customHeight="1">
      <c r="A28" s="199">
        <v>24.0</v>
      </c>
      <c r="B28" s="126">
        <v>45209.0</v>
      </c>
      <c r="C28" s="237">
        <f>'Yakin Pasifik Tuna'!H29</f>
        <v>1716</v>
      </c>
      <c r="D28" s="237">
        <f>'Yakin Pasifik Tuna'!X29</f>
        <v>10281.14937</v>
      </c>
      <c r="E28" s="239">
        <f t="shared" si="6"/>
        <v>17642452.32</v>
      </c>
      <c r="F28" s="237"/>
      <c r="G28" s="237"/>
      <c r="H28" s="237"/>
      <c r="I28" s="237">
        <f t="shared" si="14"/>
        <v>12745</v>
      </c>
      <c r="J28" s="237">
        <f t="shared" si="8"/>
        <v>10346.67087</v>
      </c>
      <c r="K28" s="237">
        <f t="shared" si="15"/>
        <v>131868320.3</v>
      </c>
    </row>
    <row r="29" ht="15.75" customHeight="1">
      <c r="A29" s="199">
        <v>25.0</v>
      </c>
      <c r="B29" s="126">
        <v>45210.0</v>
      </c>
      <c r="C29" s="237">
        <f>'Yakin Pasifik Tuna'!H30</f>
        <v>370</v>
      </c>
      <c r="D29" s="237">
        <f>'Yakin Pasifik Tuna'!X30</f>
        <v>10279.43689</v>
      </c>
      <c r="E29" s="239">
        <f t="shared" si="6"/>
        <v>3803391.65</v>
      </c>
      <c r="F29" s="237"/>
      <c r="G29" s="237"/>
      <c r="H29" s="237"/>
      <c r="I29" s="237">
        <f t="shared" si="14"/>
        <v>13115</v>
      </c>
      <c r="J29" s="237">
        <f t="shared" si="8"/>
        <v>10344.77407</v>
      </c>
      <c r="K29" s="237">
        <f t="shared" si="15"/>
        <v>135671711.9</v>
      </c>
    </row>
    <row r="30" ht="15.75" customHeight="1">
      <c r="A30" s="199">
        <v>26.0</v>
      </c>
      <c r="B30" s="126">
        <v>45211.0</v>
      </c>
      <c r="C30" s="237">
        <f>'Yakin Pasifik Tuna'!H31</f>
        <v>1112</v>
      </c>
      <c r="D30" s="237">
        <f>'Yakin Pasifik Tuna'!X31</f>
        <v>10280.79796</v>
      </c>
      <c r="E30" s="239">
        <f t="shared" si="6"/>
        <v>11432247.33</v>
      </c>
      <c r="F30" s="237"/>
      <c r="G30" s="237"/>
      <c r="H30" s="237"/>
      <c r="I30" s="237">
        <f t="shared" si="14"/>
        <v>14227</v>
      </c>
      <c r="J30" s="237">
        <f t="shared" si="8"/>
        <v>10339.77362</v>
      </c>
      <c r="K30" s="237">
        <f t="shared" si="15"/>
        <v>147103959.3</v>
      </c>
    </row>
    <row r="31" ht="15.75" customHeight="1">
      <c r="A31" s="208">
        <v>27.0</v>
      </c>
      <c r="B31" s="329">
        <v>45212.0</v>
      </c>
      <c r="C31" s="228"/>
      <c r="D31" s="228"/>
      <c r="E31" s="240">
        <f t="shared" si="6"/>
        <v>0</v>
      </c>
      <c r="F31" s="248">
        <v>10450.0</v>
      </c>
      <c r="G31" s="248">
        <f>J30</f>
        <v>10339.77362</v>
      </c>
      <c r="H31" s="248">
        <f>F31*G31</f>
        <v>108050634.3</v>
      </c>
      <c r="I31" s="248">
        <f>I30-F31</f>
        <v>3777</v>
      </c>
      <c r="J31" s="248">
        <f t="shared" si="8"/>
        <v>10339.77362</v>
      </c>
      <c r="K31" s="248">
        <f>K30-H31</f>
        <v>39053324.96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ht="15.75" customHeight="1">
      <c r="A32" s="199">
        <v>28.0</v>
      </c>
      <c r="B32" s="143">
        <v>45212.0</v>
      </c>
      <c r="C32" s="249">
        <f>'Yakin Pasifik Tuna'!H32</f>
        <v>1278</v>
      </c>
      <c r="D32" s="237">
        <f>'Yakin Pasifik Tuna'!X32</f>
        <v>10284.48487</v>
      </c>
      <c r="E32" s="239">
        <f t="shared" si="6"/>
        <v>13143571.67</v>
      </c>
      <c r="F32" s="237"/>
      <c r="G32" s="237"/>
      <c r="H32" s="237"/>
      <c r="I32" s="237">
        <f t="shared" ref="I32:I35" si="16">I31+C32</f>
        <v>5055</v>
      </c>
      <c r="J32" s="237">
        <f t="shared" si="8"/>
        <v>10325.79557</v>
      </c>
      <c r="K32" s="237">
        <f t="shared" ref="K32:K35" si="17">K31+E32</f>
        <v>52196896.63</v>
      </c>
    </row>
    <row r="33" ht="15.75" customHeight="1">
      <c r="A33" s="199">
        <v>29.0</v>
      </c>
      <c r="B33" s="126">
        <v>45213.0</v>
      </c>
      <c r="C33" s="249">
        <f>'Yakin Pasifik Tuna'!H33</f>
        <v>421</v>
      </c>
      <c r="D33" s="237">
        <f>'Yakin Pasifik Tuna'!X33</f>
        <v>10280.38985</v>
      </c>
      <c r="E33" s="239">
        <f t="shared" si="6"/>
        <v>4328044.129</v>
      </c>
      <c r="F33" s="237"/>
      <c r="G33" s="237"/>
      <c r="H33" s="237"/>
      <c r="I33" s="237">
        <f t="shared" si="16"/>
        <v>5476</v>
      </c>
      <c r="J33" s="237">
        <f t="shared" si="8"/>
        <v>10322.30474</v>
      </c>
      <c r="K33" s="237">
        <f t="shared" si="17"/>
        <v>56524940.76</v>
      </c>
    </row>
    <row r="34" ht="15.75" customHeight="1">
      <c r="A34" s="199">
        <v>30.0</v>
      </c>
      <c r="B34" s="126">
        <v>45216.0</v>
      </c>
      <c r="C34" s="249">
        <f>'Yakin Pasifik Tuna'!H34</f>
        <v>438</v>
      </c>
      <c r="D34" s="237">
        <f>'Yakin Pasifik Tuna'!X34</f>
        <v>10283.38575</v>
      </c>
      <c r="E34" s="239">
        <f t="shared" si="6"/>
        <v>4504122.958</v>
      </c>
      <c r="F34" s="237"/>
      <c r="G34" s="237"/>
      <c r="H34" s="237"/>
      <c r="I34" s="237">
        <f t="shared" si="16"/>
        <v>5914</v>
      </c>
      <c r="J34" s="237">
        <f t="shared" si="8"/>
        <v>10319.42234</v>
      </c>
      <c r="K34" s="237">
        <f t="shared" si="17"/>
        <v>61029063.71</v>
      </c>
    </row>
    <row r="35" ht="15.75" customHeight="1">
      <c r="A35" s="199">
        <v>31.0</v>
      </c>
      <c r="B35" s="126">
        <v>45217.0</v>
      </c>
      <c r="C35" s="249">
        <f>'Yakin Pasifik Tuna'!H35</f>
        <v>1430</v>
      </c>
      <c r="D35" s="237">
        <f>'Yakin Pasifik Tuna'!X35</f>
        <v>10289.93315</v>
      </c>
      <c r="E35" s="239">
        <f t="shared" si="6"/>
        <v>14714604.4</v>
      </c>
      <c r="F35" s="237"/>
      <c r="G35" s="237"/>
      <c r="H35" s="237"/>
      <c r="I35" s="237">
        <f t="shared" si="16"/>
        <v>7344</v>
      </c>
      <c r="J35" s="237">
        <f t="shared" si="8"/>
        <v>10313.6803</v>
      </c>
      <c r="K35" s="237">
        <f t="shared" si="17"/>
        <v>75743668.12</v>
      </c>
    </row>
    <row r="36" ht="15.75" customHeight="1">
      <c r="A36" s="208">
        <v>32.0</v>
      </c>
      <c r="B36" s="329">
        <v>45219.0</v>
      </c>
      <c r="C36" s="228"/>
      <c r="D36" s="228"/>
      <c r="E36" s="240">
        <f t="shared" si="6"/>
        <v>0</v>
      </c>
      <c r="F36" s="248">
        <v>2570.0</v>
      </c>
      <c r="G36" s="248">
        <f>J35</f>
        <v>10313.6803</v>
      </c>
      <c r="H36" s="248">
        <f>F36*G36</f>
        <v>26506158.37</v>
      </c>
      <c r="I36" s="248">
        <f>I35-F36</f>
        <v>4774</v>
      </c>
      <c r="J36" s="248">
        <f t="shared" si="8"/>
        <v>10313.6803</v>
      </c>
      <c r="K36" s="248">
        <f>K35-H36</f>
        <v>49237509.75</v>
      </c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199">
        <v>33.0</v>
      </c>
      <c r="B37" s="126">
        <v>45220.0</v>
      </c>
      <c r="C37" s="249">
        <f>'Yakin Pasifik Tuna'!H36</f>
        <v>1782</v>
      </c>
      <c r="D37" s="237">
        <f>'Yakin Pasifik Tuna'!X36</f>
        <v>10290.53207</v>
      </c>
      <c r="E37" s="239">
        <f t="shared" si="6"/>
        <v>18337728.14</v>
      </c>
      <c r="F37" s="237"/>
      <c r="G37" s="237"/>
      <c r="H37" s="237"/>
      <c r="I37" s="237">
        <f>I36+C37</f>
        <v>6556</v>
      </c>
      <c r="J37" s="237">
        <f t="shared" si="8"/>
        <v>10307.38833</v>
      </c>
      <c r="K37" s="237">
        <f>K36+E37</f>
        <v>67575237.89</v>
      </c>
    </row>
    <row r="38" ht="15.75" customHeight="1">
      <c r="A38" s="208">
        <v>34.0</v>
      </c>
      <c r="B38" s="329">
        <v>45221.0</v>
      </c>
      <c r="C38" s="228"/>
      <c r="D38" s="228"/>
      <c r="E38" s="240">
        <f t="shared" si="6"/>
        <v>0</v>
      </c>
      <c r="F38" s="248">
        <v>1130.0</v>
      </c>
      <c r="G38" s="248">
        <f>J37</f>
        <v>10307.38833</v>
      </c>
      <c r="H38" s="248">
        <f>F38*G38</f>
        <v>11647348.81</v>
      </c>
      <c r="I38" s="248">
        <f>I37-F38</f>
        <v>5426</v>
      </c>
      <c r="J38" s="248">
        <f t="shared" si="8"/>
        <v>10307.38833</v>
      </c>
      <c r="K38" s="248">
        <f>K37-H38</f>
        <v>55927889.08</v>
      </c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ht="15.75" customHeight="1">
      <c r="A39" s="199">
        <v>35.0</v>
      </c>
      <c r="B39" s="126">
        <v>45223.0</v>
      </c>
      <c r="C39" s="249">
        <f>'Yakin Pasifik Tuna'!H37</f>
        <v>291</v>
      </c>
      <c r="D39" s="237">
        <f>'Yakin Pasifik Tuna'!X37</f>
        <v>10283.46967</v>
      </c>
      <c r="E39" s="239">
        <f t="shared" si="6"/>
        <v>2992489.675</v>
      </c>
      <c r="F39" s="237"/>
      <c r="G39" s="237"/>
      <c r="H39" s="237"/>
      <c r="I39" s="237">
        <f t="shared" ref="I39:I42" si="18">I38+C39</f>
        <v>5717</v>
      </c>
      <c r="J39" s="237">
        <f t="shared" si="8"/>
        <v>10306.17085</v>
      </c>
      <c r="K39" s="237">
        <f t="shared" ref="K39:K42" si="19">K38+E39</f>
        <v>58920378.75</v>
      </c>
    </row>
    <row r="40" ht="15.75" customHeight="1">
      <c r="A40" s="199">
        <v>36.0</v>
      </c>
      <c r="B40" s="126">
        <v>45225.0</v>
      </c>
      <c r="C40" s="249">
        <f>'Yakin Pasifik Tuna'!H38</f>
        <v>229</v>
      </c>
      <c r="D40" s="237">
        <f>'Yakin Pasifik Tuna'!X38</f>
        <v>10280.84685</v>
      </c>
      <c r="E40" s="239">
        <f t="shared" si="6"/>
        <v>2354313.928</v>
      </c>
      <c r="F40" s="237"/>
      <c r="G40" s="237"/>
      <c r="H40" s="237"/>
      <c r="I40" s="237">
        <f t="shared" si="18"/>
        <v>5946</v>
      </c>
      <c r="J40" s="237">
        <f t="shared" si="8"/>
        <v>10305.19554</v>
      </c>
      <c r="K40" s="237">
        <f t="shared" si="19"/>
        <v>61274692.68</v>
      </c>
    </row>
    <row r="41" ht="15.75" customHeight="1">
      <c r="A41" s="199">
        <v>37.0</v>
      </c>
      <c r="B41" s="126">
        <v>45227.0</v>
      </c>
      <c r="C41" s="249">
        <f>'Yakin Pasifik Tuna'!H39</f>
        <v>326</v>
      </c>
      <c r="D41" s="237">
        <f>'Yakin Pasifik Tuna'!X39</f>
        <v>10286.61708</v>
      </c>
      <c r="E41" s="239">
        <f t="shared" si="6"/>
        <v>3353437.168</v>
      </c>
      <c r="F41" s="237"/>
      <c r="G41" s="237"/>
      <c r="H41" s="237"/>
      <c r="I41" s="237">
        <f t="shared" si="18"/>
        <v>6272</v>
      </c>
      <c r="J41" s="237">
        <f t="shared" si="8"/>
        <v>10304.22989</v>
      </c>
      <c r="K41" s="237">
        <f t="shared" si="19"/>
        <v>64628129.85</v>
      </c>
    </row>
    <row r="42" ht="15.75" customHeight="1">
      <c r="A42" s="199">
        <v>38.0</v>
      </c>
      <c r="B42" s="126">
        <v>45228.0</v>
      </c>
      <c r="C42" s="249">
        <f>'Yakin Pasifik Tuna'!H40</f>
        <v>93</v>
      </c>
      <c r="D42" s="237">
        <f>'Yakin Pasifik Tuna'!X40</f>
        <v>10278.68352</v>
      </c>
      <c r="E42" s="239">
        <f t="shared" si="6"/>
        <v>955917.5675</v>
      </c>
      <c r="F42" s="237"/>
      <c r="G42" s="237"/>
      <c r="H42" s="237"/>
      <c r="I42" s="237">
        <f t="shared" si="18"/>
        <v>6365</v>
      </c>
      <c r="J42" s="237">
        <f t="shared" si="8"/>
        <v>10303.85662</v>
      </c>
      <c r="K42" s="237">
        <f t="shared" si="19"/>
        <v>65584047.42</v>
      </c>
    </row>
    <row r="43" ht="15.75" customHeight="1">
      <c r="A43" s="208">
        <v>39.0</v>
      </c>
      <c r="B43" s="332">
        <f>'Persediaan &amp; HPP Ca A-B YPT'!B43</f>
        <v>45254</v>
      </c>
      <c r="C43" s="228"/>
      <c r="D43" s="228"/>
      <c r="E43" s="248"/>
      <c r="F43" s="248">
        <f>20000-'Persediaan &amp; HPP Ca A-B YPT'!F43</f>
        <v>1010</v>
      </c>
      <c r="G43" s="248">
        <f>J42</f>
        <v>10303.85662</v>
      </c>
      <c r="H43" s="248">
        <f>F43*G43</f>
        <v>10406895.19</v>
      </c>
      <c r="I43" s="248">
        <f>I42-F43</f>
        <v>5355</v>
      </c>
      <c r="J43" s="248">
        <f t="shared" si="8"/>
        <v>10303.85662</v>
      </c>
      <c r="K43" s="248">
        <f>K42-H43</f>
        <v>55177152.23</v>
      </c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199">
        <v>40.0</v>
      </c>
      <c r="B44" s="333">
        <f>'Persediaan &amp; HPP Ca A-B YPT'!B44</f>
        <v>45259</v>
      </c>
      <c r="C44" s="249">
        <f>'Yakin Pasifik Tuna'!H43</f>
        <v>82.4</v>
      </c>
      <c r="D44" s="237">
        <f>'Yakin Pasifik Tuna'!X43</f>
        <v>8288.351145</v>
      </c>
      <c r="E44" s="237">
        <f t="shared" ref="E44:E45" si="20">C44*D44</f>
        <v>682960.1344</v>
      </c>
      <c r="F44" s="237"/>
      <c r="G44" s="237"/>
      <c r="H44" s="237"/>
      <c r="I44" s="237">
        <f t="shared" ref="I44:I45" si="21">I43+C44</f>
        <v>5437.4</v>
      </c>
      <c r="J44" s="237">
        <f t="shared" si="8"/>
        <v>10273.31305</v>
      </c>
      <c r="K44" s="237">
        <f t="shared" ref="K44:K45" si="22">K43+E44</f>
        <v>55860112.36</v>
      </c>
    </row>
    <row r="45" ht="15.75" customHeight="1">
      <c r="A45" s="199">
        <v>41.0</v>
      </c>
      <c r="B45" s="333">
        <f>'Persediaan &amp; HPP Ca A-B YPT'!B45</f>
        <v>45260</v>
      </c>
      <c r="C45" s="249">
        <f>'Yakin Pasifik Tuna'!H44</f>
        <v>79.1</v>
      </c>
      <c r="D45" s="237">
        <f>'Yakin Pasifik Tuna'!X44</f>
        <v>9291.772833</v>
      </c>
      <c r="E45" s="237">
        <f t="shared" si="20"/>
        <v>734979.2311</v>
      </c>
      <c r="F45" s="237"/>
      <c r="G45" s="237"/>
      <c r="H45" s="237"/>
      <c r="I45" s="237">
        <f t="shared" si="21"/>
        <v>5516.5</v>
      </c>
      <c r="J45" s="237">
        <f t="shared" si="8"/>
        <v>10259.23894</v>
      </c>
      <c r="K45" s="237">
        <f t="shared" si="22"/>
        <v>56595091.59</v>
      </c>
    </row>
    <row r="46" ht="15.75" customHeight="1">
      <c r="A46" s="353"/>
      <c r="B46" s="336"/>
      <c r="C46" s="337"/>
      <c r="D46" s="338"/>
      <c r="E46" s="338"/>
      <c r="F46" s="338"/>
      <c r="G46" s="338"/>
      <c r="H46" s="338"/>
      <c r="I46" s="338">
        <f>2380</f>
        <v>2380</v>
      </c>
      <c r="J46" s="338">
        <f>J45</f>
        <v>10259.23894</v>
      </c>
      <c r="K46" s="338">
        <f>I46*J46</f>
        <v>24416988.67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ht="15.75" customHeight="1">
      <c r="A47" s="199">
        <v>42.0</v>
      </c>
      <c r="B47" s="333">
        <f>'Yakin Pasifik Tuna'!B51</f>
        <v>45269</v>
      </c>
      <c r="C47" s="237">
        <f>'Yakin Pasifik Tuna'!I51</f>
        <v>50</v>
      </c>
      <c r="D47" s="237">
        <f>'Yakin Pasifik Tuna'!Y51</f>
        <v>5284.909091</v>
      </c>
      <c r="E47" s="237">
        <f t="shared" ref="E47:E73" si="23">C47*D47</f>
        <v>264245.4545</v>
      </c>
      <c r="F47" s="237"/>
      <c r="G47" s="237"/>
      <c r="H47" s="237"/>
      <c r="I47" s="237">
        <f t="shared" ref="I47:I73" si="24">I46+C47</f>
        <v>2430</v>
      </c>
      <c r="J47" s="237">
        <f t="shared" ref="J47:J73" si="25">K47/I47</f>
        <v>10156.88647</v>
      </c>
      <c r="K47" s="237">
        <f t="shared" ref="K47:K73" si="26">K46+E47</f>
        <v>24681234.12</v>
      </c>
    </row>
    <row r="48" ht="15.75" customHeight="1">
      <c r="A48" s="199">
        <v>43.0</v>
      </c>
      <c r="B48" s="333">
        <f>'Yakin Pasifik Tuna'!B52</f>
        <v>45270</v>
      </c>
      <c r="C48" s="237">
        <f>'Yakin Pasifik Tuna'!I52</f>
        <v>2108.2</v>
      </c>
      <c r="D48" s="237">
        <f>'Yakin Pasifik Tuna'!Y52</f>
        <v>5296.403487</v>
      </c>
      <c r="E48" s="237">
        <f t="shared" si="23"/>
        <v>11165877.83</v>
      </c>
      <c r="F48" s="237"/>
      <c r="G48" s="237"/>
      <c r="H48" s="237"/>
      <c r="I48" s="237">
        <f t="shared" si="24"/>
        <v>4538.2</v>
      </c>
      <c r="J48" s="237">
        <f t="shared" si="25"/>
        <v>7898.971388</v>
      </c>
      <c r="K48" s="237">
        <f t="shared" si="26"/>
        <v>35847111.95</v>
      </c>
    </row>
    <row r="49" ht="15.75" customHeight="1">
      <c r="A49" s="199">
        <v>44.0</v>
      </c>
      <c r="B49" s="333">
        <f>'Yakin Pasifik Tuna'!B53</f>
        <v>45271</v>
      </c>
      <c r="C49" s="237">
        <f>'Yakin Pasifik Tuna'!I53</f>
        <v>470.9</v>
      </c>
      <c r="D49" s="237">
        <f>'Yakin Pasifik Tuna'!Y53</f>
        <v>5289.871254</v>
      </c>
      <c r="E49" s="237">
        <f t="shared" si="23"/>
        <v>2491000.373</v>
      </c>
      <c r="F49" s="237"/>
      <c r="G49" s="237"/>
      <c r="H49" s="237"/>
      <c r="I49" s="237">
        <f t="shared" si="24"/>
        <v>5009.1</v>
      </c>
      <c r="J49" s="237">
        <f t="shared" si="25"/>
        <v>7653.692745</v>
      </c>
      <c r="K49" s="237">
        <f t="shared" si="26"/>
        <v>38338112.33</v>
      </c>
    </row>
    <row r="50" ht="15.75" customHeight="1">
      <c r="A50" s="199">
        <v>45.0</v>
      </c>
      <c r="B50" s="333">
        <v>45278.0</v>
      </c>
      <c r="C50" s="237">
        <f>'Yakin Pasifik Tuna'!I54</f>
        <v>144.5</v>
      </c>
      <c r="D50" s="237">
        <f>'Yakin Pasifik Tuna'!Y54</f>
        <v>5284.002792</v>
      </c>
      <c r="E50" s="237">
        <f t="shared" si="23"/>
        <v>763538.4034</v>
      </c>
      <c r="F50" s="237"/>
      <c r="G50" s="237"/>
      <c r="H50" s="237"/>
      <c r="I50" s="237">
        <f t="shared" si="24"/>
        <v>5153.6</v>
      </c>
      <c r="J50" s="237">
        <f t="shared" si="25"/>
        <v>7587.249831</v>
      </c>
      <c r="K50" s="237">
        <f t="shared" si="26"/>
        <v>39101650.73</v>
      </c>
    </row>
    <row r="51" ht="15.75" customHeight="1">
      <c r="A51" s="199">
        <v>46.0</v>
      </c>
      <c r="B51" s="333">
        <v>45279.0</v>
      </c>
      <c r="C51" s="237">
        <f>'Yakin Pasifik Tuna'!I55</f>
        <v>401.7</v>
      </c>
      <c r="D51" s="237">
        <f>'Yakin Pasifik Tuna'!Y55</f>
        <v>5281.703417</v>
      </c>
      <c r="E51" s="237">
        <f t="shared" si="23"/>
        <v>2121660.263</v>
      </c>
      <c r="F51" s="237"/>
      <c r="G51" s="237"/>
      <c r="H51" s="237"/>
      <c r="I51" s="237">
        <f t="shared" si="24"/>
        <v>5555.3</v>
      </c>
      <c r="J51" s="237">
        <f t="shared" si="25"/>
        <v>7420.537323</v>
      </c>
      <c r="K51" s="237">
        <f t="shared" si="26"/>
        <v>41223310.99</v>
      </c>
    </row>
    <row r="52" ht="15.75" customHeight="1">
      <c r="A52" s="199">
        <v>47.0</v>
      </c>
      <c r="B52" s="333">
        <f>'Yakin Pasifik Tuna'!B56</f>
        <v>45280</v>
      </c>
      <c r="C52" s="237">
        <f>'Yakin Pasifik Tuna'!I56</f>
        <v>3826</v>
      </c>
      <c r="D52" s="237">
        <f>'Yakin Pasifik Tuna'!Y56</f>
        <v>5276.857143</v>
      </c>
      <c r="E52" s="237">
        <f t="shared" si="23"/>
        <v>20189255.43</v>
      </c>
      <c r="F52" s="237"/>
      <c r="G52" s="237"/>
      <c r="H52" s="237"/>
      <c r="I52" s="237">
        <f t="shared" si="24"/>
        <v>9381.3</v>
      </c>
      <c r="J52" s="237">
        <f t="shared" si="25"/>
        <v>6546.274655</v>
      </c>
      <c r="K52" s="237">
        <f t="shared" si="26"/>
        <v>61412566.42</v>
      </c>
    </row>
    <row r="53" ht="15.75" customHeight="1">
      <c r="A53" s="199">
        <v>48.0</v>
      </c>
      <c r="B53" s="333">
        <f>'Yakin Pasifik Tuna'!B57</f>
        <v>45281</v>
      </c>
      <c r="C53" s="237" t="str">
        <f>'Yakin Pasifik Tuna'!I57</f>
        <v/>
      </c>
      <c r="D53" s="237">
        <f>'Yakin Pasifik Tuna'!Y57</f>
        <v>0</v>
      </c>
      <c r="E53" s="237">
        <f t="shared" si="23"/>
        <v>0</v>
      </c>
      <c r="F53" s="237"/>
      <c r="G53" s="237"/>
      <c r="H53" s="237"/>
      <c r="I53" s="237">
        <f t="shared" si="24"/>
        <v>9381.3</v>
      </c>
      <c r="J53" s="237">
        <f t="shared" si="25"/>
        <v>6546.274655</v>
      </c>
      <c r="K53" s="237">
        <f t="shared" si="26"/>
        <v>61412566.42</v>
      </c>
    </row>
    <row r="54" ht="15.75" customHeight="1">
      <c r="A54" s="199">
        <v>49.0</v>
      </c>
      <c r="B54" s="333">
        <f>'Yakin Pasifik Tuna'!B58</f>
        <v>45282</v>
      </c>
      <c r="C54" s="237" t="str">
        <f>'Yakin Pasifik Tuna'!I58</f>
        <v/>
      </c>
      <c r="D54" s="237">
        <f>'Yakin Pasifik Tuna'!Y58</f>
        <v>0</v>
      </c>
      <c r="E54" s="237">
        <f t="shared" si="23"/>
        <v>0</v>
      </c>
      <c r="F54" s="237"/>
      <c r="G54" s="237"/>
      <c r="H54" s="237"/>
      <c r="I54" s="237">
        <f t="shared" si="24"/>
        <v>9381.3</v>
      </c>
      <c r="J54" s="237">
        <f t="shared" si="25"/>
        <v>6546.274655</v>
      </c>
      <c r="K54" s="237">
        <f t="shared" si="26"/>
        <v>61412566.42</v>
      </c>
    </row>
    <row r="55" ht="15.75" customHeight="1">
      <c r="A55" s="199">
        <v>50.0</v>
      </c>
      <c r="B55" s="333">
        <f>'Yakin Pasifik Tuna'!B59</f>
        <v>45283</v>
      </c>
      <c r="C55" s="237">
        <f>'Yakin Pasifik Tuna'!I59</f>
        <v>152</v>
      </c>
      <c r="D55" s="237">
        <f>'Yakin Pasifik Tuna'!Y59</f>
        <v>5272.162544</v>
      </c>
      <c r="E55" s="237">
        <f t="shared" si="23"/>
        <v>801368.7067</v>
      </c>
      <c r="F55" s="237"/>
      <c r="G55" s="237"/>
      <c r="H55" s="237"/>
      <c r="I55" s="237">
        <f t="shared" si="24"/>
        <v>9533.3</v>
      </c>
      <c r="J55" s="237">
        <f t="shared" si="25"/>
        <v>6525.960069</v>
      </c>
      <c r="K55" s="237">
        <f t="shared" si="26"/>
        <v>62213935.13</v>
      </c>
    </row>
    <row r="56" ht="15.75" customHeight="1">
      <c r="A56" s="199">
        <v>51.0</v>
      </c>
      <c r="B56" s="333">
        <f>'Yakin Pasifik Tuna'!B60</f>
        <v>45284</v>
      </c>
      <c r="C56" s="237" t="str">
        <f>'Yakin Pasifik Tuna'!I60</f>
        <v/>
      </c>
      <c r="D56" s="237">
        <f>'Yakin Pasifik Tuna'!Y60</f>
        <v>0</v>
      </c>
      <c r="E56" s="237">
        <f t="shared" si="23"/>
        <v>0</v>
      </c>
      <c r="F56" s="237"/>
      <c r="G56" s="237"/>
      <c r="H56" s="237"/>
      <c r="I56" s="237">
        <f t="shared" si="24"/>
        <v>9533.3</v>
      </c>
      <c r="J56" s="237">
        <f t="shared" si="25"/>
        <v>6525.960069</v>
      </c>
      <c r="K56" s="237">
        <f t="shared" si="26"/>
        <v>62213935.13</v>
      </c>
    </row>
    <row r="57" ht="15.75" customHeight="1">
      <c r="A57" s="199">
        <v>52.0</v>
      </c>
      <c r="B57" s="333">
        <f>'Yakin Pasifik Tuna'!B65</f>
        <v>45295</v>
      </c>
      <c r="C57" s="237">
        <f>'Yakin Pasifik Tuna'!I65</f>
        <v>107</v>
      </c>
      <c r="D57" s="237">
        <f>'Yakin Pasifik Tuna'!Z65</f>
        <v>5278.796228</v>
      </c>
      <c r="E57" s="237">
        <f t="shared" si="23"/>
        <v>564831.1964</v>
      </c>
      <c r="F57" s="237"/>
      <c r="G57" s="237"/>
      <c r="H57" s="237"/>
      <c r="I57" s="237">
        <f t="shared" si="24"/>
        <v>9640.3</v>
      </c>
      <c r="J57" s="237">
        <f t="shared" si="25"/>
        <v>6512.117499</v>
      </c>
      <c r="K57" s="237">
        <f t="shared" si="26"/>
        <v>62778766.32</v>
      </c>
    </row>
    <row r="58" ht="15.75" customHeight="1">
      <c r="A58" s="199">
        <v>53.0</v>
      </c>
      <c r="B58" s="333">
        <f>'Yakin Pasifik Tuna'!B66</f>
        <v>45297</v>
      </c>
      <c r="C58" s="237">
        <f>'Yakin Pasifik Tuna'!I66</f>
        <v>412.4</v>
      </c>
      <c r="D58" s="237">
        <f>'Yakin Pasifik Tuna'!Z66</f>
        <v>5281.967888</v>
      </c>
      <c r="E58" s="237">
        <f t="shared" si="23"/>
        <v>2178283.557</v>
      </c>
      <c r="F58" s="237"/>
      <c r="G58" s="237"/>
      <c r="H58" s="237"/>
      <c r="I58" s="237">
        <f t="shared" si="24"/>
        <v>10052.7</v>
      </c>
      <c r="J58" s="237">
        <f t="shared" si="25"/>
        <v>6461.652082</v>
      </c>
      <c r="K58" s="237">
        <f t="shared" si="26"/>
        <v>64957049.88</v>
      </c>
    </row>
    <row r="59" ht="15.75" customHeight="1">
      <c r="A59" s="199">
        <v>54.0</v>
      </c>
      <c r="B59" s="333">
        <f>'Yakin Pasifik Tuna'!B67</f>
        <v>45298</v>
      </c>
      <c r="C59" s="237">
        <f>'Yakin Pasifik Tuna'!I67</f>
        <v>340.7</v>
      </c>
      <c r="D59" s="237">
        <f>'Yakin Pasifik Tuna'!Z67</f>
        <v>5287.382084</v>
      </c>
      <c r="E59" s="237">
        <f t="shared" si="23"/>
        <v>1801411.076</v>
      </c>
      <c r="F59" s="237"/>
      <c r="G59" s="237"/>
      <c r="H59" s="237"/>
      <c r="I59" s="237">
        <f t="shared" si="24"/>
        <v>10393.4</v>
      </c>
      <c r="J59" s="237">
        <f t="shared" si="25"/>
        <v>6423.15902</v>
      </c>
      <c r="K59" s="237">
        <f t="shared" si="26"/>
        <v>66758460.96</v>
      </c>
    </row>
    <row r="60" ht="15.75" customHeight="1">
      <c r="A60" s="166"/>
      <c r="B60" s="333">
        <f>'Yakin Pasifik Tuna'!B68</f>
        <v>45300</v>
      </c>
      <c r="C60" s="237">
        <f>'Yakin Pasifik Tuna'!I68</f>
        <v>593.8</v>
      </c>
      <c r="D60" s="237">
        <f>'Yakin Pasifik Tuna'!Z68</f>
        <v>5294.157722</v>
      </c>
      <c r="E60" s="237">
        <f t="shared" si="23"/>
        <v>3143670.855</v>
      </c>
      <c r="F60" s="237"/>
      <c r="G60" s="237"/>
      <c r="H60" s="237"/>
      <c r="I60" s="237">
        <f t="shared" si="24"/>
        <v>10987.2</v>
      </c>
      <c r="J60" s="237">
        <f t="shared" si="25"/>
        <v>6362.142476</v>
      </c>
      <c r="K60" s="237">
        <f t="shared" si="26"/>
        <v>69902131.81</v>
      </c>
    </row>
    <row r="61" ht="15.75" customHeight="1">
      <c r="A61" s="166"/>
      <c r="B61" s="333">
        <f>'Yakin Pasifik Tuna'!B69</f>
        <v>45301</v>
      </c>
      <c r="C61" s="237">
        <f>'Yakin Pasifik Tuna'!I69</f>
        <v>55.8</v>
      </c>
      <c r="D61" s="237">
        <f>'Yakin Pasifik Tuna'!Z69</f>
        <v>5278.253368</v>
      </c>
      <c r="E61" s="237">
        <f t="shared" si="23"/>
        <v>294526.5379</v>
      </c>
      <c r="F61" s="237"/>
      <c r="G61" s="237"/>
      <c r="H61" s="237"/>
      <c r="I61" s="237">
        <f t="shared" si="24"/>
        <v>11043</v>
      </c>
      <c r="J61" s="237">
        <f t="shared" si="25"/>
        <v>6356.665612</v>
      </c>
      <c r="K61" s="237">
        <f t="shared" si="26"/>
        <v>70196658.35</v>
      </c>
    </row>
    <row r="62" ht="15.75" customHeight="1">
      <c r="A62" s="166"/>
      <c r="B62" s="333">
        <f>'Yakin Pasifik Tuna'!B70</f>
        <v>45302</v>
      </c>
      <c r="C62" s="237">
        <f>'Yakin Pasifik Tuna'!I70</f>
        <v>1369.2</v>
      </c>
      <c r="D62" s="237">
        <f>'Yakin Pasifik Tuna'!Z70</f>
        <v>5271.482653</v>
      </c>
      <c r="E62" s="237">
        <f t="shared" si="23"/>
        <v>7217714.049</v>
      </c>
      <c r="F62" s="237"/>
      <c r="G62" s="237"/>
      <c r="H62" s="237"/>
      <c r="I62" s="237">
        <f t="shared" si="24"/>
        <v>12412.2</v>
      </c>
      <c r="J62" s="237">
        <f t="shared" si="25"/>
        <v>6236.958186</v>
      </c>
      <c r="K62" s="237">
        <f t="shared" si="26"/>
        <v>77414372.4</v>
      </c>
    </row>
    <row r="63" ht="15.75" customHeight="1">
      <c r="A63" s="166"/>
      <c r="B63" s="333">
        <f>'Yakin Pasifik Tuna'!B71</f>
        <v>45304</v>
      </c>
      <c r="C63" s="237">
        <f>'Yakin Pasifik Tuna'!I71</f>
        <v>48.4</v>
      </c>
      <c r="D63" s="237">
        <f>'Yakin Pasifik Tuna'!Z71</f>
        <v>5304.048888</v>
      </c>
      <c r="E63" s="237">
        <f t="shared" si="23"/>
        <v>256715.9662</v>
      </c>
      <c r="F63" s="237"/>
      <c r="G63" s="237"/>
      <c r="H63" s="237"/>
      <c r="I63" s="237">
        <f t="shared" si="24"/>
        <v>12460.6</v>
      </c>
      <c r="J63" s="237">
        <f t="shared" si="25"/>
        <v>6233.33454</v>
      </c>
      <c r="K63" s="237">
        <f t="shared" si="26"/>
        <v>77671088.37</v>
      </c>
    </row>
    <row r="64" ht="15.75" customHeight="1">
      <c r="A64" s="166"/>
      <c r="B64" s="333">
        <f>'Yakin Pasifik Tuna'!B72</f>
        <v>45306</v>
      </c>
      <c r="C64" s="237">
        <f>'Yakin Pasifik Tuna'!I72</f>
        <v>6.5</v>
      </c>
      <c r="D64" s="237">
        <f>'Yakin Pasifik Tuna'!Z72</f>
        <v>5276.857143</v>
      </c>
      <c r="E64" s="237">
        <f t="shared" si="23"/>
        <v>34299.57143</v>
      </c>
      <c r="F64" s="237"/>
      <c r="G64" s="237"/>
      <c r="H64" s="237"/>
      <c r="I64" s="237">
        <f t="shared" si="24"/>
        <v>12467.1</v>
      </c>
      <c r="J64" s="237">
        <f t="shared" si="25"/>
        <v>6232.835859</v>
      </c>
      <c r="K64" s="237">
        <f t="shared" si="26"/>
        <v>77705387.94</v>
      </c>
    </row>
    <row r="65" ht="15.75" customHeight="1">
      <c r="A65" s="166"/>
      <c r="B65" s="333">
        <f>'Yakin Pasifik Tuna'!B73</f>
        <v>45307</v>
      </c>
      <c r="C65" s="237">
        <f>'Yakin Pasifik Tuna'!I73</f>
        <v>3.7</v>
      </c>
      <c r="D65" s="237">
        <f>'Yakin Pasifik Tuna'!Z73</f>
        <v>5277.244252</v>
      </c>
      <c r="E65" s="237">
        <f t="shared" si="23"/>
        <v>19525.80373</v>
      </c>
      <c r="F65" s="237"/>
      <c r="G65" s="237"/>
      <c r="H65" s="237"/>
      <c r="I65" s="237">
        <f t="shared" si="24"/>
        <v>12470.8</v>
      </c>
      <c r="J65" s="237">
        <f t="shared" si="25"/>
        <v>6232.552342</v>
      </c>
      <c r="K65" s="237">
        <f t="shared" si="26"/>
        <v>77724913.74</v>
      </c>
    </row>
    <row r="66" ht="15.75" customHeight="1">
      <c r="A66" s="166"/>
      <c r="B66" s="333">
        <f>'Yakin Pasifik Tuna'!B74</f>
        <v>45308</v>
      </c>
      <c r="C66" s="237">
        <f>'Yakin Pasifik Tuna'!I74</f>
        <v>36.4</v>
      </c>
      <c r="D66" s="237">
        <f>'Yakin Pasifik Tuna'!Z74</f>
        <v>5280.32595</v>
      </c>
      <c r="E66" s="237">
        <f t="shared" si="23"/>
        <v>192203.8646</v>
      </c>
      <c r="F66" s="237"/>
      <c r="G66" s="237"/>
      <c r="H66" s="237"/>
      <c r="I66" s="237">
        <f t="shared" si="24"/>
        <v>12507.2</v>
      </c>
      <c r="J66" s="237">
        <f t="shared" si="25"/>
        <v>6229.781055</v>
      </c>
      <c r="K66" s="237">
        <f t="shared" si="26"/>
        <v>77917117.61</v>
      </c>
    </row>
    <row r="67" ht="15.75" customHeight="1">
      <c r="A67" s="166"/>
      <c r="B67" s="333">
        <f>'Yakin Pasifik Tuna'!B75</f>
        <v>45309</v>
      </c>
      <c r="C67" s="237" t="str">
        <f>'Yakin Pasifik Tuna'!I75</f>
        <v/>
      </c>
      <c r="D67" s="348">
        <v>0.0</v>
      </c>
      <c r="E67" s="237">
        <f t="shared" si="23"/>
        <v>0</v>
      </c>
      <c r="F67" s="237"/>
      <c r="G67" s="237"/>
      <c r="H67" s="237"/>
      <c r="I67" s="237">
        <f t="shared" si="24"/>
        <v>12507.2</v>
      </c>
      <c r="J67" s="237">
        <f t="shared" si="25"/>
        <v>6229.781055</v>
      </c>
      <c r="K67" s="237">
        <f t="shared" si="26"/>
        <v>77917117.61</v>
      </c>
    </row>
    <row r="68" ht="15.75" customHeight="1">
      <c r="A68" s="166"/>
      <c r="B68" s="333">
        <f>'Yakin Pasifik Tuna'!B76</f>
        <v>45311</v>
      </c>
      <c r="C68" s="237">
        <f>'Yakin Pasifik Tuna'!I76</f>
        <v>724.3</v>
      </c>
      <c r="D68" s="237">
        <f>'Yakin Pasifik Tuna'!Z76</f>
        <v>5276.476074</v>
      </c>
      <c r="E68" s="237">
        <f t="shared" si="23"/>
        <v>3821751.62</v>
      </c>
      <c r="F68" s="237"/>
      <c r="G68" s="237"/>
      <c r="H68" s="237"/>
      <c r="I68" s="237">
        <f t="shared" si="24"/>
        <v>13231.5</v>
      </c>
      <c r="J68" s="237">
        <f t="shared" si="25"/>
        <v>6177.596586</v>
      </c>
      <c r="K68" s="237">
        <f t="shared" si="26"/>
        <v>81738869.23</v>
      </c>
    </row>
    <row r="69" ht="15.75" customHeight="1">
      <c r="A69" s="340"/>
      <c r="B69" s="333">
        <f>'Yakin Pasifik Tuna'!B77</f>
        <v>45312</v>
      </c>
      <c r="C69" s="237">
        <f>'Yakin Pasifik Tuna'!I77</f>
        <v>6.3</v>
      </c>
      <c r="D69" s="237">
        <f>'Yakin Pasifik Tuna'!Z77</f>
        <v>5276.754653</v>
      </c>
      <c r="E69" s="237">
        <f t="shared" si="23"/>
        <v>33243.55432</v>
      </c>
      <c r="F69" s="237"/>
      <c r="G69" s="237"/>
      <c r="H69" s="237"/>
      <c r="I69" s="237">
        <f t="shared" si="24"/>
        <v>13237.8</v>
      </c>
      <c r="J69" s="237">
        <f t="shared" si="25"/>
        <v>6177.167866</v>
      </c>
      <c r="K69" s="237">
        <f t="shared" si="26"/>
        <v>81772112.78</v>
      </c>
    </row>
    <row r="70" ht="15.75" customHeight="1">
      <c r="A70" s="340"/>
      <c r="B70" s="333">
        <f>'Yakin Pasifik Tuna'!B78</f>
        <v>45313</v>
      </c>
      <c r="C70" s="237">
        <f>'Yakin Pasifik Tuna'!I78</f>
        <v>5.5</v>
      </c>
      <c r="D70" s="237">
        <f>'Yakin Pasifik Tuna'!Z78</f>
        <v>5276.526278</v>
      </c>
      <c r="E70" s="237">
        <f t="shared" si="23"/>
        <v>29020.89453</v>
      </c>
      <c r="F70" s="237"/>
      <c r="G70" s="237"/>
      <c r="H70" s="237"/>
      <c r="I70" s="237">
        <f t="shared" si="24"/>
        <v>13243.3</v>
      </c>
      <c r="J70" s="237">
        <f t="shared" si="25"/>
        <v>6176.793826</v>
      </c>
      <c r="K70" s="237">
        <f t="shared" si="26"/>
        <v>81801133.67</v>
      </c>
    </row>
    <row r="71" ht="15.75" customHeight="1">
      <c r="A71" s="340"/>
      <c r="B71" s="333">
        <f>'Yakin Pasifik Tuna'!B79</f>
        <v>45314</v>
      </c>
      <c r="C71" s="237">
        <f>'Yakin Pasifik Tuna'!I79</f>
        <v>559.4</v>
      </c>
      <c r="D71" s="237">
        <f>'Yakin Pasifik Tuna'!Z79</f>
        <v>5276.857143</v>
      </c>
      <c r="E71" s="237">
        <f t="shared" si="23"/>
        <v>2951873.886</v>
      </c>
      <c r="F71" s="237"/>
      <c r="G71" s="237"/>
      <c r="H71" s="237"/>
      <c r="I71" s="237">
        <f t="shared" si="24"/>
        <v>13802.7</v>
      </c>
      <c r="J71" s="237">
        <f t="shared" si="25"/>
        <v>6140.32092</v>
      </c>
      <c r="K71" s="237">
        <f t="shared" si="26"/>
        <v>84753007.56</v>
      </c>
    </row>
    <row r="72" ht="15.75" customHeight="1">
      <c r="A72" s="340"/>
      <c r="B72" s="333">
        <f>'Yakin Pasifik Tuna'!B80</f>
        <v>45315</v>
      </c>
      <c r="C72" s="237">
        <f>'Yakin Pasifik Tuna'!I80</f>
        <v>0.9</v>
      </c>
      <c r="D72" s="237">
        <f>'Yakin Pasifik Tuna'!Z80</f>
        <v>5559.791496</v>
      </c>
      <c r="E72" s="237">
        <f t="shared" si="23"/>
        <v>5003.812346</v>
      </c>
      <c r="F72" s="237"/>
      <c r="G72" s="237"/>
      <c r="H72" s="237"/>
      <c r="I72" s="237">
        <f t="shared" si="24"/>
        <v>13803.6</v>
      </c>
      <c r="J72" s="237">
        <f t="shared" si="25"/>
        <v>6140.283069</v>
      </c>
      <c r="K72" s="237">
        <f t="shared" si="26"/>
        <v>84758011.37</v>
      </c>
    </row>
    <row r="73" ht="15.75" customHeight="1">
      <c r="A73" s="340"/>
      <c r="B73" s="333">
        <f>'Yakin Pasifik Tuna'!B81</f>
        <v>45318</v>
      </c>
      <c r="C73" s="237">
        <f>'Yakin Pasifik Tuna'!I81</f>
        <v>12.5</v>
      </c>
      <c r="D73" s="237">
        <f>'Yakin Pasifik Tuna'!Z81</f>
        <v>5284.106762</v>
      </c>
      <c r="E73" s="237">
        <f t="shared" si="23"/>
        <v>66051.33452</v>
      </c>
      <c r="F73" s="237"/>
      <c r="G73" s="237"/>
      <c r="H73" s="237"/>
      <c r="I73" s="237">
        <f t="shared" si="24"/>
        <v>13816.1</v>
      </c>
      <c r="J73" s="237">
        <f t="shared" si="25"/>
        <v>6139.508451</v>
      </c>
      <c r="K73" s="237">
        <f t="shared" si="26"/>
        <v>84824062.71</v>
      </c>
    </row>
    <row r="74" ht="15.75" customHeight="1">
      <c r="E74" s="124"/>
      <c r="F74" s="124"/>
      <c r="G74" s="124"/>
      <c r="H74" s="124"/>
      <c r="I74" s="124"/>
      <c r="J74" s="124"/>
      <c r="K74" s="124"/>
    </row>
    <row r="75" ht="15.75" customHeight="1">
      <c r="E75" s="124"/>
      <c r="F75" s="124"/>
      <c r="G75" s="124"/>
      <c r="H75" s="124"/>
      <c r="I75" s="124"/>
      <c r="J75" s="124"/>
      <c r="K75" s="124"/>
    </row>
    <row r="76" ht="15.75" customHeight="1">
      <c r="E76" s="124"/>
      <c r="F76" s="124"/>
      <c r="G76" s="124"/>
      <c r="H76" s="124"/>
      <c r="I76" s="124"/>
      <c r="J76" s="124"/>
      <c r="K76" s="124"/>
    </row>
    <row r="77" ht="15.75" customHeight="1">
      <c r="E77" s="124"/>
      <c r="F77" s="124"/>
      <c r="G77" s="124"/>
      <c r="H77" s="124"/>
      <c r="I77" s="124"/>
      <c r="J77" s="124"/>
      <c r="K77" s="124"/>
    </row>
    <row r="78" ht="15.75" customHeight="1">
      <c r="E78" s="124"/>
      <c r="F78" s="124"/>
      <c r="G78" s="124"/>
      <c r="H78" s="124"/>
      <c r="I78" s="124"/>
      <c r="J78" s="124"/>
      <c r="K78" s="124"/>
    </row>
    <row r="79" ht="15.75" customHeight="1">
      <c r="E79" s="124"/>
      <c r="F79" s="124"/>
      <c r="G79" s="124"/>
      <c r="H79" s="124"/>
      <c r="I79" s="124"/>
      <c r="J79" s="124"/>
      <c r="K79" s="124"/>
    </row>
    <row r="80" ht="15.75" customHeight="1">
      <c r="E80" s="124"/>
      <c r="F80" s="124"/>
      <c r="G80" s="124"/>
      <c r="H80" s="124"/>
      <c r="I80" s="124"/>
      <c r="J80" s="124"/>
      <c r="K80" s="124"/>
    </row>
    <row r="81" ht="15.75" customHeight="1">
      <c r="E81" s="124"/>
      <c r="F81" s="124"/>
      <c r="G81" s="124"/>
      <c r="H81" s="124"/>
      <c r="I81" s="124"/>
      <c r="J81" s="124"/>
      <c r="K81" s="124"/>
    </row>
    <row r="82" ht="15.75" customHeight="1">
      <c r="E82" s="124"/>
      <c r="F82" s="124"/>
      <c r="G82" s="124"/>
      <c r="H82" s="124"/>
      <c r="I82" s="124"/>
      <c r="J82" s="124"/>
      <c r="K82" s="124"/>
    </row>
    <row r="83" ht="15.75" customHeight="1">
      <c r="E83" s="124"/>
      <c r="F83" s="124"/>
      <c r="G83" s="124"/>
      <c r="H83" s="124"/>
      <c r="I83" s="124"/>
      <c r="J83" s="124"/>
      <c r="K83" s="124"/>
    </row>
    <row r="84" ht="15.75" customHeight="1">
      <c r="E84" s="124"/>
      <c r="F84" s="124"/>
      <c r="G84" s="124"/>
      <c r="H84" s="124"/>
      <c r="I84" s="124"/>
      <c r="J84" s="124"/>
      <c r="K84" s="124"/>
    </row>
    <row r="85" ht="15.75" customHeight="1">
      <c r="E85" s="124"/>
      <c r="F85" s="124"/>
      <c r="G85" s="124"/>
      <c r="H85" s="124"/>
      <c r="I85" s="124"/>
      <c r="J85" s="124"/>
      <c r="K85" s="124"/>
    </row>
    <row r="86" ht="15.75" customHeight="1">
      <c r="E86" s="124"/>
      <c r="F86" s="124"/>
      <c r="G86" s="124"/>
      <c r="H86" s="124"/>
      <c r="I86" s="124"/>
      <c r="J86" s="124"/>
      <c r="K86" s="124"/>
    </row>
    <row r="87" ht="15.75" customHeight="1">
      <c r="E87" s="124"/>
      <c r="F87" s="124"/>
      <c r="G87" s="124"/>
      <c r="H87" s="124"/>
      <c r="I87" s="124"/>
      <c r="J87" s="124"/>
      <c r="K87" s="124"/>
    </row>
    <row r="88" ht="15.75" customHeight="1">
      <c r="E88" s="124"/>
      <c r="F88" s="124"/>
      <c r="G88" s="124"/>
      <c r="H88" s="124"/>
      <c r="I88" s="124"/>
      <c r="J88" s="124"/>
      <c r="K88" s="124"/>
    </row>
    <row r="89" ht="15.75" customHeight="1">
      <c r="E89" s="124"/>
      <c r="F89" s="124"/>
      <c r="G89" s="124"/>
      <c r="H89" s="124"/>
      <c r="I89" s="124"/>
      <c r="J89" s="124"/>
      <c r="K89" s="124"/>
    </row>
    <row r="90" ht="15.75" customHeight="1">
      <c r="E90" s="124"/>
      <c r="F90" s="124"/>
      <c r="G90" s="124"/>
      <c r="H90" s="124"/>
      <c r="I90" s="124"/>
      <c r="J90" s="124"/>
      <c r="K90" s="124"/>
    </row>
    <row r="91" ht="15.75" customHeight="1">
      <c r="E91" s="124"/>
      <c r="F91" s="124"/>
      <c r="G91" s="124"/>
      <c r="H91" s="124"/>
      <c r="I91" s="124"/>
      <c r="J91" s="124"/>
      <c r="K91" s="124"/>
    </row>
    <row r="92" ht="15.75" customHeight="1">
      <c r="E92" s="124"/>
      <c r="F92" s="124"/>
      <c r="G92" s="124"/>
      <c r="H92" s="124"/>
      <c r="I92" s="124"/>
      <c r="J92" s="124"/>
      <c r="K92" s="124"/>
    </row>
    <row r="93" ht="15.75" customHeight="1">
      <c r="E93" s="124"/>
      <c r="F93" s="124"/>
      <c r="G93" s="124"/>
      <c r="H93" s="124"/>
      <c r="I93" s="124"/>
      <c r="J93" s="124"/>
      <c r="K93" s="124"/>
    </row>
    <row r="94" ht="15.75" customHeight="1">
      <c r="E94" s="124"/>
      <c r="F94" s="124"/>
      <c r="G94" s="124"/>
      <c r="H94" s="124"/>
      <c r="I94" s="124"/>
      <c r="J94" s="124"/>
      <c r="K94" s="124"/>
    </row>
    <row r="95" ht="15.75" customHeight="1">
      <c r="E95" s="124"/>
      <c r="F95" s="124"/>
      <c r="G95" s="124"/>
      <c r="H95" s="124"/>
      <c r="I95" s="124"/>
      <c r="J95" s="124"/>
      <c r="K95" s="124"/>
    </row>
    <row r="96" ht="15.75" customHeight="1">
      <c r="E96" s="124"/>
      <c r="F96" s="124"/>
      <c r="G96" s="124"/>
      <c r="H96" s="124"/>
      <c r="I96" s="124"/>
      <c r="J96" s="124"/>
      <c r="K96" s="124"/>
    </row>
    <row r="97" ht="15.75" customHeight="1">
      <c r="E97" s="124"/>
      <c r="F97" s="124"/>
      <c r="G97" s="124"/>
      <c r="H97" s="124"/>
      <c r="I97" s="124"/>
      <c r="J97" s="124"/>
      <c r="K97" s="124"/>
    </row>
    <row r="98" ht="15.75" customHeight="1">
      <c r="E98" s="124"/>
      <c r="F98" s="124"/>
      <c r="G98" s="124"/>
      <c r="H98" s="124"/>
      <c r="I98" s="124"/>
      <c r="J98" s="124"/>
      <c r="K98" s="124"/>
    </row>
    <row r="99" ht="15.75" customHeight="1">
      <c r="E99" s="124"/>
      <c r="F99" s="124"/>
      <c r="G99" s="124"/>
      <c r="H99" s="124"/>
      <c r="I99" s="124"/>
      <c r="J99" s="124"/>
      <c r="K99" s="124"/>
    </row>
    <row r="100" ht="15.75" customHeight="1">
      <c r="E100" s="124"/>
      <c r="F100" s="124"/>
      <c r="G100" s="124"/>
      <c r="H100" s="124"/>
      <c r="I100" s="124"/>
      <c r="J100" s="124"/>
      <c r="K100" s="124"/>
    </row>
    <row r="101" ht="15.75" customHeight="1">
      <c r="E101" s="124"/>
      <c r="F101" s="124"/>
      <c r="G101" s="124"/>
      <c r="H101" s="124"/>
      <c r="I101" s="124"/>
      <c r="J101" s="124"/>
      <c r="K101" s="124"/>
    </row>
    <row r="102" ht="15.75" customHeight="1">
      <c r="E102" s="124"/>
      <c r="F102" s="124"/>
      <c r="G102" s="124"/>
      <c r="H102" s="124"/>
      <c r="I102" s="124"/>
      <c r="J102" s="124"/>
      <c r="K102" s="124"/>
    </row>
    <row r="103" ht="15.75" customHeight="1">
      <c r="E103" s="124"/>
      <c r="F103" s="124"/>
      <c r="G103" s="124"/>
      <c r="H103" s="124"/>
      <c r="I103" s="124"/>
      <c r="J103" s="124"/>
      <c r="K103" s="124"/>
    </row>
    <row r="104" ht="15.75" customHeight="1">
      <c r="E104" s="124"/>
      <c r="F104" s="124"/>
      <c r="G104" s="124"/>
      <c r="H104" s="124"/>
      <c r="I104" s="124"/>
      <c r="J104" s="124"/>
      <c r="K104" s="124"/>
    </row>
    <row r="105" ht="15.75" customHeight="1">
      <c r="E105" s="124"/>
      <c r="F105" s="124"/>
      <c r="G105" s="124"/>
      <c r="H105" s="124"/>
      <c r="I105" s="124"/>
      <c r="J105" s="124"/>
      <c r="K105" s="124"/>
    </row>
    <row r="106" ht="15.75" customHeight="1">
      <c r="E106" s="124"/>
      <c r="F106" s="124"/>
      <c r="G106" s="124"/>
      <c r="H106" s="124"/>
      <c r="I106" s="124"/>
      <c r="J106" s="124"/>
      <c r="K106" s="124"/>
    </row>
    <row r="107" ht="15.75" customHeight="1">
      <c r="E107" s="124"/>
      <c r="F107" s="124"/>
      <c r="G107" s="124"/>
      <c r="H107" s="124"/>
      <c r="I107" s="124"/>
      <c r="J107" s="124"/>
      <c r="K107" s="124"/>
    </row>
    <row r="108" ht="15.75" customHeight="1">
      <c r="E108" s="124"/>
      <c r="F108" s="124"/>
      <c r="G108" s="124"/>
      <c r="H108" s="124"/>
      <c r="I108" s="124"/>
      <c r="J108" s="124"/>
      <c r="K108" s="124"/>
    </row>
    <row r="109" ht="15.75" customHeight="1">
      <c r="E109" s="124"/>
      <c r="F109" s="124"/>
      <c r="G109" s="124"/>
      <c r="H109" s="124"/>
      <c r="I109" s="124"/>
      <c r="J109" s="124"/>
      <c r="K109" s="124"/>
    </row>
    <row r="110" ht="15.75" customHeight="1">
      <c r="E110" s="124"/>
      <c r="F110" s="124"/>
      <c r="G110" s="124"/>
      <c r="H110" s="124"/>
      <c r="I110" s="124"/>
      <c r="J110" s="124"/>
      <c r="K110" s="124"/>
    </row>
    <row r="111" ht="15.75" customHeight="1">
      <c r="E111" s="124"/>
      <c r="F111" s="124"/>
      <c r="G111" s="124"/>
      <c r="H111" s="124"/>
      <c r="I111" s="124"/>
      <c r="J111" s="124"/>
      <c r="K111" s="124"/>
    </row>
    <row r="112" ht="15.75" customHeight="1">
      <c r="E112" s="124"/>
      <c r="F112" s="124"/>
      <c r="G112" s="124"/>
      <c r="H112" s="124"/>
      <c r="I112" s="124"/>
      <c r="J112" s="124"/>
      <c r="K112" s="124"/>
    </row>
    <row r="113" ht="15.75" customHeight="1">
      <c r="E113" s="124"/>
      <c r="F113" s="124"/>
      <c r="G113" s="124"/>
      <c r="H113" s="124"/>
      <c r="I113" s="124"/>
      <c r="J113" s="124"/>
      <c r="K113" s="124"/>
    </row>
    <row r="114" ht="15.75" customHeight="1">
      <c r="E114" s="124"/>
      <c r="F114" s="124"/>
      <c r="G114" s="124"/>
      <c r="H114" s="124"/>
      <c r="I114" s="124"/>
      <c r="J114" s="124"/>
      <c r="K114" s="124"/>
    </row>
    <row r="115" ht="15.75" customHeight="1">
      <c r="E115" s="124"/>
      <c r="F115" s="124"/>
      <c r="G115" s="124"/>
      <c r="H115" s="124"/>
      <c r="I115" s="124"/>
      <c r="J115" s="124"/>
      <c r="K115" s="124"/>
    </row>
    <row r="116" ht="15.75" customHeight="1">
      <c r="E116" s="124"/>
      <c r="F116" s="124"/>
      <c r="G116" s="124"/>
      <c r="H116" s="124"/>
      <c r="I116" s="124"/>
      <c r="J116" s="124"/>
      <c r="K116" s="124"/>
    </row>
    <row r="117" ht="15.75" customHeight="1">
      <c r="E117" s="124"/>
      <c r="F117" s="124"/>
      <c r="G117" s="124"/>
      <c r="H117" s="124"/>
      <c r="I117" s="124"/>
      <c r="J117" s="124"/>
      <c r="K117" s="124"/>
    </row>
    <row r="118" ht="15.75" customHeight="1">
      <c r="E118" s="124"/>
      <c r="F118" s="124"/>
      <c r="G118" s="124"/>
      <c r="H118" s="124"/>
      <c r="I118" s="124"/>
      <c r="J118" s="124"/>
      <c r="K118" s="124"/>
    </row>
    <row r="119" ht="15.75" customHeight="1">
      <c r="E119" s="124"/>
      <c r="F119" s="124"/>
      <c r="G119" s="124"/>
      <c r="H119" s="124"/>
      <c r="I119" s="124"/>
      <c r="J119" s="124"/>
      <c r="K119" s="124"/>
    </row>
    <row r="120" ht="15.75" customHeight="1">
      <c r="E120" s="124"/>
      <c r="F120" s="124"/>
      <c r="G120" s="124"/>
      <c r="H120" s="124"/>
      <c r="I120" s="124"/>
      <c r="J120" s="124"/>
      <c r="K120" s="124"/>
    </row>
    <row r="121" ht="15.75" customHeight="1">
      <c r="E121" s="124"/>
      <c r="F121" s="124"/>
      <c r="G121" s="124"/>
      <c r="H121" s="124"/>
      <c r="I121" s="124"/>
      <c r="J121" s="124"/>
      <c r="K121" s="124"/>
    </row>
    <row r="122" ht="15.75" customHeight="1">
      <c r="E122" s="124"/>
      <c r="F122" s="124"/>
      <c r="G122" s="124"/>
      <c r="H122" s="124"/>
      <c r="I122" s="124"/>
      <c r="J122" s="124"/>
      <c r="K122" s="124"/>
    </row>
    <row r="123" ht="15.75" customHeight="1">
      <c r="E123" s="124"/>
      <c r="F123" s="124"/>
      <c r="G123" s="124"/>
      <c r="H123" s="124"/>
      <c r="I123" s="124"/>
      <c r="J123" s="124"/>
      <c r="K123" s="124"/>
    </row>
    <row r="124" ht="15.75" customHeight="1">
      <c r="E124" s="124"/>
      <c r="F124" s="124"/>
      <c r="G124" s="124"/>
      <c r="H124" s="124"/>
      <c r="I124" s="124"/>
      <c r="J124" s="124"/>
      <c r="K124" s="124"/>
    </row>
    <row r="125" ht="15.75" customHeight="1">
      <c r="E125" s="124"/>
      <c r="F125" s="124"/>
      <c r="G125" s="124"/>
      <c r="H125" s="124"/>
      <c r="I125" s="124"/>
      <c r="J125" s="124"/>
      <c r="K125" s="124"/>
    </row>
    <row r="126" ht="15.75" customHeight="1">
      <c r="E126" s="124"/>
      <c r="F126" s="124"/>
      <c r="G126" s="124"/>
      <c r="H126" s="124"/>
      <c r="I126" s="124"/>
      <c r="J126" s="124"/>
      <c r="K126" s="124"/>
    </row>
    <row r="127" ht="15.75" customHeight="1">
      <c r="E127" s="124"/>
      <c r="F127" s="124"/>
      <c r="G127" s="124"/>
      <c r="H127" s="124"/>
      <c r="I127" s="124"/>
      <c r="J127" s="124"/>
      <c r="K127" s="124"/>
    </row>
    <row r="128" ht="15.75" customHeight="1">
      <c r="E128" s="124"/>
      <c r="F128" s="124"/>
      <c r="G128" s="124"/>
      <c r="H128" s="124"/>
      <c r="I128" s="124"/>
      <c r="J128" s="124"/>
      <c r="K128" s="124"/>
    </row>
    <row r="129" ht="15.75" customHeight="1">
      <c r="E129" s="124"/>
      <c r="F129" s="124"/>
      <c r="G129" s="124"/>
      <c r="H129" s="124"/>
      <c r="I129" s="124"/>
      <c r="J129" s="124"/>
      <c r="K129" s="124"/>
    </row>
    <row r="130" ht="15.75" customHeight="1">
      <c r="E130" s="124"/>
      <c r="F130" s="124"/>
      <c r="G130" s="124"/>
      <c r="H130" s="124"/>
      <c r="I130" s="124"/>
      <c r="J130" s="124"/>
      <c r="K130" s="124"/>
    </row>
    <row r="131" ht="15.75" customHeight="1">
      <c r="E131" s="124"/>
      <c r="F131" s="124"/>
      <c r="G131" s="124"/>
      <c r="H131" s="124"/>
      <c r="I131" s="124"/>
      <c r="J131" s="124"/>
      <c r="K131" s="124"/>
    </row>
    <row r="132" ht="15.75" customHeight="1">
      <c r="E132" s="124"/>
      <c r="F132" s="124"/>
      <c r="G132" s="124"/>
      <c r="H132" s="124"/>
      <c r="I132" s="124"/>
      <c r="J132" s="124"/>
      <c r="K132" s="124"/>
    </row>
    <row r="133" ht="15.75" customHeight="1">
      <c r="E133" s="124"/>
      <c r="F133" s="124"/>
      <c r="G133" s="124"/>
      <c r="H133" s="124"/>
      <c r="I133" s="124"/>
      <c r="J133" s="124"/>
      <c r="K133" s="124"/>
    </row>
    <row r="134" ht="15.75" customHeight="1">
      <c r="E134" s="124"/>
      <c r="F134" s="124"/>
      <c r="G134" s="124"/>
      <c r="H134" s="124"/>
      <c r="I134" s="124"/>
      <c r="J134" s="124"/>
      <c r="K134" s="124"/>
    </row>
    <row r="135" ht="15.75" customHeight="1">
      <c r="E135" s="124"/>
      <c r="F135" s="124"/>
      <c r="G135" s="124"/>
      <c r="H135" s="124"/>
      <c r="I135" s="124"/>
      <c r="J135" s="124"/>
      <c r="K135" s="124"/>
    </row>
    <row r="136" ht="15.75" customHeight="1">
      <c r="E136" s="124"/>
      <c r="F136" s="124"/>
      <c r="G136" s="124"/>
      <c r="H136" s="124"/>
      <c r="I136" s="124"/>
      <c r="J136" s="124"/>
      <c r="K136" s="124"/>
    </row>
    <row r="137" ht="15.75" customHeight="1">
      <c r="E137" s="124"/>
      <c r="F137" s="124"/>
      <c r="G137" s="124"/>
      <c r="H137" s="124"/>
      <c r="I137" s="124"/>
      <c r="J137" s="124"/>
      <c r="K137" s="124"/>
    </row>
    <row r="138" ht="15.75" customHeight="1">
      <c r="E138" s="124"/>
      <c r="F138" s="124"/>
      <c r="G138" s="124"/>
      <c r="H138" s="124"/>
      <c r="I138" s="124"/>
      <c r="J138" s="124"/>
      <c r="K138" s="124"/>
    </row>
    <row r="139" ht="15.75" customHeight="1">
      <c r="E139" s="124"/>
      <c r="F139" s="124"/>
      <c r="G139" s="124"/>
      <c r="H139" s="124"/>
      <c r="I139" s="124"/>
      <c r="J139" s="124"/>
      <c r="K139" s="124"/>
    </row>
    <row r="140" ht="15.75" customHeight="1">
      <c r="E140" s="124"/>
      <c r="F140" s="124"/>
      <c r="G140" s="124"/>
      <c r="H140" s="124"/>
      <c r="I140" s="124"/>
      <c r="J140" s="124"/>
      <c r="K140" s="124"/>
    </row>
    <row r="141" ht="15.75" customHeight="1">
      <c r="E141" s="124"/>
      <c r="F141" s="124"/>
      <c r="G141" s="124"/>
      <c r="H141" s="124"/>
      <c r="I141" s="124"/>
      <c r="J141" s="124"/>
      <c r="K141" s="124"/>
    </row>
    <row r="142" ht="15.75" customHeight="1">
      <c r="E142" s="124"/>
      <c r="F142" s="124"/>
      <c r="G142" s="124"/>
      <c r="H142" s="124"/>
      <c r="I142" s="124"/>
      <c r="J142" s="124"/>
      <c r="K142" s="124"/>
    </row>
    <row r="143" ht="15.75" customHeight="1">
      <c r="E143" s="124"/>
      <c r="F143" s="124"/>
      <c r="G143" s="124"/>
      <c r="H143" s="124"/>
      <c r="I143" s="124"/>
      <c r="J143" s="124"/>
      <c r="K143" s="124"/>
    </row>
    <row r="144" ht="15.75" customHeight="1">
      <c r="E144" s="124"/>
      <c r="F144" s="124"/>
      <c r="G144" s="124"/>
      <c r="H144" s="124"/>
      <c r="I144" s="124"/>
      <c r="J144" s="124"/>
      <c r="K144" s="124"/>
    </row>
    <row r="145" ht="15.75" customHeight="1">
      <c r="E145" s="124"/>
      <c r="F145" s="124"/>
      <c r="G145" s="124"/>
      <c r="H145" s="124"/>
      <c r="I145" s="124"/>
      <c r="J145" s="124"/>
      <c r="K145" s="124"/>
    </row>
    <row r="146" ht="15.75" customHeight="1">
      <c r="E146" s="124"/>
      <c r="F146" s="124"/>
      <c r="G146" s="124"/>
      <c r="H146" s="124"/>
      <c r="I146" s="124"/>
      <c r="J146" s="124"/>
      <c r="K146" s="124"/>
    </row>
    <row r="147" ht="15.75" customHeight="1">
      <c r="E147" s="124"/>
      <c r="F147" s="124"/>
      <c r="G147" s="124"/>
      <c r="H147" s="124"/>
      <c r="I147" s="124"/>
      <c r="J147" s="124"/>
      <c r="K147" s="124"/>
    </row>
    <row r="148" ht="15.75" customHeight="1">
      <c r="E148" s="124"/>
      <c r="F148" s="124"/>
      <c r="G148" s="124"/>
      <c r="H148" s="124"/>
      <c r="I148" s="124"/>
      <c r="J148" s="124"/>
      <c r="K148" s="124"/>
    </row>
    <row r="149" ht="15.75" customHeight="1">
      <c r="E149" s="124"/>
      <c r="F149" s="124"/>
      <c r="G149" s="124"/>
      <c r="H149" s="124"/>
      <c r="I149" s="124"/>
      <c r="J149" s="124"/>
      <c r="K149" s="124"/>
    </row>
    <row r="150" ht="15.75" customHeight="1">
      <c r="E150" s="124"/>
      <c r="F150" s="124"/>
      <c r="G150" s="124"/>
      <c r="H150" s="124"/>
      <c r="I150" s="124"/>
      <c r="J150" s="124"/>
      <c r="K150" s="124"/>
    </row>
    <row r="151" ht="15.75" customHeight="1">
      <c r="E151" s="124"/>
      <c r="F151" s="124"/>
      <c r="G151" s="124"/>
      <c r="H151" s="124"/>
      <c r="I151" s="124"/>
      <c r="J151" s="124"/>
      <c r="K151" s="124"/>
    </row>
    <row r="152" ht="15.75" customHeight="1">
      <c r="E152" s="124"/>
      <c r="F152" s="124"/>
      <c r="G152" s="124"/>
      <c r="H152" s="124"/>
      <c r="I152" s="124"/>
      <c r="J152" s="124"/>
      <c r="K152" s="124"/>
    </row>
    <row r="153" ht="15.75" customHeight="1">
      <c r="E153" s="124"/>
      <c r="F153" s="124"/>
      <c r="G153" s="124"/>
      <c r="H153" s="124"/>
      <c r="I153" s="124"/>
      <c r="J153" s="124"/>
      <c r="K153" s="124"/>
    </row>
    <row r="154" ht="15.75" customHeight="1">
      <c r="E154" s="124"/>
      <c r="F154" s="124"/>
      <c r="G154" s="124"/>
      <c r="H154" s="124"/>
      <c r="I154" s="124"/>
      <c r="J154" s="124"/>
      <c r="K154" s="124"/>
    </row>
    <row r="155" ht="15.75" customHeight="1">
      <c r="E155" s="124"/>
      <c r="F155" s="124"/>
      <c r="G155" s="124"/>
      <c r="H155" s="124"/>
      <c r="I155" s="124"/>
      <c r="J155" s="124"/>
      <c r="K155" s="124"/>
    </row>
    <row r="156" ht="15.75" customHeight="1">
      <c r="E156" s="124"/>
      <c r="F156" s="124"/>
      <c r="G156" s="124"/>
      <c r="H156" s="124"/>
      <c r="I156" s="124"/>
      <c r="J156" s="124"/>
      <c r="K156" s="124"/>
    </row>
    <row r="157" ht="15.75" customHeight="1">
      <c r="E157" s="124"/>
      <c r="F157" s="124"/>
      <c r="G157" s="124"/>
      <c r="H157" s="124"/>
      <c r="I157" s="124"/>
      <c r="J157" s="124"/>
      <c r="K157" s="124"/>
    </row>
    <row r="158" ht="15.75" customHeight="1">
      <c r="E158" s="124"/>
      <c r="F158" s="124"/>
      <c r="G158" s="124"/>
      <c r="H158" s="124"/>
      <c r="I158" s="124"/>
      <c r="J158" s="124"/>
      <c r="K158" s="124"/>
    </row>
    <row r="159" ht="15.75" customHeight="1">
      <c r="E159" s="124"/>
      <c r="F159" s="124"/>
      <c r="G159" s="124"/>
      <c r="H159" s="124"/>
      <c r="I159" s="124"/>
      <c r="J159" s="124"/>
      <c r="K159" s="124"/>
    </row>
    <row r="160" ht="15.75" customHeight="1">
      <c r="E160" s="124"/>
      <c r="F160" s="124"/>
      <c r="G160" s="124"/>
      <c r="H160" s="124"/>
      <c r="I160" s="124"/>
      <c r="J160" s="124"/>
      <c r="K160" s="124"/>
    </row>
    <row r="161" ht="15.75" customHeight="1">
      <c r="E161" s="124"/>
      <c r="F161" s="124"/>
      <c r="G161" s="124"/>
      <c r="H161" s="124"/>
      <c r="I161" s="124"/>
      <c r="J161" s="124"/>
      <c r="K161" s="124"/>
    </row>
    <row r="162" ht="15.75" customHeight="1">
      <c r="E162" s="124"/>
      <c r="F162" s="124"/>
      <c r="G162" s="124"/>
      <c r="H162" s="124"/>
      <c r="I162" s="124"/>
      <c r="J162" s="124"/>
      <c r="K162" s="124"/>
    </row>
    <row r="163" ht="15.75" customHeight="1">
      <c r="E163" s="124"/>
      <c r="F163" s="124"/>
      <c r="G163" s="124"/>
      <c r="H163" s="124"/>
      <c r="I163" s="124"/>
      <c r="J163" s="124"/>
      <c r="K163" s="124"/>
    </row>
    <row r="164" ht="15.75" customHeight="1">
      <c r="E164" s="124"/>
      <c r="F164" s="124"/>
      <c r="G164" s="124"/>
      <c r="H164" s="124"/>
      <c r="I164" s="124"/>
      <c r="J164" s="124"/>
      <c r="K164" s="124"/>
    </row>
    <row r="165" ht="15.75" customHeight="1">
      <c r="E165" s="124"/>
      <c r="F165" s="124"/>
      <c r="G165" s="124"/>
      <c r="H165" s="124"/>
      <c r="I165" s="124"/>
      <c r="J165" s="124"/>
      <c r="K165" s="124"/>
    </row>
    <row r="166" ht="15.75" customHeight="1">
      <c r="E166" s="124"/>
      <c r="F166" s="124"/>
      <c r="G166" s="124"/>
      <c r="H166" s="124"/>
      <c r="I166" s="124"/>
      <c r="J166" s="124"/>
      <c r="K166" s="124"/>
    </row>
    <row r="167" ht="15.75" customHeight="1">
      <c r="E167" s="124"/>
      <c r="F167" s="124"/>
      <c r="G167" s="124"/>
      <c r="H167" s="124"/>
      <c r="I167" s="124"/>
      <c r="J167" s="124"/>
      <c r="K167" s="124"/>
    </row>
    <row r="168" ht="15.75" customHeight="1">
      <c r="E168" s="124"/>
      <c r="F168" s="124"/>
      <c r="G168" s="124"/>
      <c r="H168" s="124"/>
      <c r="I168" s="124"/>
      <c r="J168" s="124"/>
      <c r="K168" s="124"/>
    </row>
    <row r="169" ht="15.75" customHeight="1">
      <c r="E169" s="124"/>
      <c r="F169" s="124"/>
      <c r="G169" s="124"/>
      <c r="H169" s="124"/>
      <c r="I169" s="124"/>
      <c r="J169" s="124"/>
      <c r="K169" s="124"/>
    </row>
    <row r="170" ht="15.75" customHeight="1">
      <c r="E170" s="124"/>
      <c r="F170" s="124"/>
      <c r="G170" s="124"/>
      <c r="H170" s="124"/>
      <c r="I170" s="124"/>
      <c r="J170" s="124"/>
      <c r="K170" s="124"/>
    </row>
    <row r="171" ht="15.75" customHeight="1">
      <c r="E171" s="124"/>
      <c r="F171" s="124"/>
      <c r="G171" s="124"/>
      <c r="H171" s="124"/>
      <c r="I171" s="124"/>
      <c r="J171" s="124"/>
      <c r="K171" s="124"/>
    </row>
    <row r="172" ht="15.75" customHeight="1">
      <c r="E172" s="124"/>
      <c r="F172" s="124"/>
      <c r="G172" s="124"/>
      <c r="H172" s="124"/>
      <c r="I172" s="124"/>
      <c r="J172" s="124"/>
      <c r="K172" s="124"/>
    </row>
    <row r="173" ht="15.75" customHeight="1">
      <c r="E173" s="124"/>
      <c r="F173" s="124"/>
      <c r="G173" s="124"/>
      <c r="H173" s="124"/>
      <c r="I173" s="124"/>
      <c r="J173" s="124"/>
      <c r="K173" s="124"/>
    </row>
    <row r="174" ht="15.75" customHeight="1">
      <c r="E174" s="124"/>
      <c r="F174" s="124"/>
      <c r="G174" s="124"/>
      <c r="H174" s="124"/>
      <c r="I174" s="124"/>
      <c r="J174" s="124"/>
      <c r="K174" s="124"/>
    </row>
    <row r="175" ht="15.75" customHeight="1">
      <c r="E175" s="124"/>
      <c r="F175" s="124"/>
      <c r="G175" s="124"/>
      <c r="H175" s="124"/>
      <c r="I175" s="124"/>
      <c r="J175" s="124"/>
      <c r="K175" s="124"/>
    </row>
    <row r="176" ht="15.75" customHeight="1">
      <c r="E176" s="124"/>
      <c r="F176" s="124"/>
      <c r="G176" s="124"/>
      <c r="H176" s="124"/>
      <c r="I176" s="124"/>
      <c r="J176" s="124"/>
      <c r="K176" s="124"/>
    </row>
    <row r="177" ht="15.75" customHeight="1">
      <c r="E177" s="124"/>
      <c r="F177" s="124"/>
      <c r="G177" s="124"/>
      <c r="H177" s="124"/>
      <c r="I177" s="124"/>
      <c r="J177" s="124"/>
      <c r="K177" s="124"/>
    </row>
    <row r="178" ht="15.75" customHeight="1">
      <c r="E178" s="124"/>
      <c r="F178" s="124"/>
      <c r="G178" s="124"/>
      <c r="H178" s="124"/>
      <c r="I178" s="124"/>
      <c r="J178" s="124"/>
      <c r="K178" s="124"/>
    </row>
    <row r="179" ht="15.75" customHeight="1">
      <c r="E179" s="124"/>
      <c r="F179" s="124"/>
      <c r="G179" s="124"/>
      <c r="H179" s="124"/>
      <c r="I179" s="124"/>
      <c r="J179" s="124"/>
      <c r="K179" s="124"/>
    </row>
    <row r="180" ht="15.75" customHeight="1">
      <c r="E180" s="124"/>
      <c r="F180" s="124"/>
      <c r="G180" s="124"/>
      <c r="H180" s="124"/>
      <c r="I180" s="124"/>
      <c r="J180" s="124"/>
      <c r="K180" s="124"/>
    </row>
    <row r="181" ht="15.75" customHeight="1">
      <c r="E181" s="124"/>
      <c r="F181" s="124"/>
      <c r="G181" s="124"/>
      <c r="H181" s="124"/>
      <c r="I181" s="124"/>
      <c r="J181" s="124"/>
      <c r="K181" s="124"/>
    </row>
    <row r="182" ht="15.75" customHeight="1">
      <c r="E182" s="124"/>
      <c r="F182" s="124"/>
      <c r="G182" s="124"/>
      <c r="H182" s="124"/>
      <c r="I182" s="124"/>
      <c r="J182" s="124"/>
      <c r="K182" s="124"/>
    </row>
    <row r="183" ht="15.75" customHeight="1">
      <c r="E183" s="124"/>
      <c r="F183" s="124"/>
      <c r="G183" s="124"/>
      <c r="H183" s="124"/>
      <c r="I183" s="124"/>
      <c r="J183" s="124"/>
      <c r="K183" s="124"/>
    </row>
    <row r="184" ht="15.75" customHeight="1">
      <c r="E184" s="124"/>
      <c r="F184" s="124"/>
      <c r="G184" s="124"/>
      <c r="H184" s="124"/>
      <c r="I184" s="124"/>
      <c r="J184" s="124"/>
      <c r="K184" s="124"/>
    </row>
    <row r="185" ht="15.75" customHeight="1">
      <c r="E185" s="124"/>
      <c r="F185" s="124"/>
      <c r="G185" s="124"/>
      <c r="H185" s="124"/>
      <c r="I185" s="124"/>
      <c r="J185" s="124"/>
      <c r="K185" s="124"/>
    </row>
    <row r="186" ht="15.75" customHeight="1">
      <c r="E186" s="124"/>
      <c r="F186" s="124"/>
      <c r="G186" s="124"/>
      <c r="H186" s="124"/>
      <c r="I186" s="124"/>
      <c r="J186" s="124"/>
      <c r="K186" s="124"/>
    </row>
    <row r="187" ht="15.75" customHeight="1">
      <c r="E187" s="124"/>
      <c r="F187" s="124"/>
      <c r="G187" s="124"/>
      <c r="H187" s="124"/>
      <c r="I187" s="124"/>
      <c r="J187" s="124"/>
      <c r="K187" s="124"/>
    </row>
    <row r="188" ht="15.75" customHeight="1">
      <c r="E188" s="124"/>
      <c r="F188" s="124"/>
      <c r="G188" s="124"/>
      <c r="H188" s="124"/>
      <c r="I188" s="124"/>
      <c r="J188" s="124"/>
      <c r="K188" s="124"/>
    </row>
    <row r="189" ht="15.75" customHeight="1">
      <c r="E189" s="124"/>
      <c r="F189" s="124"/>
      <c r="G189" s="124"/>
      <c r="H189" s="124"/>
      <c r="I189" s="124"/>
      <c r="J189" s="124"/>
      <c r="K189" s="124"/>
    </row>
    <row r="190" ht="15.75" customHeight="1">
      <c r="E190" s="124"/>
      <c r="F190" s="124"/>
      <c r="G190" s="124"/>
      <c r="H190" s="124"/>
      <c r="I190" s="124"/>
      <c r="J190" s="124"/>
      <c r="K190" s="124"/>
    </row>
    <row r="191" ht="15.75" customHeight="1">
      <c r="E191" s="124"/>
      <c r="F191" s="124"/>
      <c r="G191" s="124"/>
      <c r="H191" s="124"/>
      <c r="I191" s="124"/>
      <c r="J191" s="124"/>
      <c r="K191" s="124"/>
    </row>
    <row r="192" ht="15.75" customHeight="1">
      <c r="E192" s="124"/>
      <c r="F192" s="124"/>
      <c r="G192" s="124"/>
      <c r="H192" s="124"/>
      <c r="I192" s="124"/>
      <c r="J192" s="124"/>
      <c r="K192" s="124"/>
    </row>
    <row r="193" ht="15.75" customHeight="1">
      <c r="E193" s="124"/>
      <c r="F193" s="124"/>
      <c r="G193" s="124"/>
      <c r="H193" s="124"/>
      <c r="I193" s="124"/>
      <c r="J193" s="124"/>
      <c r="K193" s="124"/>
    </row>
    <row r="194" ht="15.75" customHeight="1">
      <c r="E194" s="124"/>
      <c r="F194" s="124"/>
      <c r="G194" s="124"/>
      <c r="H194" s="124"/>
      <c r="I194" s="124"/>
      <c r="J194" s="124"/>
      <c r="K194" s="124"/>
    </row>
    <row r="195" ht="15.75" customHeight="1">
      <c r="E195" s="124"/>
      <c r="F195" s="124"/>
      <c r="G195" s="124"/>
      <c r="H195" s="124"/>
      <c r="I195" s="124"/>
      <c r="J195" s="124"/>
      <c r="K195" s="124"/>
    </row>
    <row r="196" ht="15.75" customHeight="1">
      <c r="E196" s="124"/>
      <c r="F196" s="124"/>
      <c r="G196" s="124"/>
      <c r="H196" s="124"/>
      <c r="I196" s="124"/>
      <c r="J196" s="124"/>
      <c r="K196" s="124"/>
    </row>
    <row r="197" ht="15.75" customHeight="1">
      <c r="E197" s="124"/>
      <c r="F197" s="124"/>
      <c r="G197" s="124"/>
      <c r="H197" s="124"/>
      <c r="I197" s="124"/>
      <c r="J197" s="124"/>
      <c r="K197" s="124"/>
    </row>
    <row r="198" ht="15.75" customHeight="1">
      <c r="E198" s="124"/>
      <c r="F198" s="124"/>
      <c r="G198" s="124"/>
      <c r="H198" s="124"/>
      <c r="I198" s="124"/>
      <c r="J198" s="124"/>
      <c r="K198" s="124"/>
    </row>
    <row r="199" ht="15.75" customHeight="1">
      <c r="E199" s="124"/>
      <c r="F199" s="124"/>
      <c r="G199" s="124"/>
      <c r="H199" s="124"/>
      <c r="I199" s="124"/>
      <c r="J199" s="124"/>
      <c r="K199" s="124"/>
    </row>
    <row r="200" ht="15.75" customHeight="1">
      <c r="E200" s="124"/>
      <c r="F200" s="124"/>
      <c r="G200" s="124"/>
      <c r="H200" s="124"/>
      <c r="I200" s="124"/>
      <c r="J200" s="124"/>
      <c r="K200" s="124"/>
    </row>
    <row r="201" ht="15.75" customHeight="1">
      <c r="E201" s="124"/>
      <c r="F201" s="124"/>
      <c r="G201" s="124"/>
      <c r="H201" s="124"/>
      <c r="I201" s="124"/>
      <c r="J201" s="124"/>
      <c r="K201" s="124"/>
    </row>
    <row r="202" ht="15.75" customHeight="1">
      <c r="E202" s="124"/>
      <c r="F202" s="124"/>
      <c r="G202" s="124"/>
      <c r="H202" s="124"/>
      <c r="I202" s="124"/>
      <c r="J202" s="124"/>
      <c r="K202" s="124"/>
    </row>
    <row r="203" ht="15.75" customHeight="1">
      <c r="E203" s="124"/>
      <c r="F203" s="124"/>
      <c r="G203" s="124"/>
      <c r="H203" s="124"/>
      <c r="I203" s="124"/>
      <c r="J203" s="124"/>
      <c r="K203" s="124"/>
    </row>
    <row r="204" ht="15.75" customHeight="1">
      <c r="E204" s="124"/>
      <c r="F204" s="124"/>
      <c r="G204" s="124"/>
      <c r="H204" s="124"/>
      <c r="I204" s="124"/>
      <c r="J204" s="124"/>
      <c r="K204" s="124"/>
    </row>
    <row r="205" ht="15.75" customHeight="1">
      <c r="E205" s="124"/>
      <c r="F205" s="124"/>
      <c r="G205" s="124"/>
      <c r="H205" s="124"/>
      <c r="I205" s="124"/>
      <c r="J205" s="124"/>
      <c r="K205" s="124"/>
    </row>
    <row r="206" ht="15.75" customHeight="1">
      <c r="E206" s="124"/>
      <c r="F206" s="124"/>
      <c r="G206" s="124"/>
      <c r="H206" s="124"/>
      <c r="I206" s="124"/>
      <c r="J206" s="124"/>
      <c r="K206" s="124"/>
    </row>
    <row r="207" ht="15.75" customHeight="1">
      <c r="E207" s="124"/>
      <c r="F207" s="124"/>
      <c r="G207" s="124"/>
      <c r="H207" s="124"/>
      <c r="I207" s="124"/>
      <c r="J207" s="124"/>
      <c r="K207" s="124"/>
    </row>
    <row r="208" ht="15.75" customHeight="1">
      <c r="E208" s="124"/>
      <c r="F208" s="124"/>
      <c r="G208" s="124"/>
      <c r="H208" s="124"/>
      <c r="I208" s="124"/>
      <c r="J208" s="124"/>
      <c r="K208" s="124"/>
    </row>
    <row r="209" ht="15.75" customHeight="1">
      <c r="E209" s="124"/>
      <c r="F209" s="124"/>
      <c r="G209" s="124"/>
      <c r="H209" s="124"/>
      <c r="I209" s="124"/>
      <c r="J209" s="124"/>
      <c r="K209" s="124"/>
    </row>
    <row r="210" ht="15.75" customHeight="1">
      <c r="E210" s="124"/>
      <c r="F210" s="124"/>
      <c r="G210" s="124"/>
      <c r="H210" s="124"/>
      <c r="I210" s="124"/>
      <c r="J210" s="124"/>
      <c r="K210" s="124"/>
    </row>
    <row r="211" ht="15.75" customHeight="1">
      <c r="E211" s="124"/>
      <c r="F211" s="124"/>
      <c r="G211" s="124"/>
      <c r="H211" s="124"/>
      <c r="I211" s="124"/>
      <c r="J211" s="124"/>
      <c r="K211" s="124"/>
    </row>
    <row r="212" ht="15.75" customHeight="1">
      <c r="E212" s="124"/>
      <c r="F212" s="124"/>
      <c r="G212" s="124"/>
      <c r="H212" s="124"/>
      <c r="I212" s="124"/>
      <c r="J212" s="124"/>
      <c r="K212" s="124"/>
    </row>
    <row r="213" ht="15.75" customHeight="1">
      <c r="E213" s="124"/>
      <c r="F213" s="124"/>
      <c r="G213" s="124"/>
      <c r="H213" s="124"/>
      <c r="I213" s="124"/>
      <c r="J213" s="124"/>
      <c r="K213" s="124"/>
    </row>
    <row r="214" ht="15.75" customHeight="1">
      <c r="E214" s="124"/>
      <c r="F214" s="124"/>
      <c r="G214" s="124"/>
      <c r="H214" s="124"/>
      <c r="I214" s="124"/>
      <c r="J214" s="124"/>
      <c r="K214" s="124"/>
    </row>
    <row r="215" ht="15.75" customHeight="1">
      <c r="E215" s="124"/>
      <c r="F215" s="124"/>
      <c r="G215" s="124"/>
      <c r="H215" s="124"/>
      <c r="I215" s="124"/>
      <c r="J215" s="124"/>
      <c r="K215" s="124"/>
    </row>
    <row r="216" ht="15.75" customHeight="1">
      <c r="E216" s="124"/>
      <c r="F216" s="124"/>
      <c r="G216" s="124"/>
      <c r="H216" s="124"/>
      <c r="I216" s="124"/>
      <c r="J216" s="124"/>
      <c r="K216" s="124"/>
    </row>
    <row r="217" ht="15.75" customHeight="1">
      <c r="E217" s="124"/>
      <c r="F217" s="124"/>
      <c r="G217" s="124"/>
      <c r="H217" s="124"/>
      <c r="I217" s="124"/>
      <c r="J217" s="124"/>
      <c r="K217" s="124"/>
    </row>
    <row r="218" ht="15.75" customHeight="1">
      <c r="E218" s="124"/>
      <c r="F218" s="124"/>
      <c r="G218" s="124"/>
      <c r="H218" s="124"/>
      <c r="I218" s="124"/>
      <c r="J218" s="124"/>
      <c r="K218" s="124"/>
    </row>
    <row r="219" ht="15.75" customHeight="1">
      <c r="E219" s="124"/>
      <c r="F219" s="124"/>
      <c r="G219" s="124"/>
      <c r="H219" s="124"/>
      <c r="I219" s="124"/>
      <c r="J219" s="124"/>
      <c r="K219" s="124"/>
    </row>
    <row r="220" ht="15.75" customHeight="1">
      <c r="E220" s="124"/>
      <c r="F220" s="124"/>
      <c r="G220" s="124"/>
      <c r="H220" s="124"/>
      <c r="I220" s="124"/>
      <c r="J220" s="124"/>
      <c r="K220" s="124"/>
    </row>
    <row r="221" ht="15.75" customHeight="1">
      <c r="E221" s="124"/>
      <c r="F221" s="124"/>
      <c r="G221" s="124"/>
      <c r="H221" s="124"/>
      <c r="I221" s="124"/>
      <c r="J221" s="124"/>
      <c r="K221" s="124"/>
    </row>
    <row r="222" ht="15.75" customHeight="1">
      <c r="E222" s="124"/>
      <c r="F222" s="124"/>
      <c r="G222" s="124"/>
      <c r="H222" s="124"/>
      <c r="I222" s="124"/>
      <c r="J222" s="124"/>
      <c r="K222" s="124"/>
    </row>
    <row r="223" ht="15.75" customHeight="1">
      <c r="E223" s="124"/>
      <c r="F223" s="124"/>
      <c r="G223" s="124"/>
      <c r="H223" s="124"/>
      <c r="I223" s="124"/>
      <c r="J223" s="124"/>
      <c r="K223" s="124"/>
    </row>
    <row r="224" ht="15.75" customHeight="1">
      <c r="E224" s="124"/>
      <c r="F224" s="124"/>
      <c r="G224" s="124"/>
      <c r="H224" s="124"/>
      <c r="I224" s="124"/>
      <c r="J224" s="124"/>
      <c r="K224" s="124"/>
    </row>
    <row r="225" ht="15.75" customHeight="1">
      <c r="E225" s="124"/>
      <c r="F225" s="124"/>
      <c r="G225" s="124"/>
      <c r="H225" s="124"/>
      <c r="I225" s="124"/>
      <c r="J225" s="124"/>
      <c r="K225" s="124"/>
    </row>
    <row r="226" ht="15.75" customHeight="1">
      <c r="E226" s="124"/>
      <c r="F226" s="124"/>
      <c r="G226" s="124"/>
      <c r="H226" s="124"/>
      <c r="I226" s="124"/>
      <c r="J226" s="124"/>
      <c r="K226" s="124"/>
    </row>
    <row r="227" ht="15.75" customHeight="1">
      <c r="E227" s="124"/>
      <c r="F227" s="124"/>
      <c r="G227" s="124"/>
      <c r="H227" s="124"/>
      <c r="I227" s="124"/>
      <c r="J227" s="124"/>
      <c r="K227" s="124"/>
    </row>
    <row r="228" ht="15.75" customHeight="1">
      <c r="E228" s="124"/>
      <c r="F228" s="124"/>
      <c r="G228" s="124"/>
      <c r="H228" s="124"/>
      <c r="I228" s="124"/>
      <c r="J228" s="124"/>
      <c r="K228" s="124"/>
    </row>
    <row r="229" ht="15.75" customHeight="1">
      <c r="E229" s="124"/>
      <c r="F229" s="124"/>
      <c r="G229" s="124"/>
      <c r="H229" s="124"/>
      <c r="I229" s="124"/>
      <c r="J229" s="124"/>
      <c r="K229" s="124"/>
    </row>
    <row r="230" ht="15.75" customHeight="1">
      <c r="E230" s="124"/>
      <c r="F230" s="124"/>
      <c r="G230" s="124"/>
      <c r="H230" s="124"/>
      <c r="I230" s="124"/>
      <c r="J230" s="124"/>
      <c r="K230" s="124"/>
    </row>
    <row r="231" ht="15.75" customHeight="1">
      <c r="E231" s="124"/>
      <c r="F231" s="124"/>
      <c r="G231" s="124"/>
      <c r="H231" s="124"/>
      <c r="I231" s="124"/>
      <c r="J231" s="124"/>
      <c r="K231" s="124"/>
    </row>
    <row r="232" ht="15.75" customHeight="1">
      <c r="E232" s="124"/>
      <c r="F232" s="124"/>
      <c r="G232" s="124"/>
      <c r="H232" s="124"/>
      <c r="I232" s="124"/>
      <c r="J232" s="124"/>
      <c r="K232" s="124"/>
    </row>
    <row r="233" ht="15.75" customHeight="1">
      <c r="E233" s="124"/>
      <c r="F233" s="124"/>
      <c r="G233" s="124"/>
      <c r="H233" s="124"/>
      <c r="I233" s="124"/>
      <c r="J233" s="124"/>
      <c r="K233" s="124"/>
    </row>
    <row r="234" ht="15.75" customHeight="1">
      <c r="E234" s="124"/>
      <c r="F234" s="124"/>
      <c r="G234" s="124"/>
      <c r="H234" s="124"/>
      <c r="I234" s="124"/>
      <c r="J234" s="124"/>
      <c r="K234" s="124"/>
    </row>
    <row r="235" ht="15.75" customHeight="1">
      <c r="E235" s="124"/>
      <c r="F235" s="124"/>
      <c r="G235" s="124"/>
      <c r="H235" s="124"/>
      <c r="I235" s="124"/>
      <c r="J235" s="124"/>
      <c r="K235" s="124"/>
    </row>
    <row r="236" ht="15.75" customHeight="1">
      <c r="E236" s="124"/>
      <c r="F236" s="124"/>
      <c r="G236" s="124"/>
      <c r="H236" s="124"/>
      <c r="I236" s="124"/>
      <c r="J236" s="124"/>
      <c r="K236" s="124"/>
    </row>
    <row r="237" ht="15.75" customHeight="1">
      <c r="E237" s="124"/>
      <c r="F237" s="124"/>
      <c r="G237" s="124"/>
      <c r="H237" s="124"/>
      <c r="I237" s="124"/>
      <c r="J237" s="124"/>
      <c r="K237" s="124"/>
    </row>
    <row r="238" ht="15.75" customHeight="1">
      <c r="E238" s="124"/>
      <c r="F238" s="124"/>
      <c r="G238" s="124"/>
      <c r="H238" s="124"/>
      <c r="I238" s="124"/>
      <c r="J238" s="124"/>
      <c r="K238" s="124"/>
    </row>
    <row r="239" ht="15.75" customHeight="1">
      <c r="E239" s="124"/>
      <c r="F239" s="124"/>
      <c r="G239" s="124"/>
      <c r="H239" s="124"/>
      <c r="I239" s="124"/>
      <c r="J239" s="124"/>
      <c r="K239" s="124"/>
    </row>
    <row r="240" ht="15.75" customHeight="1">
      <c r="E240" s="124"/>
      <c r="F240" s="124"/>
      <c r="G240" s="124"/>
      <c r="H240" s="124"/>
      <c r="I240" s="124"/>
      <c r="J240" s="124"/>
      <c r="K240" s="124"/>
    </row>
    <row r="241" ht="15.75" customHeight="1">
      <c r="E241" s="124"/>
      <c r="F241" s="124"/>
      <c r="G241" s="124"/>
      <c r="H241" s="124"/>
      <c r="I241" s="124"/>
      <c r="J241" s="124"/>
      <c r="K241" s="124"/>
    </row>
    <row r="242" ht="15.75" customHeight="1">
      <c r="E242" s="124"/>
      <c r="F242" s="124"/>
      <c r="G242" s="124"/>
      <c r="H242" s="124"/>
      <c r="I242" s="124"/>
      <c r="J242" s="124"/>
      <c r="K242" s="124"/>
    </row>
    <row r="243" ht="15.75" customHeight="1">
      <c r="E243" s="124"/>
      <c r="F243" s="124"/>
      <c r="G243" s="124"/>
      <c r="H243" s="124"/>
      <c r="I243" s="124"/>
      <c r="J243" s="124"/>
      <c r="K243" s="124"/>
    </row>
    <row r="244" ht="15.75" customHeight="1">
      <c r="E244" s="124"/>
      <c r="F244" s="124"/>
      <c r="G244" s="124"/>
      <c r="H244" s="124"/>
      <c r="I244" s="124"/>
      <c r="J244" s="124"/>
      <c r="K244" s="124"/>
    </row>
    <row r="245" ht="15.75" customHeight="1">
      <c r="E245" s="124"/>
      <c r="F245" s="124"/>
      <c r="G245" s="124"/>
      <c r="H245" s="124"/>
      <c r="I245" s="124"/>
      <c r="J245" s="124"/>
      <c r="K245" s="124"/>
    </row>
    <row r="246" ht="15.75" customHeight="1">
      <c r="E246" s="124"/>
      <c r="F246" s="124"/>
      <c r="G246" s="124"/>
      <c r="H246" s="124"/>
      <c r="I246" s="124"/>
      <c r="J246" s="124"/>
      <c r="K246" s="124"/>
    </row>
    <row r="247" ht="15.75" customHeight="1">
      <c r="E247" s="124"/>
      <c r="F247" s="124"/>
      <c r="G247" s="124"/>
      <c r="H247" s="124"/>
      <c r="I247" s="124"/>
      <c r="J247" s="124"/>
      <c r="K247" s="124"/>
    </row>
    <row r="248" ht="15.75" customHeight="1">
      <c r="E248" s="124"/>
      <c r="F248" s="124"/>
      <c r="G248" s="124"/>
      <c r="H248" s="124"/>
      <c r="I248" s="124"/>
      <c r="J248" s="124"/>
      <c r="K248" s="124"/>
    </row>
    <row r="249" ht="15.75" customHeight="1">
      <c r="E249" s="124"/>
      <c r="F249" s="124"/>
      <c r="G249" s="124"/>
      <c r="H249" s="124"/>
      <c r="I249" s="124"/>
      <c r="J249" s="124"/>
      <c r="K249" s="124"/>
    </row>
    <row r="250" ht="15.75" customHeight="1">
      <c r="E250" s="124"/>
      <c r="F250" s="124"/>
      <c r="G250" s="124"/>
      <c r="H250" s="124"/>
      <c r="I250" s="124"/>
      <c r="J250" s="124"/>
      <c r="K250" s="124"/>
    </row>
    <row r="251" ht="15.75" customHeight="1">
      <c r="E251" s="124"/>
      <c r="F251" s="124"/>
      <c r="G251" s="124"/>
      <c r="H251" s="124"/>
      <c r="I251" s="124"/>
      <c r="J251" s="124"/>
      <c r="K251" s="124"/>
    </row>
    <row r="252" ht="15.75" customHeight="1">
      <c r="E252" s="124"/>
      <c r="F252" s="124"/>
      <c r="G252" s="124"/>
      <c r="H252" s="124"/>
      <c r="I252" s="124"/>
      <c r="J252" s="124"/>
      <c r="K252" s="124"/>
    </row>
    <row r="253" ht="15.75" customHeight="1">
      <c r="E253" s="124"/>
      <c r="F253" s="124"/>
      <c r="G253" s="124"/>
      <c r="H253" s="124"/>
      <c r="I253" s="124"/>
      <c r="J253" s="124"/>
      <c r="K253" s="124"/>
    </row>
    <row r="254" ht="15.75" customHeight="1">
      <c r="E254" s="124"/>
      <c r="F254" s="124"/>
      <c r="G254" s="124"/>
      <c r="H254" s="124"/>
      <c r="I254" s="124"/>
      <c r="J254" s="124"/>
      <c r="K254" s="124"/>
    </row>
    <row r="255" ht="15.75" customHeight="1">
      <c r="E255" s="124"/>
      <c r="F255" s="124"/>
      <c r="G255" s="124"/>
      <c r="H255" s="124"/>
      <c r="I255" s="124"/>
      <c r="J255" s="124"/>
      <c r="K255" s="124"/>
    </row>
    <row r="256" ht="15.75" customHeight="1">
      <c r="E256" s="124"/>
      <c r="F256" s="124"/>
      <c r="G256" s="124"/>
      <c r="H256" s="124"/>
      <c r="I256" s="124"/>
      <c r="J256" s="124"/>
      <c r="K256" s="124"/>
    </row>
    <row r="257" ht="15.75" customHeight="1">
      <c r="E257" s="124"/>
      <c r="F257" s="124"/>
      <c r="G257" s="124"/>
      <c r="H257" s="124"/>
      <c r="I257" s="124"/>
      <c r="J257" s="124"/>
      <c r="K257" s="124"/>
    </row>
    <row r="258" ht="15.75" customHeight="1">
      <c r="E258" s="124"/>
      <c r="F258" s="124"/>
      <c r="G258" s="124"/>
      <c r="H258" s="124"/>
      <c r="I258" s="124"/>
      <c r="J258" s="124"/>
      <c r="K258" s="124"/>
    </row>
    <row r="259" ht="15.75" customHeight="1">
      <c r="E259" s="124"/>
      <c r="F259" s="124"/>
      <c r="G259" s="124"/>
      <c r="H259" s="124"/>
      <c r="I259" s="124"/>
      <c r="J259" s="124"/>
      <c r="K259" s="124"/>
    </row>
    <row r="260" ht="15.75" customHeight="1">
      <c r="E260" s="124"/>
      <c r="F260" s="124"/>
      <c r="G260" s="124"/>
      <c r="H260" s="124"/>
      <c r="I260" s="124"/>
      <c r="J260" s="124"/>
      <c r="K260" s="124"/>
    </row>
    <row r="261" ht="15.75" customHeight="1">
      <c r="E261" s="124"/>
      <c r="F261" s="124"/>
      <c r="G261" s="124"/>
      <c r="H261" s="124"/>
      <c r="I261" s="124"/>
      <c r="J261" s="124"/>
      <c r="K261" s="124"/>
    </row>
    <row r="262" ht="15.75" customHeight="1">
      <c r="E262" s="124"/>
      <c r="F262" s="124"/>
      <c r="G262" s="124"/>
      <c r="H262" s="124"/>
      <c r="I262" s="124"/>
      <c r="J262" s="124"/>
      <c r="K262" s="124"/>
    </row>
    <row r="263" ht="15.75" customHeight="1">
      <c r="E263" s="124"/>
      <c r="F263" s="124"/>
      <c r="G263" s="124"/>
      <c r="H263" s="124"/>
      <c r="I263" s="124"/>
      <c r="J263" s="124"/>
      <c r="K263" s="124"/>
    </row>
    <row r="264" ht="15.75" customHeight="1">
      <c r="E264" s="124"/>
      <c r="F264" s="124"/>
      <c r="G264" s="124"/>
      <c r="H264" s="124"/>
      <c r="I264" s="124"/>
      <c r="J264" s="124"/>
      <c r="K264" s="124"/>
    </row>
    <row r="265" ht="15.75" customHeight="1">
      <c r="E265" s="124"/>
      <c r="F265" s="124"/>
      <c r="G265" s="124"/>
      <c r="H265" s="124"/>
      <c r="I265" s="124"/>
      <c r="J265" s="124"/>
      <c r="K265" s="124"/>
    </row>
    <row r="266" ht="15.75" customHeight="1">
      <c r="E266" s="124"/>
      <c r="F266" s="124"/>
      <c r="G266" s="124"/>
      <c r="H266" s="124"/>
      <c r="I266" s="124"/>
      <c r="J266" s="124"/>
      <c r="K266" s="124"/>
    </row>
    <row r="267" ht="15.75" customHeight="1">
      <c r="E267" s="124"/>
      <c r="F267" s="124"/>
      <c r="G267" s="124"/>
      <c r="H267" s="124"/>
      <c r="I267" s="124"/>
      <c r="J267" s="124"/>
      <c r="K267" s="124"/>
    </row>
    <row r="268" ht="15.75" customHeight="1">
      <c r="E268" s="124"/>
      <c r="F268" s="124"/>
      <c r="G268" s="124"/>
      <c r="H268" s="124"/>
      <c r="I268" s="124"/>
      <c r="J268" s="124"/>
      <c r="K268" s="124"/>
    </row>
    <row r="269" ht="15.75" customHeight="1">
      <c r="E269" s="124"/>
      <c r="F269" s="124"/>
      <c r="G269" s="124"/>
      <c r="H269" s="124"/>
      <c r="I269" s="124"/>
      <c r="J269" s="124"/>
      <c r="K269" s="124"/>
    </row>
    <row r="270" ht="15.75" customHeight="1">
      <c r="E270" s="124"/>
      <c r="F270" s="124"/>
      <c r="G270" s="124"/>
      <c r="H270" s="124"/>
      <c r="I270" s="124"/>
      <c r="J270" s="124"/>
      <c r="K270" s="124"/>
    </row>
    <row r="271" ht="15.75" customHeight="1">
      <c r="E271" s="124"/>
      <c r="F271" s="124"/>
      <c r="G271" s="124"/>
      <c r="H271" s="124"/>
      <c r="I271" s="124"/>
      <c r="J271" s="124"/>
      <c r="K271" s="124"/>
    </row>
    <row r="272" ht="15.75" customHeight="1">
      <c r="E272" s="124"/>
      <c r="F272" s="124"/>
      <c r="G272" s="124"/>
      <c r="H272" s="124"/>
      <c r="I272" s="124"/>
      <c r="J272" s="124"/>
      <c r="K272" s="124"/>
    </row>
    <row r="273" ht="15.75" customHeight="1">
      <c r="E273" s="124"/>
      <c r="F273" s="124"/>
      <c r="G273" s="124"/>
      <c r="H273" s="124"/>
      <c r="I273" s="124"/>
      <c r="J273" s="124"/>
      <c r="K273" s="124"/>
    </row>
    <row r="274" ht="15.75" customHeight="1">
      <c r="E274" s="124"/>
      <c r="F274" s="124"/>
      <c r="G274" s="124"/>
      <c r="H274" s="124"/>
      <c r="I274" s="124"/>
      <c r="J274" s="124"/>
      <c r="K274" s="124"/>
    </row>
    <row r="275" ht="15.75" customHeight="1">
      <c r="E275" s="124"/>
      <c r="F275" s="124"/>
      <c r="G275" s="124"/>
      <c r="H275" s="124"/>
      <c r="I275" s="124"/>
      <c r="J275" s="124"/>
      <c r="K275" s="124"/>
    </row>
    <row r="276" ht="15.75" customHeight="1">
      <c r="E276" s="124"/>
      <c r="F276" s="124"/>
      <c r="G276" s="124"/>
      <c r="H276" s="124"/>
      <c r="I276" s="124"/>
      <c r="J276" s="124"/>
      <c r="K276" s="124"/>
    </row>
    <row r="277" ht="15.75" customHeight="1">
      <c r="E277" s="124"/>
      <c r="F277" s="124"/>
      <c r="G277" s="124"/>
      <c r="H277" s="124"/>
      <c r="I277" s="124"/>
      <c r="J277" s="124"/>
      <c r="K277" s="124"/>
    </row>
    <row r="278" ht="15.75" customHeight="1">
      <c r="E278" s="124"/>
      <c r="F278" s="124"/>
      <c r="G278" s="124"/>
      <c r="H278" s="124"/>
      <c r="I278" s="124"/>
      <c r="J278" s="124"/>
      <c r="K278" s="124"/>
    </row>
    <row r="279" ht="15.75" customHeight="1">
      <c r="E279" s="124"/>
      <c r="F279" s="124"/>
      <c r="G279" s="124"/>
      <c r="H279" s="124"/>
      <c r="I279" s="124"/>
      <c r="J279" s="124"/>
      <c r="K279" s="124"/>
    </row>
    <row r="280" ht="15.75" customHeight="1">
      <c r="E280" s="124"/>
      <c r="F280" s="124"/>
      <c r="G280" s="124"/>
      <c r="H280" s="124"/>
      <c r="I280" s="124"/>
      <c r="J280" s="124"/>
      <c r="K280" s="124"/>
    </row>
    <row r="281" ht="15.75" customHeight="1">
      <c r="E281" s="124"/>
      <c r="F281" s="124"/>
      <c r="G281" s="124"/>
      <c r="H281" s="124"/>
      <c r="I281" s="124"/>
      <c r="J281" s="124"/>
      <c r="K281" s="124"/>
    </row>
    <row r="282" ht="15.75" customHeight="1">
      <c r="E282" s="124"/>
      <c r="F282" s="124"/>
      <c r="G282" s="124"/>
      <c r="H282" s="124"/>
      <c r="I282" s="124"/>
      <c r="J282" s="124"/>
      <c r="K282" s="124"/>
    </row>
    <row r="283" ht="15.75" customHeight="1">
      <c r="E283" s="124"/>
      <c r="F283" s="124"/>
      <c r="G283" s="124"/>
      <c r="H283" s="124"/>
      <c r="I283" s="124"/>
      <c r="J283" s="124"/>
      <c r="K283" s="124"/>
    </row>
    <row r="284" ht="15.75" customHeight="1">
      <c r="E284" s="124"/>
      <c r="F284" s="124"/>
      <c r="G284" s="124"/>
      <c r="H284" s="124"/>
      <c r="I284" s="124"/>
      <c r="J284" s="124"/>
      <c r="K284" s="124"/>
    </row>
    <row r="285" ht="15.75" customHeight="1">
      <c r="E285" s="124"/>
      <c r="F285" s="124"/>
      <c r="G285" s="124"/>
      <c r="H285" s="124"/>
      <c r="I285" s="124"/>
      <c r="J285" s="124"/>
      <c r="K285" s="124"/>
    </row>
    <row r="286" ht="15.75" customHeight="1">
      <c r="E286" s="124"/>
      <c r="F286" s="124"/>
      <c r="G286" s="124"/>
      <c r="H286" s="124"/>
      <c r="I286" s="124"/>
      <c r="J286" s="124"/>
      <c r="K286" s="124"/>
    </row>
    <row r="287" ht="15.75" customHeight="1">
      <c r="E287" s="124"/>
      <c r="F287" s="124"/>
      <c r="G287" s="124"/>
      <c r="H287" s="124"/>
      <c r="I287" s="124"/>
      <c r="J287" s="124"/>
      <c r="K287" s="124"/>
    </row>
    <row r="288" ht="15.75" customHeight="1">
      <c r="E288" s="124"/>
      <c r="F288" s="124"/>
      <c r="G288" s="124"/>
      <c r="H288" s="124"/>
      <c r="I288" s="124"/>
      <c r="J288" s="124"/>
      <c r="K288" s="124"/>
    </row>
    <row r="289" ht="15.75" customHeight="1">
      <c r="E289" s="124"/>
      <c r="F289" s="124"/>
      <c r="G289" s="124"/>
      <c r="H289" s="124"/>
      <c r="I289" s="124"/>
      <c r="J289" s="124"/>
      <c r="K289" s="124"/>
    </row>
    <row r="290" ht="15.75" customHeight="1">
      <c r="E290" s="124"/>
      <c r="F290" s="124"/>
      <c r="G290" s="124"/>
      <c r="H290" s="124"/>
      <c r="I290" s="124"/>
      <c r="J290" s="124"/>
      <c r="K290" s="124"/>
    </row>
    <row r="291" ht="15.75" customHeight="1">
      <c r="E291" s="124"/>
      <c r="F291" s="124"/>
      <c r="G291" s="124"/>
      <c r="H291" s="124"/>
      <c r="I291" s="124"/>
      <c r="J291" s="124"/>
      <c r="K291" s="124"/>
    </row>
    <row r="292" ht="15.75" customHeight="1">
      <c r="E292" s="124"/>
      <c r="F292" s="124"/>
      <c r="G292" s="124"/>
      <c r="H292" s="124"/>
      <c r="I292" s="124"/>
      <c r="J292" s="124"/>
      <c r="K292" s="124"/>
    </row>
    <row r="293" ht="15.75" customHeight="1">
      <c r="E293" s="124"/>
      <c r="F293" s="124"/>
      <c r="G293" s="124"/>
      <c r="H293" s="124"/>
      <c r="I293" s="124"/>
      <c r="J293" s="124"/>
      <c r="K293" s="124"/>
    </row>
    <row r="294" ht="15.75" customHeight="1">
      <c r="E294" s="124"/>
      <c r="F294" s="124"/>
      <c r="G294" s="124"/>
      <c r="H294" s="124"/>
      <c r="I294" s="124"/>
      <c r="J294" s="124"/>
      <c r="K294" s="124"/>
    </row>
    <row r="295" ht="15.75" customHeight="1">
      <c r="E295" s="124"/>
      <c r="F295" s="124"/>
      <c r="G295" s="124"/>
      <c r="H295" s="124"/>
      <c r="I295" s="124"/>
      <c r="J295" s="124"/>
      <c r="K295" s="124"/>
    </row>
    <row r="296" ht="15.75" customHeight="1">
      <c r="E296" s="124"/>
      <c r="F296" s="124"/>
      <c r="G296" s="124"/>
      <c r="H296" s="124"/>
      <c r="I296" s="124"/>
      <c r="J296" s="124"/>
      <c r="K296" s="124"/>
    </row>
    <row r="297" ht="15.75" customHeight="1">
      <c r="E297" s="124"/>
      <c r="F297" s="124"/>
      <c r="G297" s="124"/>
      <c r="H297" s="124"/>
      <c r="I297" s="124"/>
      <c r="J297" s="124"/>
      <c r="K297" s="124"/>
    </row>
    <row r="298" ht="15.75" customHeight="1">
      <c r="E298" s="124"/>
      <c r="F298" s="124"/>
      <c r="G298" s="124"/>
      <c r="H298" s="124"/>
      <c r="I298" s="124"/>
      <c r="J298" s="124"/>
      <c r="K298" s="124"/>
    </row>
    <row r="299" ht="15.75" customHeight="1">
      <c r="E299" s="124"/>
      <c r="F299" s="124"/>
      <c r="G299" s="124"/>
      <c r="H299" s="124"/>
      <c r="I299" s="124"/>
      <c r="J299" s="124"/>
      <c r="K299" s="124"/>
    </row>
    <row r="300" ht="15.75" customHeight="1">
      <c r="E300" s="124"/>
      <c r="F300" s="124"/>
      <c r="G300" s="124"/>
      <c r="H300" s="124"/>
      <c r="I300" s="124"/>
      <c r="J300" s="124"/>
      <c r="K300" s="124"/>
    </row>
    <row r="301" ht="15.75" customHeight="1">
      <c r="E301" s="124"/>
      <c r="F301" s="124"/>
      <c r="G301" s="124"/>
      <c r="H301" s="124"/>
      <c r="I301" s="124"/>
      <c r="J301" s="124"/>
      <c r="K301" s="124"/>
    </row>
    <row r="302" ht="15.75" customHeight="1">
      <c r="E302" s="124"/>
      <c r="F302" s="124"/>
      <c r="G302" s="124"/>
      <c r="H302" s="124"/>
      <c r="I302" s="124"/>
      <c r="J302" s="124"/>
      <c r="K302" s="124"/>
    </row>
    <row r="303" ht="15.75" customHeight="1">
      <c r="E303" s="124"/>
      <c r="F303" s="124"/>
      <c r="G303" s="124"/>
      <c r="H303" s="124"/>
      <c r="I303" s="124"/>
      <c r="J303" s="124"/>
      <c r="K303" s="124"/>
    </row>
    <row r="304" ht="15.75" customHeight="1">
      <c r="E304" s="124"/>
      <c r="F304" s="124"/>
      <c r="G304" s="124"/>
      <c r="H304" s="124"/>
      <c r="I304" s="124"/>
      <c r="J304" s="124"/>
      <c r="K304" s="124"/>
    </row>
    <row r="305" ht="15.75" customHeight="1">
      <c r="E305" s="124"/>
      <c r="F305" s="124"/>
      <c r="G305" s="124"/>
      <c r="H305" s="124"/>
      <c r="I305" s="124"/>
      <c r="J305" s="124"/>
      <c r="K305" s="124"/>
    </row>
    <row r="306" ht="15.75" customHeight="1">
      <c r="E306" s="124"/>
      <c r="F306" s="124"/>
      <c r="G306" s="124"/>
      <c r="H306" s="124"/>
      <c r="I306" s="124"/>
      <c r="J306" s="124"/>
      <c r="K306" s="124"/>
    </row>
    <row r="307" ht="15.75" customHeight="1">
      <c r="E307" s="124"/>
      <c r="F307" s="124"/>
      <c r="G307" s="124"/>
      <c r="H307" s="124"/>
      <c r="I307" s="124"/>
      <c r="J307" s="124"/>
      <c r="K307" s="124"/>
    </row>
    <row r="308" ht="15.75" customHeight="1">
      <c r="E308" s="124"/>
      <c r="F308" s="124"/>
      <c r="G308" s="124"/>
      <c r="H308" s="124"/>
      <c r="I308" s="124"/>
      <c r="J308" s="124"/>
      <c r="K308" s="124"/>
    </row>
    <row r="309" ht="15.75" customHeight="1">
      <c r="E309" s="124"/>
      <c r="F309" s="124"/>
      <c r="G309" s="124"/>
      <c r="H309" s="124"/>
      <c r="I309" s="124"/>
      <c r="J309" s="124"/>
      <c r="K309" s="124"/>
    </row>
    <row r="310" ht="15.75" customHeight="1">
      <c r="E310" s="124"/>
      <c r="F310" s="124"/>
      <c r="G310" s="124"/>
      <c r="H310" s="124"/>
      <c r="I310" s="124"/>
      <c r="J310" s="124"/>
      <c r="K310" s="124"/>
    </row>
    <row r="311" ht="15.75" customHeight="1">
      <c r="E311" s="124"/>
      <c r="F311" s="124"/>
      <c r="G311" s="124"/>
      <c r="H311" s="124"/>
      <c r="I311" s="124"/>
      <c r="J311" s="124"/>
      <c r="K311" s="124"/>
    </row>
    <row r="312" ht="15.75" customHeight="1">
      <c r="E312" s="124"/>
      <c r="F312" s="124"/>
      <c r="G312" s="124"/>
      <c r="H312" s="124"/>
      <c r="I312" s="124"/>
      <c r="J312" s="124"/>
      <c r="K312" s="124"/>
    </row>
    <row r="313" ht="15.75" customHeight="1">
      <c r="E313" s="124"/>
      <c r="F313" s="124"/>
      <c r="G313" s="124"/>
      <c r="H313" s="124"/>
      <c r="I313" s="124"/>
      <c r="J313" s="124"/>
      <c r="K313" s="124"/>
    </row>
    <row r="314" ht="15.75" customHeight="1">
      <c r="E314" s="124"/>
      <c r="F314" s="124"/>
      <c r="G314" s="124"/>
      <c r="H314" s="124"/>
      <c r="I314" s="124"/>
      <c r="J314" s="124"/>
      <c r="K314" s="124"/>
    </row>
    <row r="315" ht="15.75" customHeight="1">
      <c r="E315" s="124"/>
      <c r="F315" s="124"/>
      <c r="G315" s="124"/>
      <c r="H315" s="124"/>
      <c r="I315" s="124"/>
      <c r="J315" s="124"/>
      <c r="K315" s="124"/>
    </row>
    <row r="316" ht="15.75" customHeight="1">
      <c r="E316" s="124"/>
      <c r="F316" s="124"/>
      <c r="G316" s="124"/>
      <c r="H316" s="124"/>
      <c r="I316" s="124"/>
      <c r="J316" s="124"/>
      <c r="K316" s="124"/>
    </row>
    <row r="317" ht="15.75" customHeight="1">
      <c r="E317" s="124"/>
      <c r="F317" s="124"/>
      <c r="G317" s="124"/>
      <c r="H317" s="124"/>
      <c r="I317" s="124"/>
      <c r="J317" s="124"/>
      <c r="K317" s="124"/>
    </row>
    <row r="318" ht="15.75" customHeight="1">
      <c r="E318" s="124"/>
      <c r="F318" s="124"/>
      <c r="G318" s="124"/>
      <c r="H318" s="124"/>
      <c r="I318" s="124"/>
      <c r="J318" s="124"/>
      <c r="K318" s="124"/>
    </row>
    <row r="319" ht="15.75" customHeight="1">
      <c r="E319" s="124"/>
      <c r="F319" s="124"/>
      <c r="G319" s="124"/>
      <c r="H319" s="124"/>
      <c r="I319" s="124"/>
      <c r="J319" s="124"/>
      <c r="K319" s="124"/>
    </row>
    <row r="320" ht="15.75" customHeight="1">
      <c r="E320" s="124"/>
      <c r="F320" s="124"/>
      <c r="G320" s="124"/>
      <c r="H320" s="124"/>
      <c r="I320" s="124"/>
      <c r="J320" s="124"/>
      <c r="K320" s="124"/>
    </row>
    <row r="321" ht="15.75" customHeight="1">
      <c r="E321" s="124"/>
      <c r="F321" s="124"/>
      <c r="G321" s="124"/>
      <c r="H321" s="124"/>
      <c r="I321" s="124"/>
      <c r="J321" s="124"/>
      <c r="K321" s="124"/>
    </row>
    <row r="322" ht="15.75" customHeight="1">
      <c r="E322" s="124"/>
      <c r="F322" s="124"/>
      <c r="G322" s="124"/>
      <c r="H322" s="124"/>
      <c r="I322" s="124"/>
      <c r="J322" s="124"/>
      <c r="K322" s="124"/>
    </row>
    <row r="323" ht="15.75" customHeight="1">
      <c r="E323" s="124"/>
      <c r="F323" s="124"/>
      <c r="G323" s="124"/>
      <c r="H323" s="124"/>
      <c r="I323" s="124"/>
      <c r="J323" s="124"/>
      <c r="K323" s="124"/>
    </row>
    <row r="324" ht="15.75" customHeight="1">
      <c r="E324" s="124"/>
      <c r="F324" s="124"/>
      <c r="G324" s="124"/>
      <c r="H324" s="124"/>
      <c r="I324" s="124"/>
      <c r="J324" s="124"/>
      <c r="K324" s="124"/>
    </row>
    <row r="325" ht="15.75" customHeight="1">
      <c r="E325" s="124"/>
      <c r="F325" s="124"/>
      <c r="G325" s="124"/>
      <c r="H325" s="124"/>
      <c r="I325" s="124"/>
      <c r="J325" s="124"/>
      <c r="K325" s="124"/>
    </row>
    <row r="326" ht="15.75" customHeight="1">
      <c r="E326" s="124"/>
      <c r="F326" s="124"/>
      <c r="G326" s="124"/>
      <c r="H326" s="124"/>
      <c r="I326" s="124"/>
      <c r="J326" s="124"/>
      <c r="K326" s="124"/>
    </row>
    <row r="327" ht="15.75" customHeight="1">
      <c r="E327" s="124"/>
      <c r="F327" s="124"/>
      <c r="G327" s="124"/>
      <c r="H327" s="124"/>
      <c r="I327" s="124"/>
      <c r="J327" s="124"/>
      <c r="K327" s="124"/>
    </row>
    <row r="328" ht="15.75" customHeight="1">
      <c r="E328" s="124"/>
      <c r="F328" s="124"/>
      <c r="G328" s="124"/>
      <c r="H328" s="124"/>
      <c r="I328" s="124"/>
      <c r="J328" s="124"/>
      <c r="K328" s="124"/>
    </row>
    <row r="329" ht="15.75" customHeight="1">
      <c r="E329" s="124"/>
      <c r="F329" s="124"/>
      <c r="G329" s="124"/>
      <c r="H329" s="124"/>
      <c r="I329" s="124"/>
      <c r="J329" s="124"/>
      <c r="K329" s="124"/>
    </row>
    <row r="330" ht="15.75" customHeight="1">
      <c r="E330" s="124"/>
      <c r="F330" s="124"/>
      <c r="G330" s="124"/>
      <c r="H330" s="124"/>
      <c r="I330" s="124"/>
      <c r="J330" s="124"/>
      <c r="K330" s="124"/>
    </row>
    <row r="331" ht="15.75" customHeight="1">
      <c r="E331" s="124"/>
      <c r="F331" s="124"/>
      <c r="G331" s="124"/>
      <c r="H331" s="124"/>
      <c r="I331" s="124"/>
      <c r="J331" s="124"/>
      <c r="K331" s="124"/>
    </row>
    <row r="332" ht="15.75" customHeight="1">
      <c r="E332" s="124"/>
      <c r="F332" s="124"/>
      <c r="G332" s="124"/>
      <c r="H332" s="124"/>
      <c r="I332" s="124"/>
      <c r="J332" s="124"/>
      <c r="K332" s="124"/>
    </row>
    <row r="333" ht="15.75" customHeight="1">
      <c r="E333" s="124"/>
      <c r="F333" s="124"/>
      <c r="G333" s="124"/>
      <c r="H333" s="124"/>
      <c r="I333" s="124"/>
      <c r="J333" s="124"/>
      <c r="K333" s="124"/>
    </row>
    <row r="334" ht="15.75" customHeight="1">
      <c r="E334" s="124"/>
      <c r="F334" s="124"/>
      <c r="G334" s="124"/>
      <c r="H334" s="124"/>
      <c r="I334" s="124"/>
      <c r="J334" s="124"/>
      <c r="K334" s="124"/>
    </row>
    <row r="335" ht="15.75" customHeight="1">
      <c r="E335" s="124"/>
      <c r="F335" s="124"/>
      <c r="G335" s="124"/>
      <c r="H335" s="124"/>
      <c r="I335" s="124"/>
      <c r="J335" s="124"/>
      <c r="K335" s="124"/>
    </row>
    <row r="336" ht="15.75" customHeight="1">
      <c r="E336" s="124"/>
      <c r="F336" s="124"/>
      <c r="G336" s="124"/>
      <c r="H336" s="124"/>
      <c r="I336" s="124"/>
      <c r="J336" s="124"/>
      <c r="K336" s="124"/>
    </row>
    <row r="337" ht="15.75" customHeight="1">
      <c r="E337" s="124"/>
      <c r="F337" s="124"/>
      <c r="G337" s="124"/>
      <c r="H337" s="124"/>
      <c r="I337" s="124"/>
      <c r="J337" s="124"/>
      <c r="K337" s="124"/>
    </row>
    <row r="338" ht="15.75" customHeight="1">
      <c r="E338" s="124"/>
      <c r="F338" s="124"/>
      <c r="G338" s="124"/>
      <c r="H338" s="124"/>
      <c r="I338" s="124"/>
      <c r="J338" s="124"/>
      <c r="K338" s="124"/>
    </row>
    <row r="339" ht="15.75" customHeight="1">
      <c r="E339" s="124"/>
      <c r="F339" s="124"/>
      <c r="G339" s="124"/>
      <c r="H339" s="124"/>
      <c r="I339" s="124"/>
      <c r="J339" s="124"/>
      <c r="K339" s="124"/>
    </row>
    <row r="340" ht="15.75" customHeight="1">
      <c r="E340" s="124"/>
      <c r="F340" s="124"/>
      <c r="G340" s="124"/>
      <c r="H340" s="124"/>
      <c r="I340" s="124"/>
      <c r="J340" s="124"/>
      <c r="K340" s="124"/>
    </row>
    <row r="341" ht="15.75" customHeight="1">
      <c r="E341" s="124"/>
      <c r="F341" s="124"/>
      <c r="G341" s="124"/>
      <c r="H341" s="124"/>
      <c r="I341" s="124"/>
      <c r="J341" s="124"/>
      <c r="K341" s="124"/>
    </row>
    <row r="342" ht="15.75" customHeight="1">
      <c r="E342" s="124"/>
      <c r="F342" s="124"/>
      <c r="G342" s="124"/>
      <c r="H342" s="124"/>
      <c r="I342" s="124"/>
      <c r="J342" s="124"/>
      <c r="K342" s="124"/>
    </row>
    <row r="343" ht="15.75" customHeight="1">
      <c r="E343" s="124"/>
      <c r="F343" s="124"/>
      <c r="G343" s="124"/>
      <c r="H343" s="124"/>
      <c r="I343" s="124"/>
      <c r="J343" s="124"/>
      <c r="K343" s="124"/>
    </row>
    <row r="344" ht="15.75" customHeight="1">
      <c r="E344" s="124"/>
      <c r="F344" s="124"/>
      <c r="G344" s="124"/>
      <c r="H344" s="124"/>
      <c r="I344" s="124"/>
      <c r="J344" s="124"/>
      <c r="K344" s="124"/>
    </row>
    <row r="345" ht="15.75" customHeight="1">
      <c r="E345" s="124"/>
      <c r="F345" s="124"/>
      <c r="G345" s="124"/>
      <c r="H345" s="124"/>
      <c r="I345" s="124"/>
      <c r="J345" s="124"/>
      <c r="K345" s="124"/>
    </row>
    <row r="346" ht="15.75" customHeight="1">
      <c r="E346" s="124"/>
      <c r="F346" s="124"/>
      <c r="G346" s="124"/>
      <c r="H346" s="124"/>
      <c r="I346" s="124"/>
      <c r="J346" s="124"/>
      <c r="K346" s="124"/>
    </row>
    <row r="347" ht="15.75" customHeight="1">
      <c r="E347" s="124"/>
      <c r="F347" s="124"/>
      <c r="G347" s="124"/>
      <c r="H347" s="124"/>
      <c r="I347" s="124"/>
      <c r="J347" s="124"/>
      <c r="K347" s="124"/>
    </row>
    <row r="348" ht="15.75" customHeight="1">
      <c r="E348" s="124"/>
      <c r="F348" s="124"/>
      <c r="G348" s="124"/>
      <c r="H348" s="124"/>
      <c r="I348" s="124"/>
      <c r="J348" s="124"/>
      <c r="K348" s="124"/>
    </row>
    <row r="349" ht="15.75" customHeight="1">
      <c r="E349" s="124"/>
      <c r="F349" s="124"/>
      <c r="G349" s="124"/>
      <c r="H349" s="124"/>
      <c r="I349" s="124"/>
      <c r="J349" s="124"/>
      <c r="K349" s="124"/>
    </row>
    <row r="350" ht="15.75" customHeight="1">
      <c r="E350" s="124"/>
      <c r="F350" s="124"/>
      <c r="G350" s="124"/>
      <c r="H350" s="124"/>
      <c r="I350" s="124"/>
      <c r="J350" s="124"/>
      <c r="K350" s="124"/>
    </row>
    <row r="351" ht="15.75" customHeight="1">
      <c r="E351" s="124"/>
      <c r="F351" s="124"/>
      <c r="G351" s="124"/>
      <c r="H351" s="124"/>
      <c r="I351" s="124"/>
      <c r="J351" s="124"/>
      <c r="K351" s="124"/>
    </row>
    <row r="352" ht="15.75" customHeight="1">
      <c r="E352" s="124"/>
      <c r="F352" s="124"/>
      <c r="G352" s="124"/>
      <c r="H352" s="124"/>
      <c r="I352" s="124"/>
      <c r="J352" s="124"/>
      <c r="K352" s="124"/>
    </row>
    <row r="353" ht="15.75" customHeight="1">
      <c r="E353" s="124"/>
      <c r="F353" s="124"/>
      <c r="G353" s="124"/>
      <c r="H353" s="124"/>
      <c r="I353" s="124"/>
      <c r="J353" s="124"/>
      <c r="K353" s="124"/>
    </row>
    <row r="354" ht="15.75" customHeight="1">
      <c r="E354" s="124"/>
      <c r="F354" s="124"/>
      <c r="G354" s="124"/>
      <c r="H354" s="124"/>
      <c r="I354" s="124"/>
      <c r="J354" s="124"/>
      <c r="K354" s="124"/>
    </row>
    <row r="355" ht="15.75" customHeight="1">
      <c r="E355" s="124"/>
      <c r="F355" s="124"/>
      <c r="G355" s="124"/>
      <c r="H355" s="124"/>
      <c r="I355" s="124"/>
      <c r="J355" s="124"/>
      <c r="K355" s="124"/>
    </row>
    <row r="356" ht="15.75" customHeight="1">
      <c r="E356" s="124"/>
      <c r="F356" s="124"/>
      <c r="G356" s="124"/>
      <c r="H356" s="124"/>
      <c r="I356" s="124"/>
      <c r="J356" s="124"/>
      <c r="K356" s="124"/>
    </row>
    <row r="357" ht="15.75" customHeight="1">
      <c r="E357" s="124"/>
      <c r="F357" s="124"/>
      <c r="G357" s="124"/>
      <c r="H357" s="124"/>
      <c r="I357" s="124"/>
      <c r="J357" s="124"/>
      <c r="K357" s="124"/>
    </row>
    <row r="358" ht="15.75" customHeight="1">
      <c r="E358" s="124"/>
      <c r="F358" s="124"/>
      <c r="G358" s="124"/>
      <c r="H358" s="124"/>
      <c r="I358" s="124"/>
      <c r="J358" s="124"/>
      <c r="K358" s="124"/>
    </row>
    <row r="359" ht="15.75" customHeight="1">
      <c r="E359" s="124"/>
      <c r="F359" s="124"/>
      <c r="G359" s="124"/>
      <c r="H359" s="124"/>
      <c r="I359" s="124"/>
      <c r="J359" s="124"/>
      <c r="K359" s="124"/>
    </row>
    <row r="360" ht="15.75" customHeight="1">
      <c r="E360" s="124"/>
      <c r="F360" s="124"/>
      <c r="G360" s="124"/>
      <c r="H360" s="124"/>
      <c r="I360" s="124"/>
      <c r="J360" s="124"/>
      <c r="K360" s="124"/>
    </row>
    <row r="361" ht="15.75" customHeight="1">
      <c r="E361" s="124"/>
      <c r="F361" s="124"/>
      <c r="G361" s="124"/>
      <c r="H361" s="124"/>
      <c r="I361" s="124"/>
      <c r="J361" s="124"/>
      <c r="K361" s="124"/>
    </row>
    <row r="362" ht="15.75" customHeight="1">
      <c r="E362" s="124"/>
      <c r="F362" s="124"/>
      <c r="G362" s="124"/>
      <c r="H362" s="124"/>
      <c r="I362" s="124"/>
      <c r="J362" s="124"/>
      <c r="K362" s="124"/>
    </row>
    <row r="363" ht="15.75" customHeight="1">
      <c r="E363" s="124"/>
      <c r="F363" s="124"/>
      <c r="G363" s="124"/>
      <c r="H363" s="124"/>
      <c r="I363" s="124"/>
      <c r="J363" s="124"/>
      <c r="K363" s="124"/>
    </row>
    <row r="364" ht="15.75" customHeight="1">
      <c r="E364" s="124"/>
      <c r="F364" s="124"/>
      <c r="G364" s="124"/>
      <c r="H364" s="124"/>
      <c r="I364" s="124"/>
      <c r="J364" s="124"/>
      <c r="K364" s="124"/>
    </row>
    <row r="365" ht="15.75" customHeight="1">
      <c r="E365" s="124"/>
      <c r="F365" s="124"/>
      <c r="G365" s="124"/>
      <c r="H365" s="124"/>
      <c r="I365" s="124"/>
      <c r="J365" s="124"/>
      <c r="K365" s="124"/>
    </row>
    <row r="366" ht="15.75" customHeight="1">
      <c r="E366" s="124"/>
      <c r="F366" s="124"/>
      <c r="G366" s="124"/>
      <c r="H366" s="124"/>
      <c r="I366" s="124"/>
      <c r="J366" s="124"/>
      <c r="K366" s="124"/>
    </row>
    <row r="367" ht="15.75" customHeight="1">
      <c r="E367" s="124"/>
      <c r="F367" s="124"/>
      <c r="G367" s="124"/>
      <c r="H367" s="124"/>
      <c r="I367" s="124"/>
      <c r="J367" s="124"/>
      <c r="K367" s="124"/>
    </row>
    <row r="368" ht="15.75" customHeight="1">
      <c r="E368" s="124"/>
      <c r="F368" s="124"/>
      <c r="G368" s="124"/>
      <c r="H368" s="124"/>
      <c r="I368" s="124"/>
      <c r="J368" s="124"/>
      <c r="K368" s="124"/>
    </row>
    <row r="369" ht="15.75" customHeight="1">
      <c r="E369" s="124"/>
      <c r="F369" s="124"/>
      <c r="G369" s="124"/>
      <c r="H369" s="124"/>
      <c r="I369" s="124"/>
      <c r="J369" s="124"/>
      <c r="K369" s="124"/>
    </row>
    <row r="370" ht="15.75" customHeight="1">
      <c r="E370" s="124"/>
      <c r="F370" s="124"/>
      <c r="G370" s="124"/>
      <c r="H370" s="124"/>
      <c r="I370" s="124"/>
      <c r="J370" s="124"/>
      <c r="K370" s="124"/>
    </row>
    <row r="371" ht="15.75" customHeight="1">
      <c r="E371" s="124"/>
      <c r="F371" s="124"/>
      <c r="G371" s="124"/>
      <c r="H371" s="124"/>
      <c r="I371" s="124"/>
      <c r="J371" s="124"/>
      <c r="K371" s="124"/>
    </row>
    <row r="372" ht="15.75" customHeight="1">
      <c r="E372" s="124"/>
      <c r="F372" s="124"/>
      <c r="G372" s="124"/>
      <c r="H372" s="124"/>
      <c r="I372" s="124"/>
      <c r="J372" s="124"/>
      <c r="K372" s="124"/>
    </row>
    <row r="373" ht="15.75" customHeight="1">
      <c r="E373" s="124"/>
      <c r="F373" s="124"/>
      <c r="G373" s="124"/>
      <c r="H373" s="124"/>
      <c r="I373" s="124"/>
      <c r="J373" s="124"/>
      <c r="K373" s="124"/>
    </row>
    <row r="374" ht="15.75" customHeight="1">
      <c r="E374" s="124"/>
      <c r="F374" s="124"/>
      <c r="G374" s="124"/>
      <c r="H374" s="124"/>
      <c r="I374" s="124"/>
      <c r="J374" s="124"/>
      <c r="K374" s="124"/>
    </row>
    <row r="375" ht="15.75" customHeight="1">
      <c r="E375" s="124"/>
      <c r="F375" s="124"/>
      <c r="G375" s="124"/>
      <c r="H375" s="124"/>
      <c r="I375" s="124"/>
      <c r="J375" s="124"/>
      <c r="K375" s="124"/>
    </row>
    <row r="376" ht="15.75" customHeight="1">
      <c r="E376" s="124"/>
      <c r="F376" s="124"/>
      <c r="G376" s="124"/>
      <c r="H376" s="124"/>
      <c r="I376" s="124"/>
      <c r="J376" s="124"/>
      <c r="K376" s="124"/>
    </row>
    <row r="377" ht="15.75" customHeight="1">
      <c r="E377" s="124"/>
      <c r="F377" s="124"/>
      <c r="G377" s="124"/>
      <c r="H377" s="124"/>
      <c r="I377" s="124"/>
      <c r="J377" s="124"/>
      <c r="K377" s="124"/>
    </row>
    <row r="378" ht="15.75" customHeight="1">
      <c r="E378" s="124"/>
      <c r="F378" s="124"/>
      <c r="G378" s="124"/>
      <c r="H378" s="124"/>
      <c r="I378" s="124"/>
      <c r="J378" s="124"/>
      <c r="K378" s="124"/>
    </row>
    <row r="379" ht="15.75" customHeight="1">
      <c r="E379" s="124"/>
      <c r="F379" s="124"/>
      <c r="G379" s="124"/>
      <c r="H379" s="124"/>
      <c r="I379" s="124"/>
      <c r="J379" s="124"/>
      <c r="K379" s="124"/>
    </row>
    <row r="380" ht="15.75" customHeight="1">
      <c r="E380" s="124"/>
      <c r="F380" s="124"/>
      <c r="G380" s="124"/>
      <c r="H380" s="124"/>
      <c r="I380" s="124"/>
      <c r="J380" s="124"/>
      <c r="K380" s="124"/>
    </row>
    <row r="381" ht="15.75" customHeight="1">
      <c r="E381" s="124"/>
      <c r="F381" s="124"/>
      <c r="G381" s="124"/>
      <c r="H381" s="124"/>
      <c r="I381" s="124"/>
      <c r="J381" s="124"/>
      <c r="K381" s="124"/>
    </row>
    <row r="382" ht="15.75" customHeight="1">
      <c r="E382" s="124"/>
      <c r="F382" s="124"/>
      <c r="G382" s="124"/>
      <c r="H382" s="124"/>
      <c r="I382" s="124"/>
      <c r="J382" s="124"/>
      <c r="K382" s="124"/>
    </row>
    <row r="383" ht="15.75" customHeight="1">
      <c r="E383" s="124"/>
      <c r="F383" s="124"/>
      <c r="G383" s="124"/>
      <c r="H383" s="124"/>
      <c r="I383" s="124"/>
      <c r="J383" s="124"/>
      <c r="K383" s="124"/>
    </row>
    <row r="384" ht="15.75" customHeight="1">
      <c r="E384" s="124"/>
      <c r="F384" s="124"/>
      <c r="G384" s="124"/>
      <c r="H384" s="124"/>
      <c r="I384" s="124"/>
      <c r="J384" s="124"/>
      <c r="K384" s="124"/>
    </row>
    <row r="385" ht="15.75" customHeight="1">
      <c r="E385" s="124"/>
      <c r="F385" s="124"/>
      <c r="G385" s="124"/>
      <c r="H385" s="124"/>
      <c r="I385" s="124"/>
      <c r="J385" s="124"/>
      <c r="K385" s="124"/>
    </row>
    <row r="386" ht="15.75" customHeight="1">
      <c r="E386" s="124"/>
      <c r="F386" s="124"/>
      <c r="G386" s="124"/>
      <c r="H386" s="124"/>
      <c r="I386" s="124"/>
      <c r="J386" s="124"/>
      <c r="K386" s="124"/>
    </row>
    <row r="387" ht="15.75" customHeight="1">
      <c r="E387" s="124"/>
      <c r="F387" s="124"/>
      <c r="G387" s="124"/>
      <c r="H387" s="124"/>
      <c r="I387" s="124"/>
      <c r="J387" s="124"/>
      <c r="K387" s="124"/>
    </row>
    <row r="388" ht="15.75" customHeight="1">
      <c r="E388" s="124"/>
      <c r="F388" s="124"/>
      <c r="G388" s="124"/>
      <c r="H388" s="124"/>
      <c r="I388" s="124"/>
      <c r="J388" s="124"/>
      <c r="K388" s="124"/>
    </row>
    <row r="389" ht="15.75" customHeight="1">
      <c r="E389" s="124"/>
      <c r="F389" s="124"/>
      <c r="G389" s="124"/>
      <c r="H389" s="124"/>
      <c r="I389" s="124"/>
      <c r="J389" s="124"/>
      <c r="K389" s="124"/>
    </row>
    <row r="390" ht="15.75" customHeight="1">
      <c r="E390" s="124"/>
      <c r="F390" s="124"/>
      <c r="G390" s="124"/>
      <c r="H390" s="124"/>
      <c r="I390" s="124"/>
      <c r="J390" s="124"/>
      <c r="K390" s="124"/>
    </row>
    <row r="391" ht="15.75" customHeight="1">
      <c r="E391" s="124"/>
      <c r="F391" s="124"/>
      <c r="G391" s="124"/>
      <c r="H391" s="124"/>
      <c r="I391" s="124"/>
      <c r="J391" s="124"/>
      <c r="K391" s="124"/>
    </row>
    <row r="392" ht="15.75" customHeight="1">
      <c r="E392" s="124"/>
      <c r="F392" s="124"/>
      <c r="G392" s="124"/>
      <c r="H392" s="124"/>
      <c r="I392" s="124"/>
      <c r="J392" s="124"/>
      <c r="K392" s="124"/>
    </row>
    <row r="393" ht="15.75" customHeight="1">
      <c r="E393" s="124"/>
      <c r="F393" s="124"/>
      <c r="G393" s="124"/>
      <c r="H393" s="124"/>
      <c r="I393" s="124"/>
      <c r="J393" s="124"/>
      <c r="K393" s="124"/>
    </row>
    <row r="394" ht="15.75" customHeight="1">
      <c r="E394" s="124"/>
      <c r="F394" s="124"/>
      <c r="G394" s="124"/>
      <c r="H394" s="124"/>
      <c r="I394" s="124"/>
      <c r="J394" s="124"/>
      <c r="K394" s="124"/>
    </row>
    <row r="395" ht="15.75" customHeight="1">
      <c r="E395" s="124"/>
      <c r="F395" s="124"/>
      <c r="G395" s="124"/>
      <c r="H395" s="124"/>
      <c r="I395" s="124"/>
      <c r="J395" s="124"/>
      <c r="K395" s="124"/>
    </row>
    <row r="396" ht="15.75" customHeight="1">
      <c r="E396" s="124"/>
      <c r="F396" s="124"/>
      <c r="G396" s="124"/>
      <c r="H396" s="124"/>
      <c r="I396" s="124"/>
      <c r="J396" s="124"/>
      <c r="K396" s="124"/>
    </row>
    <row r="397" ht="15.75" customHeight="1">
      <c r="E397" s="124"/>
      <c r="F397" s="124"/>
      <c r="G397" s="124"/>
      <c r="H397" s="124"/>
      <c r="I397" s="124"/>
      <c r="J397" s="124"/>
      <c r="K397" s="124"/>
    </row>
    <row r="398" ht="15.75" customHeight="1">
      <c r="E398" s="124"/>
      <c r="F398" s="124"/>
      <c r="G398" s="124"/>
      <c r="H398" s="124"/>
      <c r="I398" s="124"/>
      <c r="J398" s="124"/>
      <c r="K398" s="124"/>
    </row>
    <row r="399" ht="15.75" customHeight="1">
      <c r="E399" s="124"/>
      <c r="F399" s="124"/>
      <c r="G399" s="124"/>
      <c r="H399" s="124"/>
      <c r="I399" s="124"/>
      <c r="J399" s="124"/>
      <c r="K399" s="124"/>
    </row>
    <row r="400" ht="15.75" customHeight="1">
      <c r="E400" s="124"/>
      <c r="F400" s="124"/>
      <c r="G400" s="124"/>
      <c r="H400" s="124"/>
      <c r="I400" s="124"/>
      <c r="J400" s="124"/>
      <c r="K400" s="124"/>
    </row>
    <row r="401" ht="15.75" customHeight="1">
      <c r="E401" s="124"/>
      <c r="F401" s="124"/>
      <c r="G401" s="124"/>
      <c r="H401" s="124"/>
      <c r="I401" s="124"/>
      <c r="J401" s="124"/>
      <c r="K401" s="124"/>
    </row>
    <row r="402" ht="15.75" customHeight="1">
      <c r="E402" s="124"/>
      <c r="F402" s="124"/>
      <c r="G402" s="124"/>
      <c r="H402" s="124"/>
      <c r="I402" s="124"/>
      <c r="J402" s="124"/>
      <c r="K402" s="124"/>
    </row>
    <row r="403" ht="15.75" customHeight="1">
      <c r="E403" s="124"/>
      <c r="F403" s="124"/>
      <c r="G403" s="124"/>
      <c r="H403" s="124"/>
      <c r="I403" s="124"/>
      <c r="J403" s="124"/>
      <c r="K403" s="124"/>
    </row>
    <row r="404" ht="15.75" customHeight="1">
      <c r="E404" s="124"/>
      <c r="F404" s="124"/>
      <c r="G404" s="124"/>
      <c r="H404" s="124"/>
      <c r="I404" s="124"/>
      <c r="J404" s="124"/>
      <c r="K404" s="124"/>
    </row>
    <row r="405" ht="15.75" customHeight="1">
      <c r="E405" s="124"/>
      <c r="F405" s="124"/>
      <c r="G405" s="124"/>
      <c r="H405" s="124"/>
      <c r="I405" s="124"/>
      <c r="J405" s="124"/>
      <c r="K405" s="124"/>
    </row>
    <row r="406" ht="15.75" customHeight="1">
      <c r="E406" s="124"/>
      <c r="F406" s="124"/>
      <c r="G406" s="124"/>
      <c r="H406" s="124"/>
      <c r="I406" s="124"/>
      <c r="J406" s="124"/>
      <c r="K406" s="124"/>
    </row>
    <row r="407" ht="15.75" customHeight="1">
      <c r="E407" s="124"/>
      <c r="F407" s="124"/>
      <c r="G407" s="124"/>
      <c r="H407" s="124"/>
      <c r="I407" s="124"/>
      <c r="J407" s="124"/>
      <c r="K407" s="124"/>
    </row>
    <row r="408" ht="15.75" customHeight="1">
      <c r="E408" s="124"/>
      <c r="F408" s="124"/>
      <c r="G408" s="124"/>
      <c r="H408" s="124"/>
      <c r="I408" s="124"/>
      <c r="J408" s="124"/>
      <c r="K408" s="124"/>
    </row>
    <row r="409" ht="15.75" customHeight="1">
      <c r="E409" s="124"/>
      <c r="F409" s="124"/>
      <c r="G409" s="124"/>
      <c r="H409" s="124"/>
      <c r="I409" s="124"/>
      <c r="J409" s="124"/>
      <c r="K409" s="124"/>
    </row>
    <row r="410" ht="15.75" customHeight="1">
      <c r="E410" s="124"/>
      <c r="F410" s="124"/>
      <c r="G410" s="124"/>
      <c r="H410" s="124"/>
      <c r="I410" s="124"/>
      <c r="J410" s="124"/>
      <c r="K410" s="124"/>
    </row>
    <row r="411" ht="15.75" customHeight="1">
      <c r="E411" s="124"/>
      <c r="F411" s="124"/>
      <c r="G411" s="124"/>
      <c r="H411" s="124"/>
      <c r="I411" s="124"/>
      <c r="J411" s="124"/>
      <c r="K411" s="124"/>
    </row>
    <row r="412" ht="15.75" customHeight="1">
      <c r="E412" s="124"/>
      <c r="F412" s="124"/>
      <c r="G412" s="124"/>
      <c r="H412" s="124"/>
      <c r="I412" s="124"/>
      <c r="J412" s="124"/>
      <c r="K412" s="124"/>
    </row>
    <row r="413" ht="15.75" customHeight="1">
      <c r="E413" s="124"/>
      <c r="F413" s="124"/>
      <c r="G413" s="124"/>
      <c r="H413" s="124"/>
      <c r="I413" s="124"/>
      <c r="J413" s="124"/>
      <c r="K413" s="124"/>
    </row>
    <row r="414" ht="15.75" customHeight="1">
      <c r="E414" s="124"/>
      <c r="F414" s="124"/>
      <c r="G414" s="124"/>
      <c r="H414" s="124"/>
      <c r="I414" s="124"/>
      <c r="J414" s="124"/>
      <c r="K414" s="124"/>
    </row>
    <row r="415" ht="15.75" customHeight="1">
      <c r="E415" s="124"/>
      <c r="F415" s="124"/>
      <c r="G415" s="124"/>
      <c r="H415" s="124"/>
      <c r="I415" s="124"/>
      <c r="J415" s="124"/>
      <c r="K415" s="124"/>
    </row>
    <row r="416" ht="15.75" customHeight="1">
      <c r="E416" s="124"/>
      <c r="F416" s="124"/>
      <c r="G416" s="124"/>
      <c r="H416" s="124"/>
      <c r="I416" s="124"/>
      <c r="J416" s="124"/>
      <c r="K416" s="124"/>
    </row>
    <row r="417" ht="15.75" customHeight="1">
      <c r="E417" s="124"/>
      <c r="F417" s="124"/>
      <c r="G417" s="124"/>
      <c r="H417" s="124"/>
      <c r="I417" s="124"/>
      <c r="J417" s="124"/>
      <c r="K417" s="124"/>
    </row>
    <row r="418" ht="15.75" customHeight="1">
      <c r="E418" s="124"/>
      <c r="F418" s="124"/>
      <c r="G418" s="124"/>
      <c r="H418" s="124"/>
      <c r="I418" s="124"/>
      <c r="J418" s="124"/>
      <c r="K418" s="124"/>
    </row>
    <row r="419" ht="15.75" customHeight="1">
      <c r="E419" s="124"/>
      <c r="F419" s="124"/>
      <c r="G419" s="124"/>
      <c r="H419" s="124"/>
      <c r="I419" s="124"/>
      <c r="J419" s="124"/>
      <c r="K419" s="124"/>
    </row>
    <row r="420" ht="15.75" customHeight="1">
      <c r="E420" s="124"/>
      <c r="F420" s="124"/>
      <c r="G420" s="124"/>
      <c r="H420" s="124"/>
      <c r="I420" s="124"/>
      <c r="J420" s="124"/>
      <c r="K420" s="124"/>
    </row>
    <row r="421" ht="15.75" customHeight="1">
      <c r="E421" s="124"/>
      <c r="F421" s="124"/>
      <c r="G421" s="124"/>
      <c r="H421" s="124"/>
      <c r="I421" s="124"/>
      <c r="J421" s="124"/>
      <c r="K421" s="124"/>
    </row>
    <row r="422" ht="15.75" customHeight="1">
      <c r="E422" s="124"/>
      <c r="F422" s="124"/>
      <c r="G422" s="124"/>
      <c r="H422" s="124"/>
      <c r="I422" s="124"/>
      <c r="J422" s="124"/>
      <c r="K422" s="124"/>
    </row>
    <row r="423" ht="15.75" customHeight="1">
      <c r="E423" s="124"/>
      <c r="F423" s="124"/>
      <c r="G423" s="124"/>
      <c r="H423" s="124"/>
      <c r="I423" s="124"/>
      <c r="J423" s="124"/>
      <c r="K423" s="124"/>
    </row>
    <row r="424" ht="15.75" customHeight="1">
      <c r="E424" s="124"/>
      <c r="F424" s="124"/>
      <c r="G424" s="124"/>
      <c r="H424" s="124"/>
      <c r="I424" s="124"/>
      <c r="J424" s="124"/>
      <c r="K424" s="124"/>
    </row>
    <row r="425" ht="15.75" customHeight="1">
      <c r="E425" s="124"/>
      <c r="F425" s="124"/>
      <c r="G425" s="124"/>
      <c r="H425" s="124"/>
      <c r="I425" s="124"/>
      <c r="J425" s="124"/>
      <c r="K425" s="124"/>
    </row>
    <row r="426" ht="15.75" customHeight="1">
      <c r="E426" s="124"/>
      <c r="F426" s="124"/>
      <c r="G426" s="124"/>
      <c r="H426" s="124"/>
      <c r="I426" s="124"/>
      <c r="J426" s="124"/>
      <c r="K426" s="124"/>
    </row>
    <row r="427" ht="15.75" customHeight="1">
      <c r="E427" s="124"/>
      <c r="F427" s="124"/>
      <c r="G427" s="124"/>
      <c r="H427" s="124"/>
      <c r="I427" s="124"/>
      <c r="J427" s="124"/>
      <c r="K427" s="124"/>
    </row>
    <row r="428" ht="15.75" customHeight="1">
      <c r="E428" s="124"/>
      <c r="F428" s="124"/>
      <c r="G428" s="124"/>
      <c r="H428" s="124"/>
      <c r="I428" s="124"/>
      <c r="J428" s="124"/>
      <c r="K428" s="124"/>
    </row>
    <row r="429" ht="15.75" customHeight="1">
      <c r="E429" s="124"/>
      <c r="F429" s="124"/>
      <c r="G429" s="124"/>
      <c r="H429" s="124"/>
      <c r="I429" s="124"/>
      <c r="J429" s="124"/>
      <c r="K429" s="124"/>
    </row>
    <row r="430" ht="15.75" customHeight="1">
      <c r="E430" s="124"/>
      <c r="F430" s="124"/>
      <c r="G430" s="124"/>
      <c r="H430" s="124"/>
      <c r="I430" s="124"/>
      <c r="J430" s="124"/>
      <c r="K430" s="124"/>
    </row>
    <row r="431" ht="15.75" customHeight="1">
      <c r="E431" s="124"/>
      <c r="F431" s="124"/>
      <c r="G431" s="124"/>
      <c r="H431" s="124"/>
      <c r="I431" s="124"/>
      <c r="J431" s="124"/>
      <c r="K431" s="124"/>
    </row>
    <row r="432" ht="15.75" customHeight="1">
      <c r="E432" s="124"/>
      <c r="F432" s="124"/>
      <c r="G432" s="124"/>
      <c r="H432" s="124"/>
      <c r="I432" s="124"/>
      <c r="J432" s="124"/>
      <c r="K432" s="124"/>
    </row>
    <row r="433" ht="15.75" customHeight="1">
      <c r="E433" s="124"/>
      <c r="F433" s="124"/>
      <c r="G433" s="124"/>
      <c r="H433" s="124"/>
      <c r="I433" s="124"/>
      <c r="J433" s="124"/>
      <c r="K433" s="124"/>
    </row>
    <row r="434" ht="15.75" customHeight="1">
      <c r="E434" s="124"/>
      <c r="F434" s="124"/>
      <c r="G434" s="124"/>
      <c r="H434" s="124"/>
      <c r="I434" s="124"/>
      <c r="J434" s="124"/>
      <c r="K434" s="124"/>
    </row>
    <row r="435" ht="15.75" customHeight="1">
      <c r="E435" s="124"/>
      <c r="F435" s="124"/>
      <c r="G435" s="124"/>
      <c r="H435" s="124"/>
      <c r="I435" s="124"/>
      <c r="J435" s="124"/>
      <c r="K435" s="124"/>
    </row>
    <row r="436" ht="15.75" customHeight="1">
      <c r="E436" s="124"/>
      <c r="F436" s="124"/>
      <c r="G436" s="124"/>
      <c r="H436" s="124"/>
      <c r="I436" s="124"/>
      <c r="J436" s="124"/>
      <c r="K436" s="124"/>
    </row>
    <row r="437" ht="15.75" customHeight="1">
      <c r="E437" s="124"/>
      <c r="F437" s="124"/>
      <c r="G437" s="124"/>
      <c r="H437" s="124"/>
      <c r="I437" s="124"/>
      <c r="J437" s="124"/>
      <c r="K437" s="124"/>
    </row>
    <row r="438" ht="15.75" customHeight="1">
      <c r="E438" s="124"/>
      <c r="F438" s="124"/>
      <c r="G438" s="124"/>
      <c r="H438" s="124"/>
      <c r="I438" s="124"/>
      <c r="J438" s="124"/>
      <c r="K438" s="124"/>
    </row>
    <row r="439" ht="15.75" customHeight="1">
      <c r="E439" s="124"/>
      <c r="F439" s="124"/>
      <c r="G439" s="124"/>
      <c r="H439" s="124"/>
      <c r="I439" s="124"/>
      <c r="J439" s="124"/>
      <c r="K439" s="124"/>
    </row>
    <row r="440" ht="15.75" customHeight="1">
      <c r="E440" s="124"/>
      <c r="F440" s="124"/>
      <c r="G440" s="124"/>
      <c r="H440" s="124"/>
      <c r="I440" s="124"/>
      <c r="J440" s="124"/>
      <c r="K440" s="124"/>
    </row>
    <row r="441" ht="15.75" customHeight="1">
      <c r="E441" s="124"/>
      <c r="F441" s="124"/>
      <c r="G441" s="124"/>
      <c r="H441" s="124"/>
      <c r="I441" s="124"/>
      <c r="J441" s="124"/>
      <c r="K441" s="124"/>
    </row>
    <row r="442" ht="15.75" customHeight="1">
      <c r="E442" s="124"/>
      <c r="F442" s="124"/>
      <c r="G442" s="124"/>
      <c r="H442" s="124"/>
      <c r="I442" s="124"/>
      <c r="J442" s="124"/>
      <c r="K442" s="124"/>
    </row>
    <row r="443" ht="15.75" customHeight="1">
      <c r="E443" s="124"/>
      <c r="F443" s="124"/>
      <c r="G443" s="124"/>
      <c r="H443" s="124"/>
      <c r="I443" s="124"/>
      <c r="J443" s="124"/>
      <c r="K443" s="124"/>
    </row>
    <row r="444" ht="15.75" customHeight="1">
      <c r="E444" s="124"/>
      <c r="F444" s="124"/>
      <c r="G444" s="124"/>
      <c r="H444" s="124"/>
      <c r="I444" s="124"/>
      <c r="J444" s="124"/>
      <c r="K444" s="124"/>
    </row>
    <row r="445" ht="15.75" customHeight="1">
      <c r="E445" s="124"/>
      <c r="F445" s="124"/>
      <c r="G445" s="124"/>
      <c r="H445" s="124"/>
      <c r="I445" s="124"/>
      <c r="J445" s="124"/>
      <c r="K445" s="124"/>
    </row>
    <row r="446" ht="15.75" customHeight="1">
      <c r="E446" s="124"/>
      <c r="F446" s="124"/>
      <c r="G446" s="124"/>
      <c r="H446" s="124"/>
      <c r="I446" s="124"/>
      <c r="J446" s="124"/>
      <c r="K446" s="124"/>
    </row>
    <row r="447" ht="15.75" customHeight="1">
      <c r="E447" s="124"/>
      <c r="F447" s="124"/>
      <c r="G447" s="124"/>
      <c r="H447" s="124"/>
      <c r="I447" s="124"/>
      <c r="J447" s="124"/>
      <c r="K447" s="124"/>
    </row>
    <row r="448" ht="15.75" customHeight="1">
      <c r="E448" s="124"/>
      <c r="F448" s="124"/>
      <c r="G448" s="124"/>
      <c r="H448" s="124"/>
      <c r="I448" s="124"/>
      <c r="J448" s="124"/>
      <c r="K448" s="124"/>
    </row>
    <row r="449" ht="15.75" customHeight="1">
      <c r="E449" s="124"/>
      <c r="F449" s="124"/>
      <c r="G449" s="124"/>
      <c r="H449" s="124"/>
      <c r="I449" s="124"/>
      <c r="J449" s="124"/>
      <c r="K449" s="124"/>
    </row>
    <row r="450" ht="15.75" customHeight="1">
      <c r="E450" s="124"/>
      <c r="F450" s="124"/>
      <c r="G450" s="124"/>
      <c r="H450" s="124"/>
      <c r="I450" s="124"/>
      <c r="J450" s="124"/>
      <c r="K450" s="124"/>
    </row>
    <row r="451" ht="15.75" customHeight="1">
      <c r="E451" s="124"/>
      <c r="F451" s="124"/>
      <c r="G451" s="124"/>
      <c r="H451" s="124"/>
      <c r="I451" s="124"/>
      <c r="J451" s="124"/>
      <c r="K451" s="124"/>
    </row>
    <row r="452" ht="15.75" customHeight="1">
      <c r="E452" s="124"/>
      <c r="F452" s="124"/>
      <c r="G452" s="124"/>
      <c r="H452" s="124"/>
      <c r="I452" s="124"/>
      <c r="J452" s="124"/>
      <c r="K452" s="124"/>
    </row>
    <row r="453" ht="15.75" customHeight="1">
      <c r="E453" s="124"/>
      <c r="F453" s="124"/>
      <c r="G453" s="124"/>
      <c r="H453" s="124"/>
      <c r="I453" s="124"/>
      <c r="J453" s="124"/>
      <c r="K453" s="124"/>
    </row>
    <row r="454" ht="15.75" customHeight="1">
      <c r="E454" s="124"/>
      <c r="F454" s="124"/>
      <c r="G454" s="124"/>
      <c r="H454" s="124"/>
      <c r="I454" s="124"/>
      <c r="J454" s="124"/>
      <c r="K454" s="124"/>
    </row>
    <row r="455" ht="15.75" customHeight="1">
      <c r="E455" s="124"/>
      <c r="F455" s="124"/>
      <c r="G455" s="124"/>
      <c r="H455" s="124"/>
      <c r="I455" s="124"/>
      <c r="J455" s="124"/>
      <c r="K455" s="124"/>
    </row>
    <row r="456" ht="15.75" customHeight="1">
      <c r="E456" s="124"/>
      <c r="F456" s="124"/>
      <c r="G456" s="124"/>
      <c r="H456" s="124"/>
      <c r="I456" s="124"/>
      <c r="J456" s="124"/>
      <c r="K456" s="124"/>
    </row>
    <row r="457" ht="15.75" customHeight="1">
      <c r="E457" s="124"/>
      <c r="F457" s="124"/>
      <c r="G457" s="124"/>
      <c r="H457" s="124"/>
      <c r="I457" s="124"/>
      <c r="J457" s="124"/>
      <c r="K457" s="124"/>
    </row>
    <row r="458" ht="15.75" customHeight="1">
      <c r="E458" s="124"/>
      <c r="F458" s="124"/>
      <c r="G458" s="124"/>
      <c r="H458" s="124"/>
      <c r="I458" s="124"/>
      <c r="J458" s="124"/>
      <c r="K458" s="124"/>
    </row>
    <row r="459" ht="15.75" customHeight="1">
      <c r="E459" s="124"/>
      <c r="F459" s="124"/>
      <c r="G459" s="124"/>
      <c r="H459" s="124"/>
      <c r="I459" s="124"/>
      <c r="J459" s="124"/>
      <c r="K459" s="124"/>
    </row>
    <row r="460" ht="15.75" customHeight="1">
      <c r="E460" s="124"/>
      <c r="F460" s="124"/>
      <c r="G460" s="124"/>
      <c r="H460" s="124"/>
      <c r="I460" s="124"/>
      <c r="J460" s="124"/>
      <c r="K460" s="124"/>
    </row>
    <row r="461" ht="15.75" customHeight="1">
      <c r="E461" s="124"/>
      <c r="F461" s="124"/>
      <c r="G461" s="124"/>
      <c r="H461" s="124"/>
      <c r="I461" s="124"/>
      <c r="J461" s="124"/>
      <c r="K461" s="124"/>
    </row>
    <row r="462" ht="15.75" customHeight="1">
      <c r="E462" s="124"/>
      <c r="F462" s="124"/>
      <c r="G462" s="124"/>
      <c r="H462" s="124"/>
      <c r="I462" s="124"/>
      <c r="J462" s="124"/>
      <c r="K462" s="124"/>
    </row>
    <row r="463" ht="15.75" customHeight="1">
      <c r="E463" s="124"/>
      <c r="F463" s="124"/>
      <c r="G463" s="124"/>
      <c r="H463" s="124"/>
      <c r="I463" s="124"/>
      <c r="J463" s="124"/>
      <c r="K463" s="124"/>
    </row>
    <row r="464" ht="15.75" customHeight="1">
      <c r="E464" s="124"/>
      <c r="F464" s="124"/>
      <c r="G464" s="124"/>
      <c r="H464" s="124"/>
      <c r="I464" s="124"/>
      <c r="J464" s="124"/>
      <c r="K464" s="124"/>
    </row>
    <row r="465" ht="15.75" customHeight="1">
      <c r="E465" s="124"/>
      <c r="F465" s="124"/>
      <c r="G465" s="124"/>
      <c r="H465" s="124"/>
      <c r="I465" s="124"/>
      <c r="J465" s="124"/>
      <c r="K465" s="124"/>
    </row>
    <row r="466" ht="15.75" customHeight="1">
      <c r="E466" s="124"/>
      <c r="F466" s="124"/>
      <c r="G466" s="124"/>
      <c r="H466" s="124"/>
      <c r="I466" s="124"/>
      <c r="J466" s="124"/>
      <c r="K466" s="124"/>
    </row>
    <row r="467" ht="15.75" customHeight="1">
      <c r="E467" s="124"/>
      <c r="F467" s="124"/>
      <c r="G467" s="124"/>
      <c r="H467" s="124"/>
      <c r="I467" s="124"/>
      <c r="J467" s="124"/>
      <c r="K467" s="124"/>
    </row>
    <row r="468" ht="15.75" customHeight="1">
      <c r="E468" s="124"/>
      <c r="F468" s="124"/>
      <c r="G468" s="124"/>
      <c r="H468" s="124"/>
      <c r="I468" s="124"/>
      <c r="J468" s="124"/>
      <c r="K468" s="124"/>
    </row>
    <row r="469" ht="15.75" customHeight="1">
      <c r="E469" s="124"/>
      <c r="F469" s="124"/>
      <c r="G469" s="124"/>
      <c r="H469" s="124"/>
      <c r="I469" s="124"/>
      <c r="J469" s="124"/>
      <c r="K469" s="124"/>
    </row>
    <row r="470" ht="15.75" customHeight="1">
      <c r="E470" s="124"/>
      <c r="F470" s="124"/>
      <c r="G470" s="124"/>
      <c r="H470" s="124"/>
      <c r="I470" s="124"/>
      <c r="J470" s="124"/>
      <c r="K470" s="124"/>
    </row>
    <row r="471" ht="15.75" customHeight="1">
      <c r="E471" s="124"/>
      <c r="F471" s="124"/>
      <c r="G471" s="124"/>
      <c r="H471" s="124"/>
      <c r="I471" s="124"/>
      <c r="J471" s="124"/>
      <c r="K471" s="124"/>
    </row>
    <row r="472" ht="15.75" customHeight="1">
      <c r="E472" s="124"/>
      <c r="F472" s="124"/>
      <c r="G472" s="124"/>
      <c r="H472" s="124"/>
      <c r="I472" s="124"/>
      <c r="J472" s="124"/>
      <c r="K472" s="124"/>
    </row>
    <row r="473" ht="15.75" customHeight="1">
      <c r="E473" s="124"/>
      <c r="F473" s="124"/>
      <c r="G473" s="124"/>
      <c r="H473" s="124"/>
      <c r="I473" s="124"/>
      <c r="J473" s="124"/>
      <c r="K473" s="124"/>
    </row>
    <row r="474" ht="15.75" customHeight="1">
      <c r="E474" s="124"/>
      <c r="F474" s="124"/>
      <c r="G474" s="124"/>
      <c r="H474" s="124"/>
      <c r="I474" s="124"/>
      <c r="J474" s="124"/>
      <c r="K474" s="124"/>
    </row>
    <row r="475" ht="15.75" customHeight="1">
      <c r="E475" s="124"/>
      <c r="F475" s="124"/>
      <c r="G475" s="124"/>
      <c r="H475" s="124"/>
      <c r="I475" s="124"/>
      <c r="J475" s="124"/>
      <c r="K475" s="124"/>
    </row>
    <row r="476" ht="15.75" customHeight="1">
      <c r="E476" s="124"/>
      <c r="F476" s="124"/>
      <c r="G476" s="124"/>
      <c r="H476" s="124"/>
      <c r="I476" s="124"/>
      <c r="J476" s="124"/>
      <c r="K476" s="124"/>
    </row>
    <row r="477" ht="15.75" customHeight="1">
      <c r="E477" s="124"/>
      <c r="F477" s="124"/>
      <c r="G477" s="124"/>
      <c r="H477" s="124"/>
      <c r="I477" s="124"/>
      <c r="J477" s="124"/>
      <c r="K477" s="124"/>
    </row>
    <row r="478" ht="15.75" customHeight="1">
      <c r="E478" s="124"/>
      <c r="F478" s="124"/>
      <c r="G478" s="124"/>
      <c r="H478" s="124"/>
      <c r="I478" s="124"/>
      <c r="J478" s="124"/>
      <c r="K478" s="124"/>
    </row>
    <row r="479" ht="15.75" customHeight="1">
      <c r="E479" s="124"/>
      <c r="F479" s="124"/>
      <c r="G479" s="124"/>
      <c r="H479" s="124"/>
      <c r="I479" s="124"/>
      <c r="J479" s="124"/>
      <c r="K479" s="124"/>
    </row>
    <row r="480" ht="15.75" customHeight="1">
      <c r="E480" s="124"/>
      <c r="F480" s="124"/>
      <c r="G480" s="124"/>
      <c r="H480" s="124"/>
      <c r="I480" s="124"/>
      <c r="J480" s="124"/>
      <c r="K480" s="124"/>
    </row>
    <row r="481" ht="15.75" customHeight="1">
      <c r="E481" s="124"/>
      <c r="F481" s="124"/>
      <c r="G481" s="124"/>
      <c r="H481" s="124"/>
      <c r="I481" s="124"/>
      <c r="J481" s="124"/>
      <c r="K481" s="124"/>
    </row>
    <row r="482" ht="15.75" customHeight="1">
      <c r="E482" s="124"/>
      <c r="F482" s="124"/>
      <c r="G482" s="124"/>
      <c r="H482" s="124"/>
      <c r="I482" s="124"/>
      <c r="J482" s="124"/>
      <c r="K482" s="124"/>
    </row>
    <row r="483" ht="15.75" customHeight="1">
      <c r="E483" s="124"/>
      <c r="F483" s="124"/>
      <c r="G483" s="124"/>
      <c r="H483" s="124"/>
      <c r="I483" s="124"/>
      <c r="J483" s="124"/>
      <c r="K483" s="124"/>
    </row>
    <row r="484" ht="15.75" customHeight="1">
      <c r="E484" s="124"/>
      <c r="F484" s="124"/>
      <c r="G484" s="124"/>
      <c r="H484" s="124"/>
      <c r="I484" s="124"/>
      <c r="J484" s="124"/>
      <c r="K484" s="124"/>
    </row>
    <row r="485" ht="15.75" customHeight="1">
      <c r="E485" s="124"/>
      <c r="F485" s="124"/>
      <c r="G485" s="124"/>
      <c r="H485" s="124"/>
      <c r="I485" s="124"/>
      <c r="J485" s="124"/>
      <c r="K485" s="124"/>
    </row>
    <row r="486" ht="15.75" customHeight="1">
      <c r="E486" s="124"/>
      <c r="F486" s="124"/>
      <c r="G486" s="124"/>
      <c r="H486" s="124"/>
      <c r="I486" s="124"/>
      <c r="J486" s="124"/>
      <c r="K486" s="124"/>
    </row>
    <row r="487" ht="15.75" customHeight="1">
      <c r="E487" s="124"/>
      <c r="F487" s="124"/>
      <c r="G487" s="124"/>
      <c r="H487" s="124"/>
      <c r="I487" s="124"/>
      <c r="J487" s="124"/>
      <c r="K487" s="124"/>
    </row>
    <row r="488" ht="15.75" customHeight="1">
      <c r="E488" s="124"/>
      <c r="F488" s="124"/>
      <c r="G488" s="124"/>
      <c r="H488" s="124"/>
      <c r="I488" s="124"/>
      <c r="J488" s="124"/>
      <c r="K488" s="124"/>
    </row>
    <row r="489" ht="15.75" customHeight="1">
      <c r="E489" s="124"/>
      <c r="F489" s="124"/>
      <c r="G489" s="124"/>
      <c r="H489" s="124"/>
      <c r="I489" s="124"/>
      <c r="J489" s="124"/>
      <c r="K489" s="124"/>
    </row>
    <row r="490" ht="15.75" customHeight="1">
      <c r="E490" s="124"/>
      <c r="F490" s="124"/>
      <c r="G490" s="124"/>
      <c r="H490" s="124"/>
      <c r="I490" s="124"/>
      <c r="J490" s="124"/>
      <c r="K490" s="124"/>
    </row>
    <row r="491" ht="15.75" customHeight="1">
      <c r="E491" s="124"/>
      <c r="F491" s="124"/>
      <c r="G491" s="124"/>
      <c r="H491" s="124"/>
      <c r="I491" s="124"/>
      <c r="J491" s="124"/>
      <c r="K491" s="124"/>
    </row>
    <row r="492" ht="15.75" customHeight="1">
      <c r="E492" s="124"/>
      <c r="F492" s="124"/>
      <c r="G492" s="124"/>
      <c r="H492" s="124"/>
      <c r="I492" s="124"/>
      <c r="J492" s="124"/>
      <c r="K492" s="124"/>
    </row>
    <row r="493" ht="15.75" customHeight="1">
      <c r="E493" s="124"/>
      <c r="F493" s="124"/>
      <c r="G493" s="124"/>
      <c r="H493" s="124"/>
      <c r="I493" s="124"/>
      <c r="J493" s="124"/>
      <c r="K493" s="124"/>
    </row>
    <row r="494" ht="15.75" customHeight="1">
      <c r="E494" s="124"/>
      <c r="F494" s="124"/>
      <c r="G494" s="124"/>
      <c r="H494" s="124"/>
      <c r="I494" s="124"/>
      <c r="J494" s="124"/>
      <c r="K494" s="124"/>
    </row>
    <row r="495" ht="15.75" customHeight="1">
      <c r="E495" s="124"/>
      <c r="F495" s="124"/>
      <c r="G495" s="124"/>
      <c r="H495" s="124"/>
      <c r="I495" s="124"/>
      <c r="J495" s="124"/>
      <c r="K495" s="124"/>
    </row>
    <row r="496" ht="15.75" customHeight="1">
      <c r="E496" s="124"/>
      <c r="F496" s="124"/>
      <c r="G496" s="124"/>
      <c r="H496" s="124"/>
      <c r="I496" s="124"/>
      <c r="J496" s="124"/>
      <c r="K496" s="124"/>
    </row>
    <row r="497" ht="15.75" customHeight="1">
      <c r="E497" s="124"/>
      <c r="F497" s="124"/>
      <c r="G497" s="124"/>
      <c r="H497" s="124"/>
      <c r="I497" s="124"/>
      <c r="J497" s="124"/>
      <c r="K497" s="124"/>
    </row>
    <row r="498" ht="15.75" customHeight="1">
      <c r="E498" s="124"/>
      <c r="F498" s="124"/>
      <c r="G498" s="124"/>
      <c r="H498" s="124"/>
      <c r="I498" s="124"/>
      <c r="J498" s="124"/>
      <c r="K498" s="124"/>
    </row>
    <row r="499" ht="15.75" customHeight="1">
      <c r="E499" s="124"/>
      <c r="F499" s="124"/>
      <c r="G499" s="124"/>
      <c r="H499" s="124"/>
      <c r="I499" s="124"/>
      <c r="J499" s="124"/>
      <c r="K499" s="124"/>
    </row>
    <row r="500" ht="15.75" customHeight="1">
      <c r="E500" s="124"/>
      <c r="F500" s="124"/>
      <c r="G500" s="124"/>
      <c r="H500" s="124"/>
      <c r="I500" s="124"/>
      <c r="J500" s="124"/>
      <c r="K500" s="124"/>
    </row>
    <row r="501" ht="15.75" customHeight="1">
      <c r="E501" s="124"/>
      <c r="F501" s="124"/>
      <c r="G501" s="124"/>
      <c r="H501" s="124"/>
      <c r="I501" s="124"/>
      <c r="J501" s="124"/>
      <c r="K501" s="124"/>
    </row>
    <row r="502" ht="15.75" customHeight="1">
      <c r="E502" s="124"/>
      <c r="F502" s="124"/>
      <c r="G502" s="124"/>
      <c r="H502" s="124"/>
      <c r="I502" s="124"/>
      <c r="J502" s="124"/>
      <c r="K502" s="124"/>
    </row>
    <row r="503" ht="15.75" customHeight="1">
      <c r="E503" s="124"/>
      <c r="F503" s="124"/>
      <c r="G503" s="124"/>
      <c r="H503" s="124"/>
      <c r="I503" s="124"/>
      <c r="J503" s="124"/>
      <c r="K503" s="124"/>
    </row>
    <row r="504" ht="15.75" customHeight="1">
      <c r="E504" s="124"/>
      <c r="F504" s="124"/>
      <c r="G504" s="124"/>
      <c r="H504" s="124"/>
      <c r="I504" s="124"/>
      <c r="J504" s="124"/>
      <c r="K504" s="124"/>
    </row>
    <row r="505" ht="15.75" customHeight="1">
      <c r="E505" s="124"/>
      <c r="F505" s="124"/>
      <c r="G505" s="124"/>
      <c r="H505" s="124"/>
      <c r="I505" s="124"/>
      <c r="J505" s="124"/>
      <c r="K505" s="124"/>
    </row>
    <row r="506" ht="15.75" customHeight="1">
      <c r="E506" s="124"/>
      <c r="F506" s="124"/>
      <c r="G506" s="124"/>
      <c r="H506" s="124"/>
      <c r="I506" s="124"/>
      <c r="J506" s="124"/>
      <c r="K506" s="124"/>
    </row>
    <row r="507" ht="15.75" customHeight="1">
      <c r="E507" s="124"/>
      <c r="F507" s="124"/>
      <c r="G507" s="124"/>
      <c r="H507" s="124"/>
      <c r="I507" s="124"/>
      <c r="J507" s="124"/>
      <c r="K507" s="124"/>
    </row>
    <row r="508" ht="15.75" customHeight="1">
      <c r="E508" s="124"/>
      <c r="F508" s="124"/>
      <c r="G508" s="124"/>
      <c r="H508" s="124"/>
      <c r="I508" s="124"/>
      <c r="J508" s="124"/>
      <c r="K508" s="124"/>
    </row>
    <row r="509" ht="15.75" customHeight="1">
      <c r="E509" s="124"/>
      <c r="F509" s="124"/>
      <c r="G509" s="124"/>
      <c r="H509" s="124"/>
      <c r="I509" s="124"/>
      <c r="J509" s="124"/>
      <c r="K509" s="124"/>
    </row>
    <row r="510" ht="15.75" customHeight="1">
      <c r="E510" s="124"/>
      <c r="F510" s="124"/>
      <c r="G510" s="124"/>
      <c r="H510" s="124"/>
      <c r="I510" s="124"/>
      <c r="J510" s="124"/>
      <c r="K510" s="124"/>
    </row>
    <row r="511" ht="15.75" customHeight="1">
      <c r="E511" s="124"/>
      <c r="F511" s="124"/>
      <c r="G511" s="124"/>
      <c r="H511" s="124"/>
      <c r="I511" s="124"/>
      <c r="J511" s="124"/>
      <c r="K511" s="124"/>
    </row>
    <row r="512" ht="15.75" customHeight="1">
      <c r="E512" s="124"/>
      <c r="F512" s="124"/>
      <c r="G512" s="124"/>
      <c r="H512" s="124"/>
      <c r="I512" s="124"/>
      <c r="J512" s="124"/>
      <c r="K512" s="124"/>
    </row>
    <row r="513" ht="15.75" customHeight="1">
      <c r="E513" s="124"/>
      <c r="F513" s="124"/>
      <c r="G513" s="124"/>
      <c r="H513" s="124"/>
      <c r="I513" s="124"/>
      <c r="J513" s="124"/>
      <c r="K513" s="124"/>
    </row>
    <row r="514" ht="15.75" customHeight="1">
      <c r="E514" s="124"/>
      <c r="F514" s="124"/>
      <c r="G514" s="124"/>
      <c r="H514" s="124"/>
      <c r="I514" s="124"/>
      <c r="J514" s="124"/>
      <c r="K514" s="124"/>
    </row>
    <row r="515" ht="15.75" customHeight="1">
      <c r="E515" s="124"/>
      <c r="F515" s="124"/>
      <c r="G515" s="124"/>
      <c r="H515" s="124"/>
      <c r="I515" s="124"/>
      <c r="J515" s="124"/>
      <c r="K515" s="124"/>
    </row>
    <row r="516" ht="15.75" customHeight="1">
      <c r="E516" s="124"/>
      <c r="F516" s="124"/>
      <c r="G516" s="124"/>
      <c r="H516" s="124"/>
      <c r="I516" s="124"/>
      <c r="J516" s="124"/>
      <c r="K516" s="124"/>
    </row>
    <row r="517" ht="15.75" customHeight="1">
      <c r="E517" s="124"/>
      <c r="F517" s="124"/>
      <c r="G517" s="124"/>
      <c r="H517" s="124"/>
      <c r="I517" s="124"/>
      <c r="J517" s="124"/>
      <c r="K517" s="124"/>
    </row>
    <row r="518" ht="15.75" customHeight="1">
      <c r="E518" s="124"/>
      <c r="F518" s="124"/>
      <c r="G518" s="124"/>
      <c r="H518" s="124"/>
      <c r="I518" s="124"/>
      <c r="J518" s="124"/>
      <c r="K518" s="124"/>
    </row>
    <row r="519" ht="15.75" customHeight="1">
      <c r="E519" s="124"/>
      <c r="F519" s="124"/>
      <c r="G519" s="124"/>
      <c r="H519" s="124"/>
      <c r="I519" s="124"/>
      <c r="J519" s="124"/>
      <c r="K519" s="124"/>
    </row>
    <row r="520" ht="15.75" customHeight="1">
      <c r="E520" s="124"/>
      <c r="F520" s="124"/>
      <c r="G520" s="124"/>
      <c r="H520" s="124"/>
      <c r="I520" s="124"/>
      <c r="J520" s="124"/>
      <c r="K520" s="124"/>
    </row>
    <row r="521" ht="15.75" customHeight="1">
      <c r="E521" s="124"/>
      <c r="F521" s="124"/>
      <c r="G521" s="124"/>
      <c r="H521" s="124"/>
      <c r="I521" s="124"/>
      <c r="J521" s="124"/>
      <c r="K521" s="124"/>
    </row>
    <row r="522" ht="15.75" customHeight="1">
      <c r="E522" s="124"/>
      <c r="F522" s="124"/>
      <c r="G522" s="124"/>
      <c r="H522" s="124"/>
      <c r="I522" s="124"/>
      <c r="J522" s="124"/>
      <c r="K522" s="124"/>
    </row>
    <row r="523" ht="15.75" customHeight="1">
      <c r="E523" s="124"/>
      <c r="F523" s="124"/>
      <c r="G523" s="124"/>
      <c r="H523" s="124"/>
      <c r="I523" s="124"/>
      <c r="J523" s="124"/>
      <c r="K523" s="124"/>
    </row>
    <row r="524" ht="15.75" customHeight="1">
      <c r="E524" s="124"/>
      <c r="F524" s="124"/>
      <c r="G524" s="124"/>
      <c r="H524" s="124"/>
      <c r="I524" s="124"/>
      <c r="J524" s="124"/>
      <c r="K524" s="124"/>
    </row>
    <row r="525" ht="15.75" customHeight="1">
      <c r="E525" s="124"/>
      <c r="F525" s="124"/>
      <c r="G525" s="124"/>
      <c r="H525" s="124"/>
      <c r="I525" s="124"/>
      <c r="J525" s="124"/>
      <c r="K525" s="124"/>
    </row>
    <row r="526" ht="15.75" customHeight="1">
      <c r="E526" s="124"/>
      <c r="F526" s="124"/>
      <c r="G526" s="124"/>
      <c r="H526" s="124"/>
      <c r="I526" s="124"/>
      <c r="J526" s="124"/>
      <c r="K526" s="124"/>
    </row>
    <row r="527" ht="15.75" customHeight="1">
      <c r="E527" s="124"/>
      <c r="F527" s="124"/>
      <c r="G527" s="124"/>
      <c r="H527" s="124"/>
      <c r="I527" s="124"/>
      <c r="J527" s="124"/>
      <c r="K527" s="124"/>
    </row>
    <row r="528" ht="15.75" customHeight="1">
      <c r="E528" s="124"/>
      <c r="F528" s="124"/>
      <c r="G528" s="124"/>
      <c r="H528" s="124"/>
      <c r="I528" s="124"/>
      <c r="J528" s="124"/>
      <c r="K528" s="124"/>
    </row>
    <row r="529" ht="15.75" customHeight="1">
      <c r="E529" s="124"/>
      <c r="F529" s="124"/>
      <c r="G529" s="124"/>
      <c r="H529" s="124"/>
      <c r="I529" s="124"/>
      <c r="J529" s="124"/>
      <c r="K529" s="124"/>
    </row>
    <row r="530" ht="15.75" customHeight="1">
      <c r="E530" s="124"/>
      <c r="F530" s="124"/>
      <c r="G530" s="124"/>
      <c r="H530" s="124"/>
      <c r="I530" s="124"/>
      <c r="J530" s="124"/>
      <c r="K530" s="124"/>
    </row>
    <row r="531" ht="15.75" customHeight="1">
      <c r="E531" s="124"/>
      <c r="F531" s="124"/>
      <c r="G531" s="124"/>
      <c r="H531" s="124"/>
      <c r="I531" s="124"/>
      <c r="J531" s="124"/>
      <c r="K531" s="124"/>
    </row>
    <row r="532" ht="15.75" customHeight="1">
      <c r="E532" s="124"/>
      <c r="F532" s="124"/>
      <c r="G532" s="124"/>
      <c r="H532" s="124"/>
      <c r="I532" s="124"/>
      <c r="J532" s="124"/>
      <c r="K532" s="124"/>
    </row>
    <row r="533" ht="15.75" customHeight="1">
      <c r="E533" s="124"/>
      <c r="F533" s="124"/>
      <c r="G533" s="124"/>
      <c r="H533" s="124"/>
      <c r="I533" s="124"/>
      <c r="J533" s="124"/>
      <c r="K533" s="124"/>
    </row>
    <row r="534" ht="15.75" customHeight="1">
      <c r="E534" s="124"/>
      <c r="F534" s="124"/>
      <c r="G534" s="124"/>
      <c r="H534" s="124"/>
      <c r="I534" s="124"/>
      <c r="J534" s="124"/>
      <c r="K534" s="124"/>
    </row>
    <row r="535" ht="15.75" customHeight="1">
      <c r="E535" s="124"/>
      <c r="F535" s="124"/>
      <c r="G535" s="124"/>
      <c r="H535" s="124"/>
      <c r="I535" s="124"/>
      <c r="J535" s="124"/>
      <c r="K535" s="124"/>
    </row>
    <row r="536" ht="15.75" customHeight="1">
      <c r="E536" s="124"/>
      <c r="F536" s="124"/>
      <c r="G536" s="124"/>
      <c r="H536" s="124"/>
      <c r="I536" s="124"/>
      <c r="J536" s="124"/>
      <c r="K536" s="124"/>
    </row>
    <row r="537" ht="15.75" customHeight="1">
      <c r="E537" s="124"/>
      <c r="F537" s="124"/>
      <c r="G537" s="124"/>
      <c r="H537" s="124"/>
      <c r="I537" s="124"/>
      <c r="J537" s="124"/>
      <c r="K537" s="124"/>
    </row>
    <row r="538" ht="15.75" customHeight="1">
      <c r="E538" s="124"/>
      <c r="F538" s="124"/>
      <c r="G538" s="124"/>
      <c r="H538" s="124"/>
      <c r="I538" s="124"/>
      <c r="J538" s="124"/>
      <c r="K538" s="124"/>
    </row>
    <row r="539" ht="15.75" customHeight="1">
      <c r="E539" s="124"/>
      <c r="F539" s="124"/>
      <c r="G539" s="124"/>
      <c r="H539" s="124"/>
      <c r="I539" s="124"/>
      <c r="J539" s="124"/>
      <c r="K539" s="124"/>
    </row>
    <row r="540" ht="15.75" customHeight="1">
      <c r="E540" s="124"/>
      <c r="F540" s="124"/>
      <c r="G540" s="124"/>
      <c r="H540" s="124"/>
      <c r="I540" s="124"/>
      <c r="J540" s="124"/>
      <c r="K540" s="124"/>
    </row>
    <row r="541" ht="15.75" customHeight="1">
      <c r="E541" s="124"/>
      <c r="F541" s="124"/>
      <c r="G541" s="124"/>
      <c r="H541" s="124"/>
      <c r="I541" s="124"/>
      <c r="J541" s="124"/>
      <c r="K541" s="124"/>
    </row>
    <row r="542" ht="15.75" customHeight="1">
      <c r="E542" s="124"/>
      <c r="F542" s="124"/>
      <c r="G542" s="124"/>
      <c r="H542" s="124"/>
      <c r="I542" s="124"/>
      <c r="J542" s="124"/>
      <c r="K542" s="124"/>
    </row>
    <row r="543" ht="15.75" customHeight="1">
      <c r="E543" s="124"/>
      <c r="F543" s="124"/>
      <c r="G543" s="124"/>
      <c r="H543" s="124"/>
      <c r="I543" s="124"/>
      <c r="J543" s="124"/>
      <c r="K543" s="124"/>
    </row>
    <row r="544" ht="15.75" customHeight="1">
      <c r="E544" s="124"/>
      <c r="F544" s="124"/>
      <c r="G544" s="124"/>
      <c r="H544" s="124"/>
      <c r="I544" s="124"/>
      <c r="J544" s="124"/>
      <c r="K544" s="124"/>
    </row>
    <row r="545" ht="15.75" customHeight="1">
      <c r="E545" s="124"/>
      <c r="F545" s="124"/>
      <c r="G545" s="124"/>
      <c r="H545" s="124"/>
      <c r="I545" s="124"/>
      <c r="J545" s="124"/>
      <c r="K545" s="124"/>
    </row>
    <row r="546" ht="15.75" customHeight="1">
      <c r="E546" s="124"/>
      <c r="F546" s="124"/>
      <c r="G546" s="124"/>
      <c r="H546" s="124"/>
      <c r="I546" s="124"/>
      <c r="J546" s="124"/>
      <c r="K546" s="124"/>
    </row>
    <row r="547" ht="15.75" customHeight="1">
      <c r="E547" s="124"/>
      <c r="F547" s="124"/>
      <c r="G547" s="124"/>
      <c r="H547" s="124"/>
      <c r="I547" s="124"/>
      <c r="J547" s="124"/>
      <c r="K547" s="124"/>
    </row>
    <row r="548" ht="15.75" customHeight="1">
      <c r="E548" s="124"/>
      <c r="F548" s="124"/>
      <c r="G548" s="124"/>
      <c r="H548" s="124"/>
      <c r="I548" s="124"/>
      <c r="J548" s="124"/>
      <c r="K548" s="124"/>
    </row>
    <row r="549" ht="15.75" customHeight="1">
      <c r="E549" s="124"/>
      <c r="F549" s="124"/>
      <c r="G549" s="124"/>
      <c r="H549" s="124"/>
      <c r="I549" s="124"/>
      <c r="J549" s="124"/>
      <c r="K549" s="124"/>
    </row>
    <row r="550" ht="15.75" customHeight="1">
      <c r="E550" s="124"/>
      <c r="F550" s="124"/>
      <c r="G550" s="124"/>
      <c r="H550" s="124"/>
      <c r="I550" s="124"/>
      <c r="J550" s="124"/>
      <c r="K550" s="124"/>
    </row>
    <row r="551" ht="15.75" customHeight="1">
      <c r="E551" s="124"/>
      <c r="F551" s="124"/>
      <c r="G551" s="124"/>
      <c r="H551" s="124"/>
      <c r="I551" s="124"/>
      <c r="J551" s="124"/>
      <c r="K551" s="124"/>
    </row>
    <row r="552" ht="15.75" customHeight="1">
      <c r="E552" s="124"/>
      <c r="F552" s="124"/>
      <c r="G552" s="124"/>
      <c r="H552" s="124"/>
      <c r="I552" s="124"/>
      <c r="J552" s="124"/>
      <c r="K552" s="124"/>
    </row>
    <row r="553" ht="15.75" customHeight="1">
      <c r="E553" s="124"/>
      <c r="F553" s="124"/>
      <c r="G553" s="124"/>
      <c r="H553" s="124"/>
      <c r="I553" s="124"/>
      <c r="J553" s="124"/>
      <c r="K553" s="124"/>
    </row>
    <row r="554" ht="15.75" customHeight="1">
      <c r="E554" s="124"/>
      <c r="F554" s="124"/>
      <c r="G554" s="124"/>
      <c r="H554" s="124"/>
      <c r="I554" s="124"/>
      <c r="J554" s="124"/>
      <c r="K554" s="124"/>
    </row>
    <row r="555" ht="15.75" customHeight="1">
      <c r="E555" s="124"/>
      <c r="F555" s="124"/>
      <c r="G555" s="124"/>
      <c r="H555" s="124"/>
      <c r="I555" s="124"/>
      <c r="J555" s="124"/>
      <c r="K555" s="124"/>
    </row>
    <row r="556" ht="15.75" customHeight="1">
      <c r="E556" s="124"/>
      <c r="F556" s="124"/>
      <c r="G556" s="124"/>
      <c r="H556" s="124"/>
      <c r="I556" s="124"/>
      <c r="J556" s="124"/>
      <c r="K556" s="124"/>
    </row>
    <row r="557" ht="15.75" customHeight="1">
      <c r="E557" s="124"/>
      <c r="F557" s="124"/>
      <c r="G557" s="124"/>
      <c r="H557" s="124"/>
      <c r="I557" s="124"/>
      <c r="J557" s="124"/>
      <c r="K557" s="124"/>
    </row>
    <row r="558" ht="15.75" customHeight="1">
      <c r="E558" s="124"/>
      <c r="F558" s="124"/>
      <c r="G558" s="124"/>
      <c r="H558" s="124"/>
      <c r="I558" s="124"/>
      <c r="J558" s="124"/>
      <c r="K558" s="124"/>
    </row>
    <row r="559" ht="15.75" customHeight="1">
      <c r="E559" s="124"/>
      <c r="F559" s="124"/>
      <c r="G559" s="124"/>
      <c r="H559" s="124"/>
      <c r="I559" s="124"/>
      <c r="J559" s="124"/>
      <c r="K559" s="124"/>
    </row>
    <row r="560" ht="15.75" customHeight="1">
      <c r="E560" s="124"/>
      <c r="F560" s="124"/>
      <c r="G560" s="124"/>
      <c r="H560" s="124"/>
      <c r="I560" s="124"/>
      <c r="J560" s="124"/>
      <c r="K560" s="124"/>
    </row>
    <row r="561" ht="15.75" customHeight="1">
      <c r="E561" s="124"/>
      <c r="F561" s="124"/>
      <c r="G561" s="124"/>
      <c r="H561" s="124"/>
      <c r="I561" s="124"/>
      <c r="J561" s="124"/>
      <c r="K561" s="124"/>
    </row>
    <row r="562" ht="15.75" customHeight="1">
      <c r="E562" s="124"/>
      <c r="F562" s="124"/>
      <c r="G562" s="124"/>
      <c r="H562" s="124"/>
      <c r="I562" s="124"/>
      <c r="J562" s="124"/>
      <c r="K562" s="124"/>
    </row>
    <row r="563" ht="15.75" customHeight="1">
      <c r="E563" s="124"/>
      <c r="F563" s="124"/>
      <c r="G563" s="124"/>
      <c r="H563" s="124"/>
      <c r="I563" s="124"/>
      <c r="J563" s="124"/>
      <c r="K563" s="124"/>
    </row>
    <row r="564" ht="15.75" customHeight="1">
      <c r="E564" s="124"/>
      <c r="F564" s="124"/>
      <c r="G564" s="124"/>
      <c r="H564" s="124"/>
      <c r="I564" s="124"/>
      <c r="J564" s="124"/>
      <c r="K564" s="124"/>
    </row>
    <row r="565" ht="15.75" customHeight="1">
      <c r="E565" s="124"/>
      <c r="F565" s="124"/>
      <c r="G565" s="124"/>
      <c r="H565" s="124"/>
      <c r="I565" s="124"/>
      <c r="J565" s="124"/>
      <c r="K565" s="124"/>
    </row>
    <row r="566" ht="15.75" customHeight="1">
      <c r="E566" s="124"/>
      <c r="F566" s="124"/>
      <c r="G566" s="124"/>
      <c r="H566" s="124"/>
      <c r="I566" s="124"/>
      <c r="J566" s="124"/>
      <c r="K566" s="124"/>
    </row>
    <row r="567" ht="15.75" customHeight="1">
      <c r="E567" s="124"/>
      <c r="F567" s="124"/>
      <c r="G567" s="124"/>
      <c r="H567" s="124"/>
      <c r="I567" s="124"/>
      <c r="J567" s="124"/>
      <c r="K567" s="124"/>
    </row>
    <row r="568" ht="15.75" customHeight="1">
      <c r="E568" s="124"/>
      <c r="F568" s="124"/>
      <c r="G568" s="124"/>
      <c r="H568" s="124"/>
      <c r="I568" s="124"/>
      <c r="J568" s="124"/>
      <c r="K568" s="124"/>
    </row>
    <row r="569" ht="15.75" customHeight="1">
      <c r="E569" s="124"/>
      <c r="F569" s="124"/>
      <c r="G569" s="124"/>
      <c r="H569" s="124"/>
      <c r="I569" s="124"/>
      <c r="J569" s="124"/>
      <c r="K569" s="124"/>
    </row>
    <row r="570" ht="15.75" customHeight="1">
      <c r="E570" s="124"/>
      <c r="F570" s="124"/>
      <c r="G570" s="124"/>
      <c r="H570" s="124"/>
      <c r="I570" s="124"/>
      <c r="J570" s="124"/>
      <c r="K570" s="124"/>
    </row>
    <row r="571" ht="15.75" customHeight="1">
      <c r="E571" s="124"/>
      <c r="F571" s="124"/>
      <c r="G571" s="124"/>
      <c r="H571" s="124"/>
      <c r="I571" s="124"/>
      <c r="J571" s="124"/>
      <c r="K571" s="124"/>
    </row>
    <row r="572" ht="15.75" customHeight="1">
      <c r="E572" s="124"/>
      <c r="F572" s="124"/>
      <c r="G572" s="124"/>
      <c r="H572" s="124"/>
      <c r="I572" s="124"/>
      <c r="J572" s="124"/>
      <c r="K572" s="124"/>
    </row>
    <row r="573" ht="15.75" customHeight="1">
      <c r="E573" s="124"/>
      <c r="F573" s="124"/>
      <c r="G573" s="124"/>
      <c r="H573" s="124"/>
      <c r="I573" s="124"/>
      <c r="J573" s="124"/>
      <c r="K573" s="124"/>
    </row>
    <row r="574" ht="15.75" customHeight="1">
      <c r="E574" s="124"/>
      <c r="F574" s="124"/>
      <c r="G574" s="124"/>
      <c r="H574" s="124"/>
      <c r="I574" s="124"/>
      <c r="J574" s="124"/>
      <c r="K574" s="124"/>
    </row>
    <row r="575" ht="15.75" customHeight="1">
      <c r="E575" s="124"/>
      <c r="F575" s="124"/>
      <c r="G575" s="124"/>
      <c r="H575" s="124"/>
      <c r="I575" s="124"/>
      <c r="J575" s="124"/>
      <c r="K575" s="124"/>
    </row>
    <row r="576" ht="15.75" customHeight="1">
      <c r="E576" s="124"/>
      <c r="F576" s="124"/>
      <c r="G576" s="124"/>
      <c r="H576" s="124"/>
      <c r="I576" s="124"/>
      <c r="J576" s="124"/>
      <c r="K576" s="124"/>
    </row>
    <row r="577" ht="15.75" customHeight="1">
      <c r="E577" s="124"/>
      <c r="F577" s="124"/>
      <c r="G577" s="124"/>
      <c r="H577" s="124"/>
      <c r="I577" s="124"/>
      <c r="J577" s="124"/>
      <c r="K577" s="124"/>
    </row>
    <row r="578" ht="15.75" customHeight="1">
      <c r="E578" s="124"/>
      <c r="F578" s="124"/>
      <c r="G578" s="124"/>
      <c r="H578" s="124"/>
      <c r="I578" s="124"/>
      <c r="J578" s="124"/>
      <c r="K578" s="124"/>
    </row>
    <row r="579" ht="15.75" customHeight="1">
      <c r="E579" s="124"/>
      <c r="F579" s="124"/>
      <c r="G579" s="124"/>
      <c r="H579" s="124"/>
      <c r="I579" s="124"/>
      <c r="J579" s="124"/>
      <c r="K579" s="124"/>
    </row>
    <row r="580" ht="15.75" customHeight="1">
      <c r="E580" s="124"/>
      <c r="F580" s="124"/>
      <c r="G580" s="124"/>
      <c r="H580" s="124"/>
      <c r="I580" s="124"/>
      <c r="J580" s="124"/>
      <c r="K580" s="124"/>
    </row>
    <row r="581" ht="15.75" customHeight="1">
      <c r="E581" s="124"/>
      <c r="F581" s="124"/>
      <c r="G581" s="124"/>
      <c r="H581" s="124"/>
      <c r="I581" s="124"/>
      <c r="J581" s="124"/>
      <c r="K581" s="124"/>
    </row>
    <row r="582" ht="15.75" customHeight="1">
      <c r="E582" s="124"/>
      <c r="F582" s="124"/>
      <c r="G582" s="124"/>
      <c r="H582" s="124"/>
      <c r="I582" s="124"/>
      <c r="J582" s="124"/>
      <c r="K582" s="124"/>
    </row>
    <row r="583" ht="15.75" customHeight="1">
      <c r="E583" s="124"/>
      <c r="F583" s="124"/>
      <c r="G583" s="124"/>
      <c r="H583" s="124"/>
      <c r="I583" s="124"/>
      <c r="J583" s="124"/>
      <c r="K583" s="124"/>
    </row>
    <row r="584" ht="15.75" customHeight="1">
      <c r="E584" s="124"/>
      <c r="F584" s="124"/>
      <c r="G584" s="124"/>
      <c r="H584" s="124"/>
      <c r="I584" s="124"/>
      <c r="J584" s="124"/>
      <c r="K584" s="124"/>
    </row>
    <row r="585" ht="15.75" customHeight="1">
      <c r="E585" s="124"/>
      <c r="F585" s="124"/>
      <c r="G585" s="124"/>
      <c r="H585" s="124"/>
      <c r="I585" s="124"/>
      <c r="J585" s="124"/>
      <c r="K585" s="124"/>
    </row>
    <row r="586" ht="15.75" customHeight="1">
      <c r="E586" s="124"/>
      <c r="F586" s="124"/>
      <c r="G586" s="124"/>
      <c r="H586" s="124"/>
      <c r="I586" s="124"/>
      <c r="J586" s="124"/>
      <c r="K586" s="124"/>
    </row>
    <row r="587" ht="15.75" customHeight="1">
      <c r="E587" s="124"/>
      <c r="F587" s="124"/>
      <c r="G587" s="124"/>
      <c r="H587" s="124"/>
      <c r="I587" s="124"/>
      <c r="J587" s="124"/>
      <c r="K587" s="124"/>
    </row>
    <row r="588" ht="15.75" customHeight="1">
      <c r="E588" s="124"/>
      <c r="F588" s="124"/>
      <c r="G588" s="124"/>
      <c r="H588" s="124"/>
      <c r="I588" s="124"/>
      <c r="J588" s="124"/>
      <c r="K588" s="124"/>
    </row>
    <row r="589" ht="15.75" customHeight="1">
      <c r="E589" s="124"/>
      <c r="F589" s="124"/>
      <c r="G589" s="124"/>
      <c r="H589" s="124"/>
      <c r="I589" s="124"/>
      <c r="J589" s="124"/>
      <c r="K589" s="124"/>
    </row>
    <row r="590" ht="15.75" customHeight="1">
      <c r="E590" s="124"/>
      <c r="F590" s="124"/>
      <c r="G590" s="124"/>
      <c r="H590" s="124"/>
      <c r="I590" s="124"/>
      <c r="J590" s="124"/>
      <c r="K590" s="124"/>
    </row>
    <row r="591" ht="15.75" customHeight="1">
      <c r="E591" s="124"/>
      <c r="F591" s="124"/>
      <c r="G591" s="124"/>
      <c r="H591" s="124"/>
      <c r="I591" s="124"/>
      <c r="J591" s="124"/>
      <c r="K591" s="124"/>
    </row>
    <row r="592" ht="15.75" customHeight="1">
      <c r="E592" s="124"/>
      <c r="F592" s="124"/>
      <c r="G592" s="124"/>
      <c r="H592" s="124"/>
      <c r="I592" s="124"/>
      <c r="J592" s="124"/>
      <c r="K592" s="124"/>
    </row>
    <row r="593" ht="15.75" customHeight="1">
      <c r="E593" s="124"/>
      <c r="F593" s="124"/>
      <c r="G593" s="124"/>
      <c r="H593" s="124"/>
      <c r="I593" s="124"/>
      <c r="J593" s="124"/>
      <c r="K593" s="124"/>
    </row>
    <row r="594" ht="15.75" customHeight="1">
      <c r="E594" s="124"/>
      <c r="F594" s="124"/>
      <c r="G594" s="124"/>
      <c r="H594" s="124"/>
      <c r="I594" s="124"/>
      <c r="J594" s="124"/>
      <c r="K594" s="124"/>
    </row>
    <row r="595" ht="15.75" customHeight="1">
      <c r="E595" s="124"/>
      <c r="F595" s="124"/>
      <c r="G595" s="124"/>
      <c r="H595" s="124"/>
      <c r="I595" s="124"/>
      <c r="J595" s="124"/>
      <c r="K595" s="124"/>
    </row>
    <row r="596" ht="15.75" customHeight="1">
      <c r="E596" s="124"/>
      <c r="F596" s="124"/>
      <c r="G596" s="124"/>
      <c r="H596" s="124"/>
      <c r="I596" s="124"/>
      <c r="J596" s="124"/>
      <c r="K596" s="124"/>
    </row>
    <row r="597" ht="15.75" customHeight="1">
      <c r="E597" s="124"/>
      <c r="F597" s="124"/>
      <c r="G597" s="124"/>
      <c r="H597" s="124"/>
      <c r="I597" s="124"/>
      <c r="J597" s="124"/>
      <c r="K597" s="124"/>
    </row>
    <row r="598" ht="15.75" customHeight="1">
      <c r="E598" s="124"/>
      <c r="F598" s="124"/>
      <c r="G598" s="124"/>
      <c r="H598" s="124"/>
      <c r="I598" s="124"/>
      <c r="J598" s="124"/>
      <c r="K598" s="124"/>
    </row>
    <row r="599" ht="15.75" customHeight="1">
      <c r="E599" s="124"/>
      <c r="F599" s="124"/>
      <c r="G599" s="124"/>
      <c r="H599" s="124"/>
      <c r="I599" s="124"/>
      <c r="J599" s="124"/>
      <c r="K599" s="124"/>
    </row>
    <row r="600" ht="15.75" customHeight="1">
      <c r="E600" s="124"/>
      <c r="F600" s="124"/>
      <c r="G600" s="124"/>
      <c r="H600" s="124"/>
      <c r="I600" s="124"/>
      <c r="J600" s="124"/>
      <c r="K600" s="124"/>
    </row>
    <row r="601" ht="15.75" customHeight="1">
      <c r="E601" s="124"/>
      <c r="F601" s="124"/>
      <c r="G601" s="124"/>
      <c r="H601" s="124"/>
      <c r="I601" s="124"/>
      <c r="J601" s="124"/>
      <c r="K601" s="124"/>
    </row>
    <row r="602" ht="15.75" customHeight="1">
      <c r="E602" s="124"/>
      <c r="F602" s="124"/>
      <c r="G602" s="124"/>
      <c r="H602" s="124"/>
      <c r="I602" s="124"/>
      <c r="J602" s="124"/>
      <c r="K602" s="124"/>
    </row>
    <row r="603" ht="15.75" customHeight="1">
      <c r="E603" s="124"/>
      <c r="F603" s="124"/>
      <c r="G603" s="124"/>
      <c r="H603" s="124"/>
      <c r="I603" s="124"/>
      <c r="J603" s="124"/>
      <c r="K603" s="124"/>
    </row>
    <row r="604" ht="15.75" customHeight="1">
      <c r="E604" s="124"/>
      <c r="F604" s="124"/>
      <c r="G604" s="124"/>
      <c r="H604" s="124"/>
      <c r="I604" s="124"/>
      <c r="J604" s="124"/>
      <c r="K604" s="124"/>
    </row>
    <row r="605" ht="15.75" customHeight="1">
      <c r="E605" s="124"/>
      <c r="F605" s="124"/>
      <c r="G605" s="124"/>
      <c r="H605" s="124"/>
      <c r="I605" s="124"/>
      <c r="J605" s="124"/>
      <c r="K605" s="124"/>
    </row>
    <row r="606" ht="15.75" customHeight="1">
      <c r="E606" s="124"/>
      <c r="F606" s="124"/>
      <c r="G606" s="124"/>
      <c r="H606" s="124"/>
      <c r="I606" s="124"/>
      <c r="J606" s="124"/>
      <c r="K606" s="124"/>
    </row>
    <row r="607" ht="15.75" customHeight="1">
      <c r="E607" s="124"/>
      <c r="F607" s="124"/>
      <c r="G607" s="124"/>
      <c r="H607" s="124"/>
      <c r="I607" s="124"/>
      <c r="J607" s="124"/>
      <c r="K607" s="124"/>
    </row>
    <row r="608" ht="15.75" customHeight="1">
      <c r="E608" s="124"/>
      <c r="F608" s="124"/>
      <c r="G608" s="124"/>
      <c r="H608" s="124"/>
      <c r="I608" s="124"/>
      <c r="J608" s="124"/>
      <c r="K608" s="124"/>
    </row>
    <row r="609" ht="15.75" customHeight="1">
      <c r="E609" s="124"/>
      <c r="F609" s="124"/>
      <c r="G609" s="124"/>
      <c r="H609" s="124"/>
      <c r="I609" s="124"/>
      <c r="J609" s="124"/>
      <c r="K609" s="124"/>
    </row>
    <row r="610" ht="15.75" customHeight="1">
      <c r="E610" s="124"/>
      <c r="F610" s="124"/>
      <c r="G610" s="124"/>
      <c r="H610" s="124"/>
      <c r="I610" s="124"/>
      <c r="J610" s="124"/>
      <c r="K610" s="124"/>
    </row>
    <row r="611" ht="15.75" customHeight="1">
      <c r="E611" s="124"/>
      <c r="F611" s="124"/>
      <c r="G611" s="124"/>
      <c r="H611" s="124"/>
      <c r="I611" s="124"/>
      <c r="J611" s="124"/>
      <c r="K611" s="124"/>
    </row>
    <row r="612" ht="15.75" customHeight="1">
      <c r="E612" s="124"/>
      <c r="F612" s="124"/>
      <c r="G612" s="124"/>
      <c r="H612" s="124"/>
      <c r="I612" s="124"/>
      <c r="J612" s="124"/>
      <c r="K612" s="124"/>
    </row>
    <row r="613" ht="15.75" customHeight="1">
      <c r="E613" s="124"/>
      <c r="F613" s="124"/>
      <c r="G613" s="124"/>
      <c r="H613" s="124"/>
      <c r="I613" s="124"/>
      <c r="J613" s="124"/>
      <c r="K613" s="124"/>
    </row>
    <row r="614" ht="15.75" customHeight="1">
      <c r="E614" s="124"/>
      <c r="F614" s="124"/>
      <c r="G614" s="124"/>
      <c r="H614" s="124"/>
      <c r="I614" s="124"/>
      <c r="J614" s="124"/>
      <c r="K614" s="124"/>
    </row>
    <row r="615" ht="15.75" customHeight="1">
      <c r="E615" s="124"/>
      <c r="F615" s="124"/>
      <c r="G615" s="124"/>
      <c r="H615" s="124"/>
      <c r="I615" s="124"/>
      <c r="J615" s="124"/>
      <c r="K615" s="124"/>
    </row>
    <row r="616" ht="15.75" customHeight="1">
      <c r="E616" s="124"/>
      <c r="F616" s="124"/>
      <c r="G616" s="124"/>
      <c r="H616" s="124"/>
      <c r="I616" s="124"/>
      <c r="J616" s="124"/>
      <c r="K616" s="124"/>
    </row>
    <row r="617" ht="15.75" customHeight="1">
      <c r="E617" s="124"/>
      <c r="F617" s="124"/>
      <c r="G617" s="124"/>
      <c r="H617" s="124"/>
      <c r="I617" s="124"/>
      <c r="J617" s="124"/>
      <c r="K617" s="124"/>
    </row>
    <row r="618" ht="15.75" customHeight="1">
      <c r="E618" s="124"/>
      <c r="F618" s="124"/>
      <c r="G618" s="124"/>
      <c r="H618" s="124"/>
      <c r="I618" s="124"/>
      <c r="J618" s="124"/>
      <c r="K618" s="124"/>
    </row>
    <row r="619" ht="15.75" customHeight="1">
      <c r="E619" s="124"/>
      <c r="F619" s="124"/>
      <c r="G619" s="124"/>
      <c r="H619" s="124"/>
      <c r="I619" s="124"/>
      <c r="J619" s="124"/>
      <c r="K619" s="124"/>
    </row>
    <row r="620" ht="15.75" customHeight="1">
      <c r="E620" s="124"/>
      <c r="F620" s="124"/>
      <c r="G620" s="124"/>
      <c r="H620" s="124"/>
      <c r="I620" s="124"/>
      <c r="J620" s="124"/>
      <c r="K620" s="124"/>
    </row>
    <row r="621" ht="15.75" customHeight="1">
      <c r="E621" s="124"/>
      <c r="F621" s="124"/>
      <c r="G621" s="124"/>
      <c r="H621" s="124"/>
      <c r="I621" s="124"/>
      <c r="J621" s="124"/>
      <c r="K621" s="124"/>
    </row>
    <row r="622" ht="15.75" customHeight="1">
      <c r="E622" s="124"/>
      <c r="F622" s="124"/>
      <c r="G622" s="124"/>
      <c r="H622" s="124"/>
      <c r="I622" s="124"/>
      <c r="J622" s="124"/>
      <c r="K622" s="124"/>
    </row>
    <row r="623" ht="15.75" customHeight="1">
      <c r="E623" s="124"/>
      <c r="F623" s="124"/>
      <c r="G623" s="124"/>
      <c r="H623" s="124"/>
      <c r="I623" s="124"/>
      <c r="J623" s="124"/>
      <c r="K623" s="124"/>
    </row>
    <row r="624" ht="15.75" customHeight="1">
      <c r="E624" s="124"/>
      <c r="F624" s="124"/>
      <c r="G624" s="124"/>
      <c r="H624" s="124"/>
      <c r="I624" s="124"/>
      <c r="J624" s="124"/>
      <c r="K624" s="124"/>
    </row>
    <row r="625" ht="15.75" customHeight="1">
      <c r="E625" s="124"/>
      <c r="F625" s="124"/>
      <c r="G625" s="124"/>
      <c r="H625" s="124"/>
      <c r="I625" s="124"/>
      <c r="J625" s="124"/>
      <c r="K625" s="124"/>
    </row>
    <row r="626" ht="15.75" customHeight="1">
      <c r="E626" s="124"/>
      <c r="F626" s="124"/>
      <c r="G626" s="124"/>
      <c r="H626" s="124"/>
      <c r="I626" s="124"/>
      <c r="J626" s="124"/>
      <c r="K626" s="124"/>
    </row>
    <row r="627" ht="15.75" customHeight="1">
      <c r="E627" s="124"/>
      <c r="F627" s="124"/>
      <c r="G627" s="124"/>
      <c r="H627" s="124"/>
      <c r="I627" s="124"/>
      <c r="J627" s="124"/>
      <c r="K627" s="124"/>
    </row>
    <row r="628" ht="15.75" customHeight="1">
      <c r="E628" s="124"/>
      <c r="F628" s="124"/>
      <c r="G628" s="124"/>
      <c r="H628" s="124"/>
      <c r="I628" s="124"/>
      <c r="J628" s="124"/>
      <c r="K628" s="124"/>
    </row>
    <row r="629" ht="15.75" customHeight="1">
      <c r="E629" s="124"/>
      <c r="F629" s="124"/>
      <c r="G629" s="124"/>
      <c r="H629" s="124"/>
      <c r="I629" s="124"/>
      <c r="J629" s="124"/>
      <c r="K629" s="124"/>
    </row>
    <row r="630" ht="15.75" customHeight="1">
      <c r="E630" s="124"/>
      <c r="F630" s="124"/>
      <c r="G630" s="124"/>
      <c r="H630" s="124"/>
      <c r="I630" s="124"/>
      <c r="J630" s="124"/>
      <c r="K630" s="124"/>
    </row>
    <row r="631" ht="15.75" customHeight="1">
      <c r="E631" s="124"/>
      <c r="F631" s="124"/>
      <c r="G631" s="124"/>
      <c r="H631" s="124"/>
      <c r="I631" s="124"/>
      <c r="J631" s="124"/>
      <c r="K631" s="124"/>
    </row>
    <row r="632" ht="15.75" customHeight="1">
      <c r="E632" s="124"/>
      <c r="F632" s="124"/>
      <c r="G632" s="124"/>
      <c r="H632" s="124"/>
      <c r="I632" s="124"/>
      <c r="J632" s="124"/>
      <c r="K632" s="124"/>
    </row>
    <row r="633" ht="15.75" customHeight="1">
      <c r="E633" s="124"/>
      <c r="F633" s="124"/>
      <c r="G633" s="124"/>
      <c r="H633" s="124"/>
      <c r="I633" s="124"/>
      <c r="J633" s="124"/>
      <c r="K633" s="124"/>
    </row>
    <row r="634" ht="15.75" customHeight="1">
      <c r="E634" s="124"/>
      <c r="F634" s="124"/>
      <c r="G634" s="124"/>
      <c r="H634" s="124"/>
      <c r="I634" s="124"/>
      <c r="J634" s="124"/>
      <c r="K634" s="124"/>
    </row>
    <row r="635" ht="15.75" customHeight="1">
      <c r="E635" s="124"/>
      <c r="F635" s="124"/>
      <c r="G635" s="124"/>
      <c r="H635" s="124"/>
      <c r="I635" s="124"/>
      <c r="J635" s="124"/>
      <c r="K635" s="124"/>
    </row>
    <row r="636" ht="15.75" customHeight="1">
      <c r="E636" s="124"/>
      <c r="F636" s="124"/>
      <c r="G636" s="124"/>
      <c r="H636" s="124"/>
      <c r="I636" s="124"/>
      <c r="J636" s="124"/>
      <c r="K636" s="124"/>
    </row>
    <row r="637" ht="15.75" customHeight="1">
      <c r="E637" s="124"/>
      <c r="F637" s="124"/>
      <c r="G637" s="124"/>
      <c r="H637" s="124"/>
      <c r="I637" s="124"/>
      <c r="J637" s="124"/>
      <c r="K637" s="124"/>
    </row>
    <row r="638" ht="15.75" customHeight="1">
      <c r="E638" s="124"/>
      <c r="F638" s="124"/>
      <c r="G638" s="124"/>
      <c r="H638" s="124"/>
      <c r="I638" s="124"/>
      <c r="J638" s="124"/>
      <c r="K638" s="124"/>
    </row>
    <row r="639" ht="15.75" customHeight="1">
      <c r="E639" s="124"/>
      <c r="F639" s="124"/>
      <c r="G639" s="124"/>
      <c r="H639" s="124"/>
      <c r="I639" s="124"/>
      <c r="J639" s="124"/>
      <c r="K639" s="124"/>
    </row>
    <row r="640" ht="15.75" customHeight="1">
      <c r="E640" s="124"/>
      <c r="F640" s="124"/>
      <c r="G640" s="124"/>
      <c r="H640" s="124"/>
      <c r="I640" s="124"/>
      <c r="J640" s="124"/>
      <c r="K640" s="124"/>
    </row>
    <row r="641" ht="15.75" customHeight="1">
      <c r="E641" s="124"/>
      <c r="F641" s="124"/>
      <c r="G641" s="124"/>
      <c r="H641" s="124"/>
      <c r="I641" s="124"/>
      <c r="J641" s="124"/>
      <c r="K641" s="124"/>
    </row>
    <row r="642" ht="15.75" customHeight="1">
      <c r="E642" s="124"/>
      <c r="F642" s="124"/>
      <c r="G642" s="124"/>
      <c r="H642" s="124"/>
      <c r="I642" s="124"/>
      <c r="J642" s="124"/>
      <c r="K642" s="124"/>
    </row>
    <row r="643" ht="15.75" customHeight="1">
      <c r="E643" s="124"/>
      <c r="F643" s="124"/>
      <c r="G643" s="124"/>
      <c r="H643" s="124"/>
      <c r="I643" s="124"/>
      <c r="J643" s="124"/>
      <c r="K643" s="124"/>
    </row>
    <row r="644" ht="15.75" customHeight="1">
      <c r="E644" s="124"/>
      <c r="F644" s="124"/>
      <c r="G644" s="124"/>
      <c r="H644" s="124"/>
      <c r="I644" s="124"/>
      <c r="J644" s="124"/>
      <c r="K644" s="124"/>
    </row>
    <row r="645" ht="15.75" customHeight="1">
      <c r="E645" s="124"/>
      <c r="F645" s="124"/>
      <c r="G645" s="124"/>
      <c r="H645" s="124"/>
      <c r="I645" s="124"/>
      <c r="J645" s="124"/>
      <c r="K645" s="124"/>
    </row>
    <row r="646" ht="15.75" customHeight="1">
      <c r="E646" s="124"/>
      <c r="F646" s="124"/>
      <c r="G646" s="124"/>
      <c r="H646" s="124"/>
      <c r="I646" s="124"/>
      <c r="J646" s="124"/>
      <c r="K646" s="124"/>
    </row>
    <row r="647" ht="15.75" customHeight="1">
      <c r="E647" s="124"/>
      <c r="F647" s="124"/>
      <c r="G647" s="124"/>
      <c r="H647" s="124"/>
      <c r="I647" s="124"/>
      <c r="J647" s="124"/>
      <c r="K647" s="124"/>
    </row>
    <row r="648" ht="15.75" customHeight="1">
      <c r="E648" s="124"/>
      <c r="F648" s="124"/>
      <c r="G648" s="124"/>
      <c r="H648" s="124"/>
      <c r="I648" s="124"/>
      <c r="J648" s="124"/>
      <c r="K648" s="124"/>
    </row>
    <row r="649" ht="15.75" customHeight="1">
      <c r="E649" s="124"/>
      <c r="F649" s="124"/>
      <c r="G649" s="124"/>
      <c r="H649" s="124"/>
      <c r="I649" s="124"/>
      <c r="J649" s="124"/>
      <c r="K649" s="124"/>
    </row>
    <row r="650" ht="15.75" customHeight="1">
      <c r="E650" s="124"/>
      <c r="F650" s="124"/>
      <c r="G650" s="124"/>
      <c r="H650" s="124"/>
      <c r="I650" s="124"/>
      <c r="J650" s="124"/>
      <c r="K650" s="124"/>
    </row>
    <row r="651" ht="15.75" customHeight="1">
      <c r="E651" s="124"/>
      <c r="F651" s="124"/>
      <c r="G651" s="124"/>
      <c r="H651" s="124"/>
      <c r="I651" s="124"/>
      <c r="J651" s="124"/>
      <c r="K651" s="124"/>
    </row>
    <row r="652" ht="15.75" customHeight="1">
      <c r="E652" s="124"/>
      <c r="F652" s="124"/>
      <c r="G652" s="124"/>
      <c r="H652" s="124"/>
      <c r="I652" s="124"/>
      <c r="J652" s="124"/>
      <c r="K652" s="124"/>
    </row>
    <row r="653" ht="15.75" customHeight="1">
      <c r="E653" s="124"/>
      <c r="F653" s="124"/>
      <c r="G653" s="124"/>
      <c r="H653" s="124"/>
      <c r="I653" s="124"/>
      <c r="J653" s="124"/>
      <c r="K653" s="124"/>
    </row>
    <row r="654" ht="15.75" customHeight="1">
      <c r="E654" s="124"/>
      <c r="F654" s="124"/>
      <c r="G654" s="124"/>
      <c r="H654" s="124"/>
      <c r="I654" s="124"/>
      <c r="J654" s="124"/>
      <c r="K654" s="124"/>
    </row>
    <row r="655" ht="15.75" customHeight="1">
      <c r="E655" s="124"/>
      <c r="F655" s="124"/>
      <c r="G655" s="124"/>
      <c r="H655" s="124"/>
      <c r="I655" s="124"/>
      <c r="J655" s="124"/>
      <c r="K655" s="124"/>
    </row>
    <row r="656" ht="15.75" customHeight="1">
      <c r="E656" s="124"/>
      <c r="F656" s="124"/>
      <c r="G656" s="124"/>
      <c r="H656" s="124"/>
      <c r="I656" s="124"/>
      <c r="J656" s="124"/>
      <c r="K656" s="124"/>
    </row>
    <row r="657" ht="15.75" customHeight="1">
      <c r="E657" s="124"/>
      <c r="F657" s="124"/>
      <c r="G657" s="124"/>
      <c r="H657" s="124"/>
      <c r="I657" s="124"/>
      <c r="J657" s="124"/>
      <c r="K657" s="124"/>
    </row>
    <row r="658" ht="15.75" customHeight="1">
      <c r="E658" s="124"/>
      <c r="F658" s="124"/>
      <c r="G658" s="124"/>
      <c r="H658" s="124"/>
      <c r="I658" s="124"/>
      <c r="J658" s="124"/>
      <c r="K658" s="124"/>
    </row>
    <row r="659" ht="15.75" customHeight="1">
      <c r="E659" s="124"/>
      <c r="F659" s="124"/>
      <c r="G659" s="124"/>
      <c r="H659" s="124"/>
      <c r="I659" s="124"/>
      <c r="J659" s="124"/>
      <c r="K659" s="124"/>
    </row>
    <row r="660" ht="15.75" customHeight="1">
      <c r="E660" s="124"/>
      <c r="F660" s="124"/>
      <c r="G660" s="124"/>
      <c r="H660" s="124"/>
      <c r="I660" s="124"/>
      <c r="J660" s="124"/>
      <c r="K660" s="124"/>
    </row>
    <row r="661" ht="15.75" customHeight="1">
      <c r="E661" s="124"/>
      <c r="F661" s="124"/>
      <c r="G661" s="124"/>
      <c r="H661" s="124"/>
      <c r="I661" s="124"/>
      <c r="J661" s="124"/>
      <c r="K661" s="124"/>
    </row>
    <row r="662" ht="15.75" customHeight="1">
      <c r="E662" s="124"/>
      <c r="F662" s="124"/>
      <c r="G662" s="124"/>
      <c r="H662" s="124"/>
      <c r="I662" s="124"/>
      <c r="J662" s="124"/>
      <c r="K662" s="124"/>
    </row>
    <row r="663" ht="15.75" customHeight="1">
      <c r="E663" s="124"/>
      <c r="F663" s="124"/>
      <c r="G663" s="124"/>
      <c r="H663" s="124"/>
      <c r="I663" s="124"/>
      <c r="J663" s="124"/>
      <c r="K663" s="124"/>
    </row>
    <row r="664" ht="15.75" customHeight="1">
      <c r="E664" s="124"/>
      <c r="F664" s="124"/>
      <c r="G664" s="124"/>
      <c r="H664" s="124"/>
      <c r="I664" s="124"/>
      <c r="J664" s="124"/>
      <c r="K664" s="124"/>
    </row>
    <row r="665" ht="15.75" customHeight="1">
      <c r="E665" s="124"/>
      <c r="F665" s="124"/>
      <c r="G665" s="124"/>
      <c r="H665" s="124"/>
      <c r="I665" s="124"/>
      <c r="J665" s="124"/>
      <c r="K665" s="124"/>
    </row>
    <row r="666" ht="15.75" customHeight="1">
      <c r="E666" s="124"/>
      <c r="F666" s="124"/>
      <c r="G666" s="124"/>
      <c r="H666" s="124"/>
      <c r="I666" s="124"/>
      <c r="J666" s="124"/>
      <c r="K666" s="124"/>
    </row>
    <row r="667" ht="15.75" customHeight="1">
      <c r="E667" s="124"/>
      <c r="F667" s="124"/>
      <c r="G667" s="124"/>
      <c r="H667" s="124"/>
      <c r="I667" s="124"/>
      <c r="J667" s="124"/>
      <c r="K667" s="124"/>
    </row>
    <row r="668" ht="15.75" customHeight="1">
      <c r="E668" s="124"/>
      <c r="F668" s="124"/>
      <c r="G668" s="124"/>
      <c r="H668" s="124"/>
      <c r="I668" s="124"/>
      <c r="J668" s="124"/>
      <c r="K668" s="124"/>
    </row>
    <row r="669" ht="15.75" customHeight="1">
      <c r="E669" s="124"/>
      <c r="F669" s="124"/>
      <c r="G669" s="124"/>
      <c r="H669" s="124"/>
      <c r="I669" s="124"/>
      <c r="J669" s="124"/>
      <c r="K669" s="124"/>
    </row>
    <row r="670" ht="15.75" customHeight="1">
      <c r="E670" s="124"/>
      <c r="F670" s="124"/>
      <c r="G670" s="124"/>
      <c r="H670" s="124"/>
      <c r="I670" s="124"/>
      <c r="J670" s="124"/>
      <c r="K670" s="124"/>
    </row>
    <row r="671" ht="15.75" customHeight="1">
      <c r="E671" s="124"/>
      <c r="F671" s="124"/>
      <c r="G671" s="124"/>
      <c r="H671" s="124"/>
      <c r="I671" s="124"/>
      <c r="J671" s="124"/>
      <c r="K671" s="124"/>
    </row>
    <row r="672" ht="15.75" customHeight="1">
      <c r="E672" s="124"/>
      <c r="F672" s="124"/>
      <c r="G672" s="124"/>
      <c r="H672" s="124"/>
      <c r="I672" s="124"/>
      <c r="J672" s="124"/>
      <c r="K672" s="124"/>
    </row>
    <row r="673" ht="15.75" customHeight="1">
      <c r="E673" s="124"/>
      <c r="F673" s="124"/>
      <c r="G673" s="124"/>
      <c r="H673" s="124"/>
      <c r="I673" s="124"/>
      <c r="J673" s="124"/>
      <c r="K673" s="124"/>
    </row>
    <row r="674" ht="15.75" customHeight="1">
      <c r="E674" s="124"/>
      <c r="F674" s="124"/>
      <c r="G674" s="124"/>
      <c r="H674" s="124"/>
      <c r="I674" s="124"/>
      <c r="J674" s="124"/>
      <c r="K674" s="124"/>
    </row>
    <row r="675" ht="15.75" customHeight="1">
      <c r="E675" s="124"/>
      <c r="F675" s="124"/>
      <c r="G675" s="124"/>
      <c r="H675" s="124"/>
      <c r="I675" s="124"/>
      <c r="J675" s="124"/>
      <c r="K675" s="124"/>
    </row>
    <row r="676" ht="15.75" customHeight="1">
      <c r="E676" s="124"/>
      <c r="F676" s="124"/>
      <c r="G676" s="124"/>
      <c r="H676" s="124"/>
      <c r="I676" s="124"/>
      <c r="J676" s="124"/>
      <c r="K676" s="124"/>
    </row>
    <row r="677" ht="15.75" customHeight="1">
      <c r="E677" s="124"/>
      <c r="F677" s="124"/>
      <c r="G677" s="124"/>
      <c r="H677" s="124"/>
      <c r="I677" s="124"/>
      <c r="J677" s="124"/>
      <c r="K677" s="124"/>
    </row>
    <row r="678" ht="15.75" customHeight="1">
      <c r="E678" s="124"/>
      <c r="F678" s="124"/>
      <c r="G678" s="124"/>
      <c r="H678" s="124"/>
      <c r="I678" s="124"/>
      <c r="J678" s="124"/>
      <c r="K678" s="124"/>
    </row>
    <row r="679" ht="15.75" customHeight="1">
      <c r="E679" s="124"/>
      <c r="F679" s="124"/>
      <c r="G679" s="124"/>
      <c r="H679" s="124"/>
      <c r="I679" s="124"/>
      <c r="J679" s="124"/>
      <c r="K679" s="124"/>
    </row>
    <row r="680" ht="15.75" customHeight="1">
      <c r="E680" s="124"/>
      <c r="F680" s="124"/>
      <c r="G680" s="124"/>
      <c r="H680" s="124"/>
      <c r="I680" s="124"/>
      <c r="J680" s="124"/>
      <c r="K680" s="124"/>
    </row>
    <row r="681" ht="15.75" customHeight="1">
      <c r="E681" s="124"/>
      <c r="F681" s="124"/>
      <c r="G681" s="124"/>
      <c r="H681" s="124"/>
      <c r="I681" s="124"/>
      <c r="J681" s="124"/>
      <c r="K681" s="124"/>
    </row>
    <row r="682" ht="15.75" customHeight="1">
      <c r="E682" s="124"/>
      <c r="F682" s="124"/>
      <c r="G682" s="124"/>
      <c r="H682" s="124"/>
      <c r="I682" s="124"/>
      <c r="J682" s="124"/>
      <c r="K682" s="124"/>
    </row>
    <row r="683" ht="15.75" customHeight="1">
      <c r="E683" s="124"/>
      <c r="F683" s="124"/>
      <c r="G683" s="124"/>
      <c r="H683" s="124"/>
      <c r="I683" s="124"/>
      <c r="J683" s="124"/>
      <c r="K683" s="124"/>
    </row>
    <row r="684" ht="15.75" customHeight="1">
      <c r="E684" s="124"/>
      <c r="F684" s="124"/>
      <c r="G684" s="124"/>
      <c r="H684" s="124"/>
      <c r="I684" s="124"/>
      <c r="J684" s="124"/>
      <c r="K684" s="124"/>
    </row>
    <row r="685" ht="15.75" customHeight="1">
      <c r="E685" s="124"/>
      <c r="F685" s="124"/>
      <c r="G685" s="124"/>
      <c r="H685" s="124"/>
      <c r="I685" s="124"/>
      <c r="J685" s="124"/>
      <c r="K685" s="124"/>
    </row>
    <row r="686" ht="15.75" customHeight="1">
      <c r="E686" s="124"/>
      <c r="F686" s="124"/>
      <c r="G686" s="124"/>
      <c r="H686" s="124"/>
      <c r="I686" s="124"/>
      <c r="J686" s="124"/>
      <c r="K686" s="124"/>
    </row>
    <row r="687" ht="15.75" customHeight="1">
      <c r="E687" s="124"/>
      <c r="F687" s="124"/>
      <c r="G687" s="124"/>
      <c r="H687" s="124"/>
      <c r="I687" s="124"/>
      <c r="J687" s="124"/>
      <c r="K687" s="124"/>
    </row>
    <row r="688" ht="15.75" customHeight="1">
      <c r="E688" s="124"/>
      <c r="F688" s="124"/>
      <c r="G688" s="124"/>
      <c r="H688" s="124"/>
      <c r="I688" s="124"/>
      <c r="J688" s="124"/>
      <c r="K688" s="124"/>
    </row>
    <row r="689" ht="15.75" customHeight="1">
      <c r="E689" s="124"/>
      <c r="F689" s="124"/>
      <c r="G689" s="124"/>
      <c r="H689" s="124"/>
      <c r="I689" s="124"/>
      <c r="J689" s="124"/>
      <c r="K689" s="124"/>
    </row>
    <row r="690" ht="15.75" customHeight="1">
      <c r="E690" s="124"/>
      <c r="F690" s="124"/>
      <c r="G690" s="124"/>
      <c r="H690" s="124"/>
      <c r="I690" s="124"/>
      <c r="J690" s="124"/>
      <c r="K690" s="124"/>
    </row>
    <row r="691" ht="15.75" customHeight="1">
      <c r="E691" s="124"/>
      <c r="F691" s="124"/>
      <c r="G691" s="124"/>
      <c r="H691" s="124"/>
      <c r="I691" s="124"/>
      <c r="J691" s="124"/>
      <c r="K691" s="124"/>
    </row>
    <row r="692" ht="15.75" customHeight="1">
      <c r="E692" s="124"/>
      <c r="F692" s="124"/>
      <c r="G692" s="124"/>
      <c r="H692" s="124"/>
      <c r="I692" s="124"/>
      <c r="J692" s="124"/>
      <c r="K692" s="124"/>
    </row>
    <row r="693" ht="15.75" customHeight="1">
      <c r="E693" s="124"/>
      <c r="F693" s="124"/>
      <c r="G693" s="124"/>
      <c r="H693" s="124"/>
      <c r="I693" s="124"/>
      <c r="J693" s="124"/>
      <c r="K693" s="124"/>
    </row>
    <row r="694" ht="15.75" customHeight="1">
      <c r="E694" s="124"/>
      <c r="F694" s="124"/>
      <c r="G694" s="124"/>
      <c r="H694" s="124"/>
      <c r="I694" s="124"/>
      <c r="J694" s="124"/>
      <c r="K694" s="124"/>
    </row>
    <row r="695" ht="15.75" customHeight="1">
      <c r="E695" s="124"/>
      <c r="F695" s="124"/>
      <c r="G695" s="124"/>
      <c r="H695" s="124"/>
      <c r="I695" s="124"/>
      <c r="J695" s="124"/>
      <c r="K695" s="124"/>
    </row>
    <row r="696" ht="15.75" customHeight="1">
      <c r="E696" s="124"/>
      <c r="F696" s="124"/>
      <c r="G696" s="124"/>
      <c r="H696" s="124"/>
      <c r="I696" s="124"/>
      <c r="J696" s="124"/>
      <c r="K696" s="124"/>
    </row>
    <row r="697" ht="15.75" customHeight="1">
      <c r="E697" s="124"/>
      <c r="F697" s="124"/>
      <c r="G697" s="124"/>
      <c r="H697" s="124"/>
      <c r="I697" s="124"/>
      <c r="J697" s="124"/>
      <c r="K697" s="124"/>
    </row>
    <row r="698" ht="15.75" customHeight="1">
      <c r="E698" s="124"/>
      <c r="F698" s="124"/>
      <c r="G698" s="124"/>
      <c r="H698" s="124"/>
      <c r="I698" s="124"/>
      <c r="J698" s="124"/>
      <c r="K698" s="124"/>
    </row>
    <row r="699" ht="15.75" customHeight="1">
      <c r="E699" s="124"/>
      <c r="F699" s="124"/>
      <c r="G699" s="124"/>
      <c r="H699" s="124"/>
      <c r="I699" s="124"/>
      <c r="J699" s="124"/>
      <c r="K699" s="124"/>
    </row>
    <row r="700" ht="15.75" customHeight="1">
      <c r="E700" s="124"/>
      <c r="F700" s="124"/>
      <c r="G700" s="124"/>
      <c r="H700" s="124"/>
      <c r="I700" s="124"/>
      <c r="J700" s="124"/>
      <c r="K700" s="124"/>
    </row>
    <row r="701" ht="15.75" customHeight="1">
      <c r="E701" s="124"/>
      <c r="F701" s="124"/>
      <c r="G701" s="124"/>
      <c r="H701" s="124"/>
      <c r="I701" s="124"/>
      <c r="J701" s="124"/>
      <c r="K701" s="124"/>
    </row>
    <row r="702" ht="15.75" customHeight="1">
      <c r="E702" s="124"/>
      <c r="F702" s="124"/>
      <c r="G702" s="124"/>
      <c r="H702" s="124"/>
      <c r="I702" s="124"/>
      <c r="J702" s="124"/>
      <c r="K702" s="124"/>
    </row>
    <row r="703" ht="15.75" customHeight="1">
      <c r="E703" s="124"/>
      <c r="F703" s="124"/>
      <c r="G703" s="124"/>
      <c r="H703" s="124"/>
      <c r="I703" s="124"/>
      <c r="J703" s="124"/>
      <c r="K703" s="124"/>
    </row>
    <row r="704" ht="15.75" customHeight="1">
      <c r="E704" s="124"/>
      <c r="F704" s="124"/>
      <c r="G704" s="124"/>
      <c r="H704" s="124"/>
      <c r="I704" s="124"/>
      <c r="J704" s="124"/>
      <c r="K704" s="124"/>
    </row>
    <row r="705" ht="15.75" customHeight="1">
      <c r="E705" s="124"/>
      <c r="F705" s="124"/>
      <c r="G705" s="124"/>
      <c r="H705" s="124"/>
      <c r="I705" s="124"/>
      <c r="J705" s="124"/>
      <c r="K705" s="124"/>
    </row>
    <row r="706" ht="15.75" customHeight="1">
      <c r="E706" s="124"/>
      <c r="F706" s="124"/>
      <c r="G706" s="124"/>
      <c r="H706" s="124"/>
      <c r="I706" s="124"/>
      <c r="J706" s="124"/>
      <c r="K706" s="124"/>
    </row>
    <row r="707" ht="15.75" customHeight="1">
      <c r="E707" s="124"/>
      <c r="F707" s="124"/>
      <c r="G707" s="124"/>
      <c r="H707" s="124"/>
      <c r="I707" s="124"/>
      <c r="J707" s="124"/>
      <c r="K707" s="124"/>
    </row>
    <row r="708" ht="15.75" customHeight="1">
      <c r="E708" s="124"/>
      <c r="F708" s="124"/>
      <c r="G708" s="124"/>
      <c r="H708" s="124"/>
      <c r="I708" s="124"/>
      <c r="J708" s="124"/>
      <c r="K708" s="124"/>
    </row>
    <row r="709" ht="15.75" customHeight="1">
      <c r="E709" s="124"/>
      <c r="F709" s="124"/>
      <c r="G709" s="124"/>
      <c r="H709" s="124"/>
      <c r="I709" s="124"/>
      <c r="J709" s="124"/>
      <c r="K709" s="124"/>
    </row>
    <row r="710" ht="15.75" customHeight="1">
      <c r="E710" s="124"/>
      <c r="F710" s="124"/>
      <c r="G710" s="124"/>
      <c r="H710" s="124"/>
      <c r="I710" s="124"/>
      <c r="J710" s="124"/>
      <c r="K710" s="124"/>
    </row>
    <row r="711" ht="15.75" customHeight="1">
      <c r="E711" s="124"/>
      <c r="F711" s="124"/>
      <c r="G711" s="124"/>
      <c r="H711" s="124"/>
      <c r="I711" s="124"/>
      <c r="J711" s="124"/>
      <c r="K711" s="124"/>
    </row>
    <row r="712" ht="15.75" customHeight="1">
      <c r="E712" s="124"/>
      <c r="F712" s="124"/>
      <c r="G712" s="124"/>
      <c r="H712" s="124"/>
      <c r="I712" s="124"/>
      <c r="J712" s="124"/>
      <c r="K712" s="124"/>
    </row>
    <row r="713" ht="15.75" customHeight="1">
      <c r="E713" s="124"/>
      <c r="F713" s="124"/>
      <c r="G713" s="124"/>
      <c r="H713" s="124"/>
      <c r="I713" s="124"/>
      <c r="J713" s="124"/>
      <c r="K713" s="124"/>
    </row>
    <row r="714" ht="15.75" customHeight="1">
      <c r="E714" s="124"/>
      <c r="F714" s="124"/>
      <c r="G714" s="124"/>
      <c r="H714" s="124"/>
      <c r="I714" s="124"/>
      <c r="J714" s="124"/>
      <c r="K714" s="124"/>
    </row>
    <row r="715" ht="15.75" customHeight="1">
      <c r="E715" s="124"/>
      <c r="F715" s="124"/>
      <c r="G715" s="124"/>
      <c r="H715" s="124"/>
      <c r="I715" s="124"/>
      <c r="J715" s="124"/>
      <c r="K715" s="124"/>
    </row>
    <row r="716" ht="15.75" customHeight="1">
      <c r="E716" s="124"/>
      <c r="F716" s="124"/>
      <c r="G716" s="124"/>
      <c r="H716" s="124"/>
      <c r="I716" s="124"/>
      <c r="J716" s="124"/>
      <c r="K716" s="124"/>
    </row>
    <row r="717" ht="15.75" customHeight="1">
      <c r="E717" s="124"/>
      <c r="F717" s="124"/>
      <c r="G717" s="124"/>
      <c r="H717" s="124"/>
      <c r="I717" s="124"/>
      <c r="J717" s="124"/>
      <c r="K717" s="124"/>
    </row>
    <row r="718" ht="15.75" customHeight="1">
      <c r="E718" s="124"/>
      <c r="F718" s="124"/>
      <c r="G718" s="124"/>
      <c r="H718" s="124"/>
      <c r="I718" s="124"/>
      <c r="J718" s="124"/>
      <c r="K718" s="124"/>
    </row>
    <row r="719" ht="15.75" customHeight="1">
      <c r="E719" s="124"/>
      <c r="F719" s="124"/>
      <c r="G719" s="124"/>
      <c r="H719" s="124"/>
      <c r="I719" s="124"/>
      <c r="J719" s="124"/>
      <c r="K719" s="124"/>
    </row>
    <row r="720" ht="15.75" customHeight="1">
      <c r="E720" s="124"/>
      <c r="F720" s="124"/>
      <c r="G720" s="124"/>
      <c r="H720" s="124"/>
      <c r="I720" s="124"/>
      <c r="J720" s="124"/>
      <c r="K720" s="124"/>
    </row>
    <row r="721" ht="15.75" customHeight="1">
      <c r="E721" s="124"/>
      <c r="F721" s="124"/>
      <c r="G721" s="124"/>
      <c r="H721" s="124"/>
      <c r="I721" s="124"/>
      <c r="J721" s="124"/>
      <c r="K721" s="124"/>
    </row>
    <row r="722" ht="15.75" customHeight="1">
      <c r="E722" s="124"/>
      <c r="F722" s="124"/>
      <c r="G722" s="124"/>
      <c r="H722" s="124"/>
      <c r="I722" s="124"/>
      <c r="J722" s="124"/>
      <c r="K722" s="124"/>
    </row>
    <row r="723" ht="15.75" customHeight="1">
      <c r="E723" s="124"/>
      <c r="F723" s="124"/>
      <c r="G723" s="124"/>
      <c r="H723" s="124"/>
      <c r="I723" s="124"/>
      <c r="J723" s="124"/>
      <c r="K723" s="124"/>
    </row>
    <row r="724" ht="15.75" customHeight="1">
      <c r="E724" s="124"/>
      <c r="F724" s="124"/>
      <c r="G724" s="124"/>
      <c r="H724" s="124"/>
      <c r="I724" s="124"/>
      <c r="J724" s="124"/>
      <c r="K724" s="124"/>
    </row>
    <row r="725" ht="15.75" customHeight="1">
      <c r="E725" s="124"/>
      <c r="F725" s="124"/>
      <c r="G725" s="124"/>
      <c r="H725" s="124"/>
      <c r="I725" s="124"/>
      <c r="J725" s="124"/>
      <c r="K725" s="124"/>
    </row>
    <row r="726" ht="15.75" customHeight="1">
      <c r="E726" s="124"/>
      <c r="F726" s="124"/>
      <c r="G726" s="124"/>
      <c r="H726" s="124"/>
      <c r="I726" s="124"/>
      <c r="J726" s="124"/>
      <c r="K726" s="124"/>
    </row>
    <row r="727" ht="15.75" customHeight="1">
      <c r="E727" s="124"/>
      <c r="F727" s="124"/>
      <c r="G727" s="124"/>
      <c r="H727" s="124"/>
      <c r="I727" s="124"/>
      <c r="J727" s="124"/>
      <c r="K727" s="124"/>
    </row>
    <row r="728" ht="15.75" customHeight="1">
      <c r="E728" s="124"/>
      <c r="F728" s="124"/>
      <c r="G728" s="124"/>
      <c r="H728" s="124"/>
      <c r="I728" s="124"/>
      <c r="J728" s="124"/>
      <c r="K728" s="124"/>
    </row>
    <row r="729" ht="15.75" customHeight="1">
      <c r="E729" s="124"/>
      <c r="F729" s="124"/>
      <c r="G729" s="124"/>
      <c r="H729" s="124"/>
      <c r="I729" s="124"/>
      <c r="J729" s="124"/>
      <c r="K729" s="124"/>
    </row>
    <row r="730" ht="15.75" customHeight="1">
      <c r="E730" s="124"/>
      <c r="F730" s="124"/>
      <c r="G730" s="124"/>
      <c r="H730" s="124"/>
      <c r="I730" s="124"/>
      <c r="J730" s="124"/>
      <c r="K730" s="124"/>
    </row>
    <row r="731" ht="15.75" customHeight="1">
      <c r="E731" s="124"/>
      <c r="F731" s="124"/>
      <c r="G731" s="124"/>
      <c r="H731" s="124"/>
      <c r="I731" s="124"/>
      <c r="J731" s="124"/>
      <c r="K731" s="124"/>
    </row>
    <row r="732" ht="15.75" customHeight="1">
      <c r="E732" s="124"/>
      <c r="F732" s="124"/>
      <c r="G732" s="124"/>
      <c r="H732" s="124"/>
      <c r="I732" s="124"/>
      <c r="J732" s="124"/>
      <c r="K732" s="124"/>
    </row>
    <row r="733" ht="15.75" customHeight="1">
      <c r="E733" s="124"/>
      <c r="F733" s="124"/>
      <c r="G733" s="124"/>
      <c r="H733" s="124"/>
      <c r="I733" s="124"/>
      <c r="J733" s="124"/>
      <c r="K733" s="124"/>
    </row>
    <row r="734" ht="15.75" customHeight="1">
      <c r="E734" s="124"/>
      <c r="F734" s="124"/>
      <c r="G734" s="124"/>
      <c r="H734" s="124"/>
      <c r="I734" s="124"/>
      <c r="J734" s="124"/>
      <c r="K734" s="124"/>
    </row>
    <row r="735" ht="15.75" customHeight="1">
      <c r="E735" s="124"/>
      <c r="F735" s="124"/>
      <c r="G735" s="124"/>
      <c r="H735" s="124"/>
      <c r="I735" s="124"/>
      <c r="J735" s="124"/>
      <c r="K735" s="124"/>
    </row>
    <row r="736" ht="15.75" customHeight="1">
      <c r="E736" s="124"/>
      <c r="F736" s="124"/>
      <c r="G736" s="124"/>
      <c r="H736" s="124"/>
      <c r="I736" s="124"/>
      <c r="J736" s="124"/>
      <c r="K736" s="124"/>
    </row>
    <row r="737" ht="15.75" customHeight="1">
      <c r="E737" s="124"/>
      <c r="F737" s="124"/>
      <c r="G737" s="124"/>
      <c r="H737" s="124"/>
      <c r="I737" s="124"/>
      <c r="J737" s="124"/>
      <c r="K737" s="124"/>
    </row>
    <row r="738" ht="15.75" customHeight="1">
      <c r="E738" s="124"/>
      <c r="F738" s="124"/>
      <c r="G738" s="124"/>
      <c r="H738" s="124"/>
      <c r="I738" s="124"/>
      <c r="J738" s="124"/>
      <c r="K738" s="124"/>
    </row>
    <row r="739" ht="15.75" customHeight="1">
      <c r="E739" s="124"/>
      <c r="F739" s="124"/>
      <c r="G739" s="124"/>
      <c r="H739" s="124"/>
      <c r="I739" s="124"/>
      <c r="J739" s="124"/>
      <c r="K739" s="124"/>
    </row>
    <row r="740" ht="15.75" customHeight="1">
      <c r="E740" s="124"/>
      <c r="F740" s="124"/>
      <c r="G740" s="124"/>
      <c r="H740" s="124"/>
      <c r="I740" s="124"/>
      <c r="J740" s="124"/>
      <c r="K740" s="124"/>
    </row>
    <row r="741" ht="15.75" customHeight="1">
      <c r="E741" s="124"/>
      <c r="F741" s="124"/>
      <c r="G741" s="124"/>
      <c r="H741" s="124"/>
      <c r="I741" s="124"/>
      <c r="J741" s="124"/>
      <c r="K741" s="124"/>
    </row>
    <row r="742" ht="15.75" customHeight="1">
      <c r="E742" s="124"/>
      <c r="F742" s="124"/>
      <c r="G742" s="124"/>
      <c r="H742" s="124"/>
      <c r="I742" s="124"/>
      <c r="J742" s="124"/>
      <c r="K742" s="124"/>
    </row>
    <row r="743" ht="15.75" customHeight="1">
      <c r="E743" s="124"/>
      <c r="F743" s="124"/>
      <c r="G743" s="124"/>
      <c r="H743" s="124"/>
      <c r="I743" s="124"/>
      <c r="J743" s="124"/>
      <c r="K743" s="124"/>
    </row>
    <row r="744" ht="15.75" customHeight="1">
      <c r="E744" s="124"/>
      <c r="F744" s="124"/>
      <c r="G744" s="124"/>
      <c r="H744" s="124"/>
      <c r="I744" s="124"/>
      <c r="J744" s="124"/>
      <c r="K744" s="124"/>
    </row>
    <row r="745" ht="15.75" customHeight="1">
      <c r="E745" s="124"/>
      <c r="F745" s="124"/>
      <c r="G745" s="124"/>
      <c r="H745" s="124"/>
      <c r="I745" s="124"/>
      <c r="J745" s="124"/>
      <c r="K745" s="124"/>
    </row>
    <row r="746" ht="15.75" customHeight="1">
      <c r="E746" s="124"/>
      <c r="F746" s="124"/>
      <c r="G746" s="124"/>
      <c r="H746" s="124"/>
      <c r="I746" s="124"/>
      <c r="J746" s="124"/>
      <c r="K746" s="124"/>
    </row>
    <row r="747" ht="15.75" customHeight="1">
      <c r="E747" s="124"/>
      <c r="F747" s="124"/>
      <c r="G747" s="124"/>
      <c r="H747" s="124"/>
      <c r="I747" s="124"/>
      <c r="J747" s="124"/>
      <c r="K747" s="124"/>
    </row>
    <row r="748" ht="15.75" customHeight="1">
      <c r="E748" s="124"/>
      <c r="F748" s="124"/>
      <c r="G748" s="124"/>
      <c r="H748" s="124"/>
      <c r="I748" s="124"/>
      <c r="J748" s="124"/>
      <c r="K748" s="124"/>
    </row>
    <row r="749" ht="15.75" customHeight="1">
      <c r="E749" s="124"/>
      <c r="F749" s="124"/>
      <c r="G749" s="124"/>
      <c r="H749" s="124"/>
      <c r="I749" s="124"/>
      <c r="J749" s="124"/>
      <c r="K749" s="124"/>
    </row>
    <row r="750" ht="15.75" customHeight="1">
      <c r="E750" s="124"/>
      <c r="F750" s="124"/>
      <c r="G750" s="124"/>
      <c r="H750" s="124"/>
      <c r="I750" s="124"/>
      <c r="J750" s="124"/>
      <c r="K750" s="124"/>
    </row>
    <row r="751" ht="15.75" customHeight="1">
      <c r="E751" s="124"/>
      <c r="F751" s="124"/>
      <c r="G751" s="124"/>
      <c r="H751" s="124"/>
      <c r="I751" s="124"/>
      <c r="J751" s="124"/>
      <c r="K751" s="124"/>
    </row>
    <row r="752" ht="15.75" customHeight="1">
      <c r="E752" s="124"/>
      <c r="F752" s="124"/>
      <c r="G752" s="124"/>
      <c r="H752" s="124"/>
      <c r="I752" s="124"/>
      <c r="J752" s="124"/>
      <c r="K752" s="124"/>
    </row>
    <row r="753" ht="15.75" customHeight="1">
      <c r="E753" s="124"/>
      <c r="F753" s="124"/>
      <c r="G753" s="124"/>
      <c r="H753" s="124"/>
      <c r="I753" s="124"/>
      <c r="J753" s="124"/>
      <c r="K753" s="124"/>
    </row>
    <row r="754" ht="15.75" customHeight="1">
      <c r="E754" s="124"/>
      <c r="F754" s="124"/>
      <c r="G754" s="124"/>
      <c r="H754" s="124"/>
      <c r="I754" s="124"/>
      <c r="J754" s="124"/>
      <c r="K754" s="124"/>
    </row>
    <row r="755" ht="15.75" customHeight="1">
      <c r="E755" s="124"/>
      <c r="F755" s="124"/>
      <c r="G755" s="124"/>
      <c r="H755" s="124"/>
      <c r="I755" s="124"/>
      <c r="J755" s="124"/>
      <c r="K755" s="124"/>
    </row>
    <row r="756" ht="15.75" customHeight="1">
      <c r="E756" s="124"/>
      <c r="F756" s="124"/>
      <c r="G756" s="124"/>
      <c r="H756" s="124"/>
      <c r="I756" s="124"/>
      <c r="J756" s="124"/>
      <c r="K756" s="124"/>
    </row>
    <row r="757" ht="15.75" customHeight="1">
      <c r="E757" s="124"/>
      <c r="F757" s="124"/>
      <c r="G757" s="124"/>
      <c r="H757" s="124"/>
      <c r="I757" s="124"/>
      <c r="J757" s="124"/>
      <c r="K757" s="124"/>
    </row>
    <row r="758" ht="15.75" customHeight="1">
      <c r="E758" s="124"/>
      <c r="F758" s="124"/>
      <c r="G758" s="124"/>
      <c r="H758" s="124"/>
      <c r="I758" s="124"/>
      <c r="J758" s="124"/>
      <c r="K758" s="124"/>
    </row>
    <row r="759" ht="15.75" customHeight="1">
      <c r="E759" s="124"/>
      <c r="F759" s="124"/>
      <c r="G759" s="124"/>
      <c r="H759" s="124"/>
      <c r="I759" s="124"/>
      <c r="J759" s="124"/>
      <c r="K759" s="124"/>
    </row>
    <row r="760" ht="15.75" customHeight="1">
      <c r="E760" s="124"/>
      <c r="F760" s="124"/>
      <c r="G760" s="124"/>
      <c r="H760" s="124"/>
      <c r="I760" s="124"/>
      <c r="J760" s="124"/>
      <c r="K760" s="124"/>
    </row>
    <row r="761" ht="15.75" customHeight="1">
      <c r="E761" s="124"/>
      <c r="F761" s="124"/>
      <c r="G761" s="124"/>
      <c r="H761" s="124"/>
      <c r="I761" s="124"/>
      <c r="J761" s="124"/>
      <c r="K761" s="124"/>
    </row>
    <row r="762" ht="15.75" customHeight="1">
      <c r="E762" s="124"/>
      <c r="F762" s="124"/>
      <c r="G762" s="124"/>
      <c r="H762" s="124"/>
      <c r="I762" s="124"/>
      <c r="J762" s="124"/>
      <c r="K762" s="124"/>
    </row>
    <row r="763" ht="15.75" customHeight="1">
      <c r="E763" s="124"/>
      <c r="F763" s="124"/>
      <c r="G763" s="124"/>
      <c r="H763" s="124"/>
      <c r="I763" s="124"/>
      <c r="J763" s="124"/>
      <c r="K763" s="124"/>
    </row>
    <row r="764" ht="15.75" customHeight="1">
      <c r="E764" s="124"/>
      <c r="F764" s="124"/>
      <c r="G764" s="124"/>
      <c r="H764" s="124"/>
      <c r="I764" s="124"/>
      <c r="J764" s="124"/>
      <c r="K764" s="124"/>
    </row>
    <row r="765" ht="15.75" customHeight="1">
      <c r="E765" s="124"/>
      <c r="F765" s="124"/>
      <c r="G765" s="124"/>
      <c r="H765" s="124"/>
      <c r="I765" s="124"/>
      <c r="J765" s="124"/>
      <c r="K765" s="124"/>
    </row>
    <row r="766" ht="15.75" customHeight="1">
      <c r="E766" s="124"/>
      <c r="F766" s="124"/>
      <c r="G766" s="124"/>
      <c r="H766" s="124"/>
      <c r="I766" s="124"/>
      <c r="J766" s="124"/>
      <c r="K766" s="124"/>
    </row>
    <row r="767" ht="15.75" customHeight="1">
      <c r="E767" s="124"/>
      <c r="F767" s="124"/>
      <c r="G767" s="124"/>
      <c r="H767" s="124"/>
      <c r="I767" s="124"/>
      <c r="J767" s="124"/>
      <c r="K767" s="124"/>
    </row>
    <row r="768" ht="15.75" customHeight="1">
      <c r="E768" s="124"/>
      <c r="F768" s="124"/>
      <c r="G768" s="124"/>
      <c r="H768" s="124"/>
      <c r="I768" s="124"/>
      <c r="J768" s="124"/>
      <c r="K768" s="124"/>
    </row>
    <row r="769" ht="15.75" customHeight="1">
      <c r="E769" s="124"/>
      <c r="F769" s="124"/>
      <c r="G769" s="124"/>
      <c r="H769" s="124"/>
      <c r="I769" s="124"/>
      <c r="J769" s="124"/>
      <c r="K769" s="124"/>
    </row>
    <row r="770" ht="15.75" customHeight="1">
      <c r="E770" s="124"/>
      <c r="F770" s="124"/>
      <c r="G770" s="124"/>
      <c r="H770" s="124"/>
      <c r="I770" s="124"/>
      <c r="J770" s="124"/>
      <c r="K770" s="124"/>
    </row>
    <row r="771" ht="15.75" customHeight="1">
      <c r="E771" s="124"/>
      <c r="F771" s="124"/>
      <c r="G771" s="124"/>
      <c r="H771" s="124"/>
      <c r="I771" s="124"/>
      <c r="J771" s="124"/>
      <c r="K771" s="124"/>
    </row>
    <row r="772" ht="15.75" customHeight="1">
      <c r="E772" s="124"/>
      <c r="F772" s="124"/>
      <c r="G772" s="124"/>
      <c r="H772" s="124"/>
      <c r="I772" s="124"/>
      <c r="J772" s="124"/>
      <c r="K772" s="124"/>
    </row>
    <row r="773" ht="15.75" customHeight="1">
      <c r="E773" s="124"/>
      <c r="F773" s="124"/>
      <c r="G773" s="124"/>
      <c r="H773" s="124"/>
      <c r="I773" s="124"/>
      <c r="J773" s="124"/>
      <c r="K773" s="124"/>
    </row>
    <row r="774" ht="15.75" customHeight="1">
      <c r="E774" s="124"/>
      <c r="F774" s="124"/>
      <c r="G774" s="124"/>
      <c r="H774" s="124"/>
      <c r="I774" s="124"/>
      <c r="J774" s="124"/>
      <c r="K774" s="124"/>
    </row>
    <row r="775" ht="15.75" customHeight="1">
      <c r="E775" s="124"/>
      <c r="F775" s="124"/>
      <c r="G775" s="124"/>
      <c r="H775" s="124"/>
      <c r="I775" s="124"/>
      <c r="J775" s="124"/>
      <c r="K775" s="124"/>
    </row>
    <row r="776" ht="15.75" customHeight="1">
      <c r="E776" s="124"/>
      <c r="F776" s="124"/>
      <c r="G776" s="124"/>
      <c r="H776" s="124"/>
      <c r="I776" s="124"/>
      <c r="J776" s="124"/>
      <c r="K776" s="124"/>
    </row>
    <row r="777" ht="15.75" customHeight="1">
      <c r="E777" s="124"/>
      <c r="F777" s="124"/>
      <c r="G777" s="124"/>
      <c r="H777" s="124"/>
      <c r="I777" s="124"/>
      <c r="J777" s="124"/>
      <c r="K777" s="124"/>
    </row>
    <row r="778" ht="15.75" customHeight="1">
      <c r="E778" s="124"/>
      <c r="F778" s="124"/>
      <c r="G778" s="124"/>
      <c r="H778" s="124"/>
      <c r="I778" s="124"/>
      <c r="J778" s="124"/>
      <c r="K778" s="124"/>
    </row>
    <row r="779" ht="15.75" customHeight="1">
      <c r="E779" s="124"/>
      <c r="F779" s="124"/>
      <c r="G779" s="124"/>
      <c r="H779" s="124"/>
      <c r="I779" s="124"/>
      <c r="J779" s="124"/>
      <c r="K779" s="124"/>
    </row>
    <row r="780" ht="15.75" customHeight="1">
      <c r="E780" s="124"/>
      <c r="F780" s="124"/>
      <c r="G780" s="124"/>
      <c r="H780" s="124"/>
      <c r="I780" s="124"/>
      <c r="J780" s="124"/>
      <c r="K780" s="124"/>
    </row>
    <row r="781" ht="15.75" customHeight="1">
      <c r="E781" s="124"/>
      <c r="F781" s="124"/>
      <c r="G781" s="124"/>
      <c r="H781" s="124"/>
      <c r="I781" s="124"/>
      <c r="J781" s="124"/>
      <c r="K781" s="124"/>
    </row>
    <row r="782" ht="15.75" customHeight="1">
      <c r="E782" s="124"/>
      <c r="F782" s="124"/>
      <c r="G782" s="124"/>
      <c r="H782" s="124"/>
      <c r="I782" s="124"/>
      <c r="J782" s="124"/>
      <c r="K782" s="124"/>
    </row>
    <row r="783" ht="15.75" customHeight="1">
      <c r="E783" s="124"/>
      <c r="F783" s="124"/>
      <c r="G783" s="124"/>
      <c r="H783" s="124"/>
      <c r="I783" s="124"/>
      <c r="J783" s="124"/>
      <c r="K783" s="124"/>
    </row>
    <row r="784" ht="15.75" customHeight="1">
      <c r="E784" s="124"/>
      <c r="F784" s="124"/>
      <c r="G784" s="124"/>
      <c r="H784" s="124"/>
      <c r="I784" s="124"/>
      <c r="J784" s="124"/>
      <c r="K784" s="124"/>
    </row>
    <row r="785" ht="15.75" customHeight="1">
      <c r="E785" s="124"/>
      <c r="F785" s="124"/>
      <c r="G785" s="124"/>
      <c r="H785" s="124"/>
      <c r="I785" s="124"/>
      <c r="J785" s="124"/>
      <c r="K785" s="124"/>
    </row>
    <row r="786" ht="15.75" customHeight="1">
      <c r="E786" s="124"/>
      <c r="F786" s="124"/>
      <c r="G786" s="124"/>
      <c r="H786" s="124"/>
      <c r="I786" s="124"/>
      <c r="J786" s="124"/>
      <c r="K786" s="124"/>
    </row>
    <row r="787" ht="15.75" customHeight="1">
      <c r="E787" s="124"/>
      <c r="F787" s="124"/>
      <c r="G787" s="124"/>
      <c r="H787" s="124"/>
      <c r="I787" s="124"/>
      <c r="J787" s="124"/>
      <c r="K787" s="124"/>
    </row>
    <row r="788" ht="15.75" customHeight="1">
      <c r="E788" s="124"/>
      <c r="F788" s="124"/>
      <c r="G788" s="124"/>
      <c r="H788" s="124"/>
      <c r="I788" s="124"/>
      <c r="J788" s="124"/>
      <c r="K788" s="124"/>
    </row>
    <row r="789" ht="15.75" customHeight="1">
      <c r="E789" s="124"/>
      <c r="F789" s="124"/>
      <c r="G789" s="124"/>
      <c r="H789" s="124"/>
      <c r="I789" s="124"/>
      <c r="J789" s="124"/>
      <c r="K789" s="124"/>
    </row>
    <row r="790" ht="15.75" customHeight="1">
      <c r="E790" s="124"/>
      <c r="F790" s="124"/>
      <c r="G790" s="124"/>
      <c r="H790" s="124"/>
      <c r="I790" s="124"/>
      <c r="J790" s="124"/>
      <c r="K790" s="124"/>
    </row>
    <row r="791" ht="15.75" customHeight="1">
      <c r="E791" s="124"/>
      <c r="F791" s="124"/>
      <c r="G791" s="124"/>
      <c r="H791" s="124"/>
      <c r="I791" s="124"/>
      <c r="J791" s="124"/>
      <c r="K791" s="124"/>
    </row>
    <row r="792" ht="15.75" customHeight="1">
      <c r="E792" s="124"/>
      <c r="F792" s="124"/>
      <c r="G792" s="124"/>
      <c r="H792" s="124"/>
      <c r="I792" s="124"/>
      <c r="J792" s="124"/>
      <c r="K792" s="124"/>
    </row>
    <row r="793" ht="15.75" customHeight="1">
      <c r="E793" s="124"/>
      <c r="F793" s="124"/>
      <c r="G793" s="124"/>
      <c r="H793" s="124"/>
      <c r="I793" s="124"/>
      <c r="J793" s="124"/>
      <c r="K793" s="124"/>
    </row>
    <row r="794" ht="15.75" customHeight="1">
      <c r="E794" s="124"/>
      <c r="F794" s="124"/>
      <c r="G794" s="124"/>
      <c r="H794" s="124"/>
      <c r="I794" s="124"/>
      <c r="J794" s="124"/>
      <c r="K794" s="124"/>
    </row>
    <row r="795" ht="15.75" customHeight="1">
      <c r="E795" s="124"/>
      <c r="F795" s="124"/>
      <c r="G795" s="124"/>
      <c r="H795" s="124"/>
      <c r="I795" s="124"/>
      <c r="J795" s="124"/>
      <c r="K795" s="124"/>
    </row>
    <row r="796" ht="15.75" customHeight="1">
      <c r="E796" s="124"/>
      <c r="F796" s="124"/>
      <c r="G796" s="124"/>
      <c r="H796" s="124"/>
      <c r="I796" s="124"/>
      <c r="J796" s="124"/>
      <c r="K796" s="124"/>
    </row>
    <row r="797" ht="15.75" customHeight="1">
      <c r="E797" s="124"/>
      <c r="F797" s="124"/>
      <c r="G797" s="124"/>
      <c r="H797" s="124"/>
      <c r="I797" s="124"/>
      <c r="J797" s="124"/>
      <c r="K797" s="124"/>
    </row>
    <row r="798" ht="15.75" customHeight="1">
      <c r="E798" s="124"/>
      <c r="F798" s="124"/>
      <c r="G798" s="124"/>
      <c r="H798" s="124"/>
      <c r="I798" s="124"/>
      <c r="J798" s="124"/>
      <c r="K798" s="124"/>
    </row>
    <row r="799" ht="15.75" customHeight="1">
      <c r="E799" s="124"/>
      <c r="F799" s="124"/>
      <c r="G799" s="124"/>
      <c r="H799" s="124"/>
      <c r="I799" s="124"/>
      <c r="J799" s="124"/>
      <c r="K799" s="124"/>
    </row>
    <row r="800" ht="15.75" customHeight="1">
      <c r="E800" s="124"/>
      <c r="F800" s="124"/>
      <c r="G800" s="124"/>
      <c r="H800" s="124"/>
      <c r="I800" s="124"/>
      <c r="J800" s="124"/>
      <c r="K800" s="124"/>
    </row>
    <row r="801" ht="15.75" customHeight="1">
      <c r="E801" s="124"/>
      <c r="F801" s="124"/>
      <c r="G801" s="124"/>
      <c r="H801" s="124"/>
      <c r="I801" s="124"/>
      <c r="J801" s="124"/>
      <c r="K801" s="124"/>
    </row>
    <row r="802" ht="15.75" customHeight="1">
      <c r="E802" s="124"/>
      <c r="F802" s="124"/>
      <c r="G802" s="124"/>
      <c r="H802" s="124"/>
      <c r="I802" s="124"/>
      <c r="J802" s="124"/>
      <c r="K802" s="124"/>
    </row>
    <row r="803" ht="15.75" customHeight="1">
      <c r="E803" s="124"/>
      <c r="F803" s="124"/>
      <c r="G803" s="124"/>
      <c r="H803" s="124"/>
      <c r="I803" s="124"/>
      <c r="J803" s="124"/>
      <c r="K803" s="124"/>
    </row>
    <row r="804" ht="15.75" customHeight="1">
      <c r="E804" s="124"/>
      <c r="F804" s="124"/>
      <c r="G804" s="124"/>
      <c r="H804" s="124"/>
      <c r="I804" s="124"/>
      <c r="J804" s="124"/>
      <c r="K804" s="124"/>
    </row>
    <row r="805" ht="15.75" customHeight="1">
      <c r="E805" s="124"/>
      <c r="F805" s="124"/>
      <c r="G805" s="124"/>
      <c r="H805" s="124"/>
      <c r="I805" s="124"/>
      <c r="J805" s="124"/>
      <c r="K805" s="124"/>
    </row>
    <row r="806" ht="15.75" customHeight="1">
      <c r="E806" s="124"/>
      <c r="F806" s="124"/>
      <c r="G806" s="124"/>
      <c r="H806" s="124"/>
      <c r="I806" s="124"/>
      <c r="J806" s="124"/>
      <c r="K806" s="124"/>
    </row>
    <row r="807" ht="15.75" customHeight="1">
      <c r="E807" s="124"/>
      <c r="F807" s="124"/>
      <c r="G807" s="124"/>
      <c r="H807" s="124"/>
      <c r="I807" s="124"/>
      <c r="J807" s="124"/>
      <c r="K807" s="124"/>
    </row>
    <row r="808" ht="15.75" customHeight="1">
      <c r="E808" s="124"/>
      <c r="F808" s="124"/>
      <c r="G808" s="124"/>
      <c r="H808" s="124"/>
      <c r="I808" s="124"/>
      <c r="J808" s="124"/>
      <c r="K808" s="124"/>
    </row>
    <row r="809" ht="15.75" customHeight="1">
      <c r="E809" s="124"/>
      <c r="F809" s="124"/>
      <c r="G809" s="124"/>
      <c r="H809" s="124"/>
      <c r="I809" s="124"/>
      <c r="J809" s="124"/>
      <c r="K809" s="124"/>
    </row>
    <row r="810" ht="15.75" customHeight="1">
      <c r="E810" s="124"/>
      <c r="F810" s="124"/>
      <c r="G810" s="124"/>
      <c r="H810" s="124"/>
      <c r="I810" s="124"/>
      <c r="J810" s="124"/>
      <c r="K810" s="124"/>
    </row>
    <row r="811" ht="15.75" customHeight="1">
      <c r="E811" s="124"/>
      <c r="F811" s="124"/>
      <c r="G811" s="124"/>
      <c r="H811" s="124"/>
      <c r="I811" s="124"/>
      <c r="J811" s="124"/>
      <c r="K811" s="124"/>
    </row>
    <row r="812" ht="15.75" customHeight="1">
      <c r="E812" s="124"/>
      <c r="F812" s="124"/>
      <c r="G812" s="124"/>
      <c r="H812" s="124"/>
      <c r="I812" s="124"/>
      <c r="J812" s="124"/>
      <c r="K812" s="124"/>
    </row>
    <row r="813" ht="15.75" customHeight="1">
      <c r="E813" s="124"/>
      <c r="F813" s="124"/>
      <c r="G813" s="124"/>
      <c r="H813" s="124"/>
      <c r="I813" s="124"/>
      <c r="J813" s="124"/>
      <c r="K813" s="124"/>
    </row>
    <row r="814" ht="15.75" customHeight="1">
      <c r="E814" s="124"/>
      <c r="F814" s="124"/>
      <c r="G814" s="124"/>
      <c r="H814" s="124"/>
      <c r="I814" s="124"/>
      <c r="J814" s="124"/>
      <c r="K814" s="124"/>
    </row>
    <row r="815" ht="15.75" customHeight="1">
      <c r="E815" s="124"/>
      <c r="F815" s="124"/>
      <c r="G815" s="124"/>
      <c r="H815" s="124"/>
      <c r="I815" s="124"/>
      <c r="J815" s="124"/>
      <c r="K815" s="124"/>
    </row>
    <row r="816" ht="15.75" customHeight="1">
      <c r="E816" s="124"/>
      <c r="F816" s="124"/>
      <c r="G816" s="124"/>
      <c r="H816" s="124"/>
      <c r="I816" s="124"/>
      <c r="J816" s="124"/>
      <c r="K816" s="124"/>
    </row>
    <row r="817" ht="15.75" customHeight="1">
      <c r="E817" s="124"/>
      <c r="F817" s="124"/>
      <c r="G817" s="124"/>
      <c r="H817" s="124"/>
      <c r="I817" s="124"/>
      <c r="J817" s="124"/>
      <c r="K817" s="124"/>
    </row>
    <row r="818" ht="15.75" customHeight="1">
      <c r="E818" s="124"/>
      <c r="F818" s="124"/>
      <c r="G818" s="124"/>
      <c r="H818" s="124"/>
      <c r="I818" s="124"/>
      <c r="J818" s="124"/>
      <c r="K818" s="124"/>
    </row>
    <row r="819" ht="15.75" customHeight="1">
      <c r="E819" s="124"/>
      <c r="F819" s="124"/>
      <c r="G819" s="124"/>
      <c r="H819" s="124"/>
      <c r="I819" s="124"/>
      <c r="J819" s="124"/>
      <c r="K819" s="124"/>
    </row>
    <row r="820" ht="15.75" customHeight="1">
      <c r="E820" s="124"/>
      <c r="F820" s="124"/>
      <c r="G820" s="124"/>
      <c r="H820" s="124"/>
      <c r="I820" s="124"/>
      <c r="J820" s="124"/>
      <c r="K820" s="124"/>
    </row>
    <row r="821" ht="15.75" customHeight="1">
      <c r="E821" s="124"/>
      <c r="F821" s="124"/>
      <c r="G821" s="124"/>
      <c r="H821" s="124"/>
      <c r="I821" s="124"/>
      <c r="J821" s="124"/>
      <c r="K821" s="124"/>
    </row>
    <row r="822" ht="15.75" customHeight="1">
      <c r="E822" s="124"/>
      <c r="F822" s="124"/>
      <c r="G822" s="124"/>
      <c r="H822" s="124"/>
      <c r="I822" s="124"/>
      <c r="J822" s="124"/>
      <c r="K822" s="124"/>
    </row>
    <row r="823" ht="15.75" customHeight="1">
      <c r="E823" s="124"/>
      <c r="F823" s="124"/>
      <c r="G823" s="124"/>
      <c r="H823" s="124"/>
      <c r="I823" s="124"/>
      <c r="J823" s="124"/>
      <c r="K823" s="124"/>
    </row>
    <row r="824" ht="15.75" customHeight="1">
      <c r="E824" s="124"/>
      <c r="F824" s="124"/>
      <c r="G824" s="124"/>
      <c r="H824" s="124"/>
      <c r="I824" s="124"/>
      <c r="J824" s="124"/>
      <c r="K824" s="124"/>
    </row>
    <row r="825" ht="15.75" customHeight="1">
      <c r="E825" s="124"/>
      <c r="F825" s="124"/>
      <c r="G825" s="124"/>
      <c r="H825" s="124"/>
      <c r="I825" s="124"/>
      <c r="J825" s="124"/>
      <c r="K825" s="124"/>
    </row>
    <row r="826" ht="15.75" customHeight="1">
      <c r="E826" s="124"/>
      <c r="F826" s="124"/>
      <c r="G826" s="124"/>
      <c r="H826" s="124"/>
      <c r="I826" s="124"/>
      <c r="J826" s="124"/>
      <c r="K826" s="124"/>
    </row>
    <row r="827" ht="15.75" customHeight="1">
      <c r="E827" s="124"/>
      <c r="F827" s="124"/>
      <c r="G827" s="124"/>
      <c r="H827" s="124"/>
      <c r="I827" s="124"/>
      <c r="J827" s="124"/>
      <c r="K827" s="124"/>
    </row>
    <row r="828" ht="15.75" customHeight="1">
      <c r="E828" s="124"/>
      <c r="F828" s="124"/>
      <c r="G828" s="124"/>
      <c r="H828" s="124"/>
      <c r="I828" s="124"/>
      <c r="J828" s="124"/>
      <c r="K828" s="124"/>
    </row>
    <row r="829" ht="15.75" customHeight="1">
      <c r="E829" s="124"/>
      <c r="F829" s="124"/>
      <c r="G829" s="124"/>
      <c r="H829" s="124"/>
      <c r="I829" s="124"/>
      <c r="J829" s="124"/>
      <c r="K829" s="124"/>
    </row>
    <row r="830" ht="15.75" customHeight="1">
      <c r="E830" s="124"/>
      <c r="F830" s="124"/>
      <c r="G830" s="124"/>
      <c r="H830" s="124"/>
      <c r="I830" s="124"/>
      <c r="J830" s="124"/>
      <c r="K830" s="124"/>
    </row>
    <row r="831" ht="15.75" customHeight="1">
      <c r="E831" s="124"/>
      <c r="F831" s="124"/>
      <c r="G831" s="124"/>
      <c r="H831" s="124"/>
      <c r="I831" s="124"/>
      <c r="J831" s="124"/>
      <c r="K831" s="124"/>
    </row>
    <row r="832" ht="15.75" customHeight="1">
      <c r="E832" s="124"/>
      <c r="F832" s="124"/>
      <c r="G832" s="124"/>
      <c r="H832" s="124"/>
      <c r="I832" s="124"/>
      <c r="J832" s="124"/>
      <c r="K832" s="124"/>
    </row>
    <row r="833" ht="15.75" customHeight="1">
      <c r="E833" s="124"/>
      <c r="F833" s="124"/>
      <c r="G833" s="124"/>
      <c r="H833" s="124"/>
      <c r="I833" s="124"/>
      <c r="J833" s="124"/>
      <c r="K833" s="124"/>
    </row>
    <row r="834" ht="15.75" customHeight="1">
      <c r="E834" s="124"/>
      <c r="F834" s="124"/>
      <c r="G834" s="124"/>
      <c r="H834" s="124"/>
      <c r="I834" s="124"/>
      <c r="J834" s="124"/>
      <c r="K834" s="124"/>
    </row>
    <row r="835" ht="15.75" customHeight="1">
      <c r="E835" s="124"/>
      <c r="F835" s="124"/>
      <c r="G835" s="124"/>
      <c r="H835" s="124"/>
      <c r="I835" s="124"/>
      <c r="J835" s="124"/>
      <c r="K835" s="124"/>
    </row>
    <row r="836" ht="15.75" customHeight="1">
      <c r="E836" s="124"/>
      <c r="F836" s="124"/>
      <c r="G836" s="124"/>
      <c r="H836" s="124"/>
      <c r="I836" s="124"/>
      <c r="J836" s="124"/>
      <c r="K836" s="124"/>
    </row>
    <row r="837" ht="15.75" customHeight="1">
      <c r="E837" s="124"/>
      <c r="F837" s="124"/>
      <c r="G837" s="124"/>
      <c r="H837" s="124"/>
      <c r="I837" s="124"/>
      <c r="J837" s="124"/>
      <c r="K837" s="124"/>
    </row>
    <row r="838" ht="15.75" customHeight="1">
      <c r="E838" s="124"/>
      <c r="F838" s="124"/>
      <c r="G838" s="124"/>
      <c r="H838" s="124"/>
      <c r="I838" s="124"/>
      <c r="J838" s="124"/>
      <c r="K838" s="124"/>
    </row>
    <row r="839" ht="15.75" customHeight="1">
      <c r="E839" s="124"/>
      <c r="F839" s="124"/>
      <c r="G839" s="124"/>
      <c r="H839" s="124"/>
      <c r="I839" s="124"/>
      <c r="J839" s="124"/>
      <c r="K839" s="124"/>
    </row>
    <row r="840" ht="15.75" customHeight="1">
      <c r="E840" s="124"/>
      <c r="F840" s="124"/>
      <c r="G840" s="124"/>
      <c r="H840" s="124"/>
      <c r="I840" s="124"/>
      <c r="J840" s="124"/>
      <c r="K840" s="124"/>
    </row>
    <row r="841" ht="15.75" customHeight="1">
      <c r="E841" s="124"/>
      <c r="F841" s="124"/>
      <c r="G841" s="124"/>
      <c r="H841" s="124"/>
      <c r="I841" s="124"/>
      <c r="J841" s="124"/>
      <c r="K841" s="124"/>
    </row>
    <row r="842" ht="15.75" customHeight="1">
      <c r="E842" s="124"/>
      <c r="F842" s="124"/>
      <c r="G842" s="124"/>
      <c r="H842" s="124"/>
      <c r="I842" s="124"/>
      <c r="J842" s="124"/>
      <c r="K842" s="124"/>
    </row>
    <row r="843" ht="15.75" customHeight="1">
      <c r="E843" s="124"/>
      <c r="F843" s="124"/>
      <c r="G843" s="124"/>
      <c r="H843" s="124"/>
      <c r="I843" s="124"/>
      <c r="J843" s="124"/>
      <c r="K843" s="124"/>
    </row>
    <row r="844" ht="15.75" customHeight="1">
      <c r="E844" s="124"/>
      <c r="F844" s="124"/>
      <c r="G844" s="124"/>
      <c r="H844" s="124"/>
      <c r="I844" s="124"/>
      <c r="J844" s="124"/>
      <c r="K844" s="124"/>
    </row>
    <row r="845" ht="15.75" customHeight="1">
      <c r="E845" s="124"/>
      <c r="F845" s="124"/>
      <c r="G845" s="124"/>
      <c r="H845" s="124"/>
      <c r="I845" s="124"/>
      <c r="J845" s="124"/>
      <c r="K845" s="124"/>
    </row>
    <row r="846" ht="15.75" customHeight="1">
      <c r="E846" s="124"/>
      <c r="F846" s="124"/>
      <c r="G846" s="124"/>
      <c r="H846" s="124"/>
      <c r="I846" s="124"/>
      <c r="J846" s="124"/>
      <c r="K846" s="124"/>
    </row>
    <row r="847" ht="15.75" customHeight="1">
      <c r="E847" s="124"/>
      <c r="F847" s="124"/>
      <c r="G847" s="124"/>
      <c r="H847" s="124"/>
      <c r="I847" s="124"/>
      <c r="J847" s="124"/>
      <c r="K847" s="124"/>
    </row>
    <row r="848" ht="15.75" customHeight="1">
      <c r="E848" s="124"/>
      <c r="F848" s="124"/>
      <c r="G848" s="124"/>
      <c r="H848" s="124"/>
      <c r="I848" s="124"/>
      <c r="J848" s="124"/>
      <c r="K848" s="124"/>
    </row>
    <row r="849" ht="15.75" customHeight="1">
      <c r="E849" s="124"/>
      <c r="F849" s="124"/>
      <c r="G849" s="124"/>
      <c r="H849" s="124"/>
      <c r="I849" s="124"/>
      <c r="J849" s="124"/>
      <c r="K849" s="124"/>
    </row>
    <row r="850" ht="15.75" customHeight="1">
      <c r="E850" s="124"/>
      <c r="F850" s="124"/>
      <c r="G850" s="124"/>
      <c r="H850" s="124"/>
      <c r="I850" s="124"/>
      <c r="J850" s="124"/>
      <c r="K850" s="124"/>
    </row>
    <row r="851" ht="15.75" customHeight="1">
      <c r="E851" s="124"/>
      <c r="F851" s="124"/>
      <c r="G851" s="124"/>
      <c r="H851" s="124"/>
      <c r="I851" s="124"/>
      <c r="J851" s="124"/>
      <c r="K851" s="124"/>
    </row>
    <row r="852" ht="15.75" customHeight="1">
      <c r="E852" s="124"/>
      <c r="F852" s="124"/>
      <c r="G852" s="124"/>
      <c r="H852" s="124"/>
      <c r="I852" s="124"/>
      <c r="J852" s="124"/>
      <c r="K852" s="124"/>
    </row>
    <row r="853" ht="15.75" customHeight="1">
      <c r="E853" s="124"/>
      <c r="F853" s="124"/>
      <c r="G853" s="124"/>
      <c r="H853" s="124"/>
      <c r="I853" s="124"/>
      <c r="J853" s="124"/>
      <c r="K853" s="124"/>
    </row>
    <row r="854" ht="15.75" customHeight="1">
      <c r="E854" s="124"/>
      <c r="F854" s="124"/>
      <c r="G854" s="124"/>
      <c r="H854" s="124"/>
      <c r="I854" s="124"/>
      <c r="J854" s="124"/>
      <c r="K854" s="124"/>
    </row>
    <row r="855" ht="15.75" customHeight="1">
      <c r="E855" s="124"/>
      <c r="F855" s="124"/>
      <c r="G855" s="124"/>
      <c r="H855" s="124"/>
      <c r="I855" s="124"/>
      <c r="J855" s="124"/>
      <c r="K855" s="124"/>
    </row>
    <row r="856" ht="15.75" customHeight="1">
      <c r="E856" s="124"/>
      <c r="F856" s="124"/>
      <c r="G856" s="124"/>
      <c r="H856" s="124"/>
      <c r="I856" s="124"/>
      <c r="J856" s="124"/>
      <c r="K856" s="124"/>
    </row>
    <row r="857" ht="15.75" customHeight="1">
      <c r="E857" s="124"/>
      <c r="F857" s="124"/>
      <c r="G857" s="124"/>
      <c r="H857" s="124"/>
      <c r="I857" s="124"/>
      <c r="J857" s="124"/>
      <c r="K857" s="124"/>
    </row>
    <row r="858" ht="15.75" customHeight="1">
      <c r="E858" s="124"/>
      <c r="F858" s="124"/>
      <c r="G858" s="124"/>
      <c r="H858" s="124"/>
      <c r="I858" s="124"/>
      <c r="J858" s="124"/>
      <c r="K858" s="124"/>
    </row>
    <row r="859" ht="15.75" customHeight="1">
      <c r="E859" s="124"/>
      <c r="F859" s="124"/>
      <c r="G859" s="124"/>
      <c r="H859" s="124"/>
      <c r="I859" s="124"/>
      <c r="J859" s="124"/>
      <c r="K859" s="124"/>
    </row>
    <row r="860" ht="15.75" customHeight="1">
      <c r="E860" s="124"/>
      <c r="F860" s="124"/>
      <c r="G860" s="124"/>
      <c r="H860" s="124"/>
      <c r="I860" s="124"/>
      <c r="J860" s="124"/>
      <c r="K860" s="124"/>
    </row>
    <row r="861" ht="15.75" customHeight="1">
      <c r="E861" s="124"/>
      <c r="F861" s="124"/>
      <c r="G861" s="124"/>
      <c r="H861" s="124"/>
      <c r="I861" s="124"/>
      <c r="J861" s="124"/>
      <c r="K861" s="124"/>
    </row>
    <row r="862" ht="15.75" customHeight="1">
      <c r="E862" s="124"/>
      <c r="F862" s="124"/>
      <c r="G862" s="124"/>
      <c r="H862" s="124"/>
      <c r="I862" s="124"/>
      <c r="J862" s="124"/>
      <c r="K862" s="124"/>
    </row>
    <row r="863" ht="15.75" customHeight="1">
      <c r="E863" s="124"/>
      <c r="F863" s="124"/>
      <c r="G863" s="124"/>
      <c r="H863" s="124"/>
      <c r="I863" s="124"/>
      <c r="J863" s="124"/>
      <c r="K863" s="124"/>
    </row>
    <row r="864" ht="15.75" customHeight="1">
      <c r="E864" s="124"/>
      <c r="F864" s="124"/>
      <c r="G864" s="124"/>
      <c r="H864" s="124"/>
      <c r="I864" s="124"/>
      <c r="J864" s="124"/>
      <c r="K864" s="124"/>
    </row>
    <row r="865" ht="15.75" customHeight="1">
      <c r="E865" s="124"/>
      <c r="F865" s="124"/>
      <c r="G865" s="124"/>
      <c r="H865" s="124"/>
      <c r="I865" s="124"/>
      <c r="J865" s="124"/>
      <c r="K865" s="124"/>
    </row>
    <row r="866" ht="15.75" customHeight="1">
      <c r="E866" s="124"/>
      <c r="F866" s="124"/>
      <c r="G866" s="124"/>
      <c r="H866" s="124"/>
      <c r="I866" s="124"/>
      <c r="J866" s="124"/>
      <c r="K866" s="124"/>
    </row>
    <row r="867" ht="15.75" customHeight="1">
      <c r="E867" s="124"/>
      <c r="F867" s="124"/>
      <c r="G867" s="124"/>
      <c r="H867" s="124"/>
      <c r="I867" s="124"/>
      <c r="J867" s="124"/>
      <c r="K867" s="124"/>
    </row>
    <row r="868" ht="15.75" customHeight="1">
      <c r="E868" s="124"/>
      <c r="F868" s="124"/>
      <c r="G868" s="124"/>
      <c r="H868" s="124"/>
      <c r="I868" s="124"/>
      <c r="J868" s="124"/>
      <c r="K868" s="124"/>
    </row>
    <row r="869" ht="15.75" customHeight="1">
      <c r="E869" s="124"/>
      <c r="F869" s="124"/>
      <c r="G869" s="124"/>
      <c r="H869" s="124"/>
      <c r="I869" s="124"/>
      <c r="J869" s="124"/>
      <c r="K869" s="124"/>
    </row>
    <row r="870" ht="15.75" customHeight="1">
      <c r="E870" s="124"/>
      <c r="F870" s="124"/>
      <c r="G870" s="124"/>
      <c r="H870" s="124"/>
      <c r="I870" s="124"/>
      <c r="J870" s="124"/>
      <c r="K870" s="124"/>
    </row>
    <row r="871" ht="15.75" customHeight="1">
      <c r="E871" s="124"/>
      <c r="F871" s="124"/>
      <c r="G871" s="124"/>
      <c r="H871" s="124"/>
      <c r="I871" s="124"/>
      <c r="J871" s="124"/>
      <c r="K871" s="124"/>
    </row>
    <row r="872" ht="15.75" customHeight="1">
      <c r="E872" s="124"/>
      <c r="F872" s="124"/>
      <c r="G872" s="124"/>
      <c r="H872" s="124"/>
      <c r="I872" s="124"/>
      <c r="J872" s="124"/>
      <c r="K872" s="124"/>
    </row>
    <row r="873" ht="15.75" customHeight="1">
      <c r="E873" s="124"/>
      <c r="F873" s="124"/>
      <c r="G873" s="124"/>
      <c r="H873" s="124"/>
      <c r="I873" s="124"/>
      <c r="J873" s="124"/>
      <c r="K873" s="124"/>
    </row>
    <row r="874" ht="15.75" customHeight="1">
      <c r="E874" s="124"/>
      <c r="F874" s="124"/>
      <c r="G874" s="124"/>
      <c r="H874" s="124"/>
      <c r="I874" s="124"/>
      <c r="J874" s="124"/>
      <c r="K874" s="124"/>
    </row>
    <row r="875" ht="15.75" customHeight="1">
      <c r="E875" s="124"/>
      <c r="F875" s="124"/>
      <c r="G875" s="124"/>
      <c r="H875" s="124"/>
      <c r="I875" s="124"/>
      <c r="J875" s="124"/>
      <c r="K875" s="124"/>
    </row>
    <row r="876" ht="15.75" customHeight="1">
      <c r="E876" s="124"/>
      <c r="F876" s="124"/>
      <c r="G876" s="124"/>
      <c r="H876" s="124"/>
      <c r="I876" s="124"/>
      <c r="J876" s="124"/>
      <c r="K876" s="124"/>
    </row>
    <row r="877" ht="15.75" customHeight="1">
      <c r="E877" s="124"/>
      <c r="F877" s="124"/>
      <c r="G877" s="124"/>
      <c r="H877" s="124"/>
      <c r="I877" s="124"/>
      <c r="J877" s="124"/>
      <c r="K877" s="124"/>
    </row>
    <row r="878" ht="15.75" customHeight="1">
      <c r="E878" s="124"/>
      <c r="F878" s="124"/>
      <c r="G878" s="124"/>
      <c r="H878" s="124"/>
      <c r="I878" s="124"/>
      <c r="J878" s="124"/>
      <c r="K878" s="124"/>
    </row>
    <row r="879" ht="15.75" customHeight="1">
      <c r="E879" s="124"/>
      <c r="F879" s="124"/>
      <c r="G879" s="124"/>
      <c r="H879" s="124"/>
      <c r="I879" s="124"/>
      <c r="J879" s="124"/>
      <c r="K879" s="124"/>
    </row>
    <row r="880" ht="15.75" customHeight="1">
      <c r="E880" s="124"/>
      <c r="F880" s="124"/>
      <c r="G880" s="124"/>
      <c r="H880" s="124"/>
      <c r="I880" s="124"/>
      <c r="J880" s="124"/>
      <c r="K880" s="124"/>
    </row>
    <row r="881" ht="15.75" customHeight="1">
      <c r="E881" s="124"/>
      <c r="F881" s="124"/>
      <c r="G881" s="124"/>
      <c r="H881" s="124"/>
      <c r="I881" s="124"/>
      <c r="J881" s="124"/>
      <c r="K881" s="124"/>
    </row>
    <row r="882" ht="15.75" customHeight="1">
      <c r="E882" s="124"/>
      <c r="F882" s="124"/>
      <c r="G882" s="124"/>
      <c r="H882" s="124"/>
      <c r="I882" s="124"/>
      <c r="J882" s="124"/>
      <c r="K882" s="124"/>
    </row>
    <row r="883" ht="15.75" customHeight="1">
      <c r="E883" s="124"/>
      <c r="F883" s="124"/>
      <c r="G883" s="124"/>
      <c r="H883" s="124"/>
      <c r="I883" s="124"/>
      <c r="J883" s="124"/>
      <c r="K883" s="124"/>
    </row>
    <row r="884" ht="15.75" customHeight="1">
      <c r="E884" s="124"/>
      <c r="F884" s="124"/>
      <c r="G884" s="124"/>
      <c r="H884" s="124"/>
      <c r="I884" s="124"/>
      <c r="J884" s="124"/>
      <c r="K884" s="124"/>
    </row>
    <row r="885" ht="15.75" customHeight="1">
      <c r="E885" s="124"/>
      <c r="F885" s="124"/>
      <c r="G885" s="124"/>
      <c r="H885" s="124"/>
      <c r="I885" s="124"/>
      <c r="J885" s="124"/>
      <c r="K885" s="124"/>
    </row>
    <row r="886" ht="15.75" customHeight="1">
      <c r="E886" s="124"/>
      <c r="F886" s="124"/>
      <c r="G886" s="124"/>
      <c r="H886" s="124"/>
      <c r="I886" s="124"/>
      <c r="J886" s="124"/>
      <c r="K886" s="124"/>
    </row>
    <row r="887" ht="15.75" customHeight="1">
      <c r="E887" s="124"/>
      <c r="F887" s="124"/>
      <c r="G887" s="124"/>
      <c r="H887" s="124"/>
      <c r="I887" s="124"/>
      <c r="J887" s="124"/>
      <c r="K887" s="124"/>
    </row>
    <row r="888" ht="15.75" customHeight="1">
      <c r="E888" s="124"/>
      <c r="F888" s="124"/>
      <c r="G888" s="124"/>
      <c r="H888" s="124"/>
      <c r="I888" s="124"/>
      <c r="J888" s="124"/>
      <c r="K888" s="124"/>
    </row>
    <row r="889" ht="15.75" customHeight="1">
      <c r="E889" s="124"/>
      <c r="F889" s="124"/>
      <c r="G889" s="124"/>
      <c r="H889" s="124"/>
      <c r="I889" s="124"/>
      <c r="J889" s="124"/>
      <c r="K889" s="124"/>
    </row>
    <row r="890" ht="15.75" customHeight="1">
      <c r="E890" s="124"/>
      <c r="F890" s="124"/>
      <c r="G890" s="124"/>
      <c r="H890" s="124"/>
      <c r="I890" s="124"/>
      <c r="J890" s="124"/>
      <c r="K890" s="124"/>
    </row>
    <row r="891" ht="15.75" customHeight="1">
      <c r="E891" s="124"/>
      <c r="F891" s="124"/>
      <c r="G891" s="124"/>
      <c r="H891" s="124"/>
      <c r="I891" s="124"/>
      <c r="J891" s="124"/>
      <c r="K891" s="124"/>
    </row>
    <row r="892" ht="15.75" customHeight="1">
      <c r="E892" s="124"/>
      <c r="F892" s="124"/>
      <c r="G892" s="124"/>
      <c r="H892" s="124"/>
      <c r="I892" s="124"/>
      <c r="J892" s="124"/>
      <c r="K892" s="124"/>
    </row>
    <row r="893" ht="15.75" customHeight="1">
      <c r="E893" s="124"/>
      <c r="F893" s="124"/>
      <c r="G893" s="124"/>
      <c r="H893" s="124"/>
      <c r="I893" s="124"/>
      <c r="J893" s="124"/>
      <c r="K893" s="124"/>
    </row>
    <row r="894" ht="15.75" customHeight="1">
      <c r="E894" s="124"/>
      <c r="F894" s="124"/>
      <c r="G894" s="124"/>
      <c r="H894" s="124"/>
      <c r="I894" s="124"/>
      <c r="J894" s="124"/>
      <c r="K894" s="124"/>
    </row>
    <row r="895" ht="15.75" customHeight="1">
      <c r="E895" s="124"/>
      <c r="F895" s="124"/>
      <c r="G895" s="124"/>
      <c r="H895" s="124"/>
      <c r="I895" s="124"/>
      <c r="J895" s="124"/>
      <c r="K895" s="124"/>
    </row>
    <row r="896" ht="15.75" customHeight="1">
      <c r="E896" s="124"/>
      <c r="F896" s="124"/>
      <c r="G896" s="124"/>
      <c r="H896" s="124"/>
      <c r="I896" s="124"/>
      <c r="J896" s="124"/>
      <c r="K896" s="124"/>
    </row>
    <row r="897" ht="15.75" customHeight="1">
      <c r="E897" s="124"/>
      <c r="F897" s="124"/>
      <c r="G897" s="124"/>
      <c r="H897" s="124"/>
      <c r="I897" s="124"/>
      <c r="J897" s="124"/>
      <c r="K897" s="124"/>
    </row>
    <row r="898" ht="15.75" customHeight="1">
      <c r="E898" s="124"/>
      <c r="F898" s="124"/>
      <c r="G898" s="124"/>
      <c r="H898" s="124"/>
      <c r="I898" s="124"/>
      <c r="J898" s="124"/>
      <c r="K898" s="124"/>
    </row>
    <row r="899" ht="15.75" customHeight="1">
      <c r="E899" s="124"/>
      <c r="F899" s="124"/>
      <c r="G899" s="124"/>
      <c r="H899" s="124"/>
      <c r="I899" s="124"/>
      <c r="J899" s="124"/>
      <c r="K899" s="124"/>
    </row>
    <row r="900" ht="15.75" customHeight="1">
      <c r="E900" s="124"/>
      <c r="F900" s="124"/>
      <c r="G900" s="124"/>
      <c r="H900" s="124"/>
      <c r="I900" s="124"/>
      <c r="J900" s="124"/>
      <c r="K900" s="124"/>
    </row>
    <row r="901" ht="15.75" customHeight="1">
      <c r="E901" s="124"/>
      <c r="F901" s="124"/>
      <c r="G901" s="124"/>
      <c r="H901" s="124"/>
      <c r="I901" s="124"/>
      <c r="J901" s="124"/>
      <c r="K901" s="124"/>
    </row>
    <row r="902" ht="15.75" customHeight="1">
      <c r="E902" s="124"/>
      <c r="F902" s="124"/>
      <c r="G902" s="124"/>
      <c r="H902" s="124"/>
      <c r="I902" s="124"/>
      <c r="J902" s="124"/>
      <c r="K902" s="124"/>
    </row>
    <row r="903" ht="15.75" customHeight="1">
      <c r="E903" s="124"/>
      <c r="F903" s="124"/>
      <c r="G903" s="124"/>
      <c r="H903" s="124"/>
      <c r="I903" s="124"/>
      <c r="J903" s="124"/>
      <c r="K903" s="124"/>
    </row>
    <row r="904" ht="15.75" customHeight="1">
      <c r="E904" s="124"/>
      <c r="F904" s="124"/>
      <c r="G904" s="124"/>
      <c r="H904" s="124"/>
      <c r="I904" s="124"/>
      <c r="J904" s="124"/>
      <c r="K904" s="124"/>
    </row>
    <row r="905" ht="15.75" customHeight="1">
      <c r="E905" s="124"/>
      <c r="F905" s="124"/>
      <c r="G905" s="124"/>
      <c r="H905" s="124"/>
      <c r="I905" s="124"/>
      <c r="J905" s="124"/>
      <c r="K905" s="124"/>
    </row>
    <row r="906" ht="15.75" customHeight="1">
      <c r="E906" s="124"/>
      <c r="F906" s="124"/>
      <c r="G906" s="124"/>
      <c r="H906" s="124"/>
      <c r="I906" s="124"/>
      <c r="J906" s="124"/>
      <c r="K906" s="124"/>
    </row>
    <row r="907" ht="15.75" customHeight="1">
      <c r="E907" s="124"/>
      <c r="F907" s="124"/>
      <c r="G907" s="124"/>
      <c r="H907" s="124"/>
      <c r="I907" s="124"/>
      <c r="J907" s="124"/>
      <c r="K907" s="124"/>
    </row>
    <row r="908" ht="15.75" customHeight="1">
      <c r="E908" s="124"/>
      <c r="F908" s="124"/>
      <c r="G908" s="124"/>
      <c r="H908" s="124"/>
      <c r="I908" s="124"/>
      <c r="J908" s="124"/>
      <c r="K908" s="124"/>
    </row>
    <row r="909" ht="15.75" customHeight="1">
      <c r="E909" s="124"/>
      <c r="F909" s="124"/>
      <c r="G909" s="124"/>
      <c r="H909" s="124"/>
      <c r="I909" s="124"/>
      <c r="J909" s="124"/>
      <c r="K909" s="124"/>
    </row>
    <row r="910" ht="15.75" customHeight="1">
      <c r="E910" s="124"/>
      <c r="F910" s="124"/>
      <c r="G910" s="124"/>
      <c r="H910" s="124"/>
      <c r="I910" s="124"/>
      <c r="J910" s="124"/>
      <c r="K910" s="124"/>
    </row>
    <row r="911" ht="15.75" customHeight="1">
      <c r="E911" s="124"/>
      <c r="F911" s="124"/>
      <c r="G911" s="124"/>
      <c r="H911" s="124"/>
      <c r="I911" s="124"/>
      <c r="J911" s="124"/>
      <c r="K911" s="124"/>
    </row>
    <row r="912" ht="15.75" customHeight="1">
      <c r="E912" s="124"/>
      <c r="F912" s="124"/>
      <c r="G912" s="124"/>
      <c r="H912" s="124"/>
      <c r="I912" s="124"/>
      <c r="J912" s="124"/>
      <c r="K912" s="124"/>
    </row>
    <row r="913" ht="15.75" customHeight="1">
      <c r="E913" s="124"/>
      <c r="F913" s="124"/>
      <c r="G913" s="124"/>
      <c r="H913" s="124"/>
      <c r="I913" s="124"/>
      <c r="J913" s="124"/>
      <c r="K913" s="124"/>
    </row>
    <row r="914" ht="15.75" customHeight="1">
      <c r="E914" s="124"/>
      <c r="F914" s="124"/>
      <c r="G914" s="124"/>
      <c r="H914" s="124"/>
      <c r="I914" s="124"/>
      <c r="J914" s="124"/>
      <c r="K914" s="124"/>
    </row>
    <row r="915" ht="15.75" customHeight="1">
      <c r="E915" s="124"/>
      <c r="F915" s="124"/>
      <c r="G915" s="124"/>
      <c r="H915" s="124"/>
      <c r="I915" s="124"/>
      <c r="J915" s="124"/>
      <c r="K915" s="124"/>
    </row>
    <row r="916" ht="15.75" customHeight="1">
      <c r="E916" s="124"/>
      <c r="F916" s="124"/>
      <c r="G916" s="124"/>
      <c r="H916" s="124"/>
      <c r="I916" s="124"/>
      <c r="J916" s="124"/>
      <c r="K916" s="124"/>
    </row>
    <row r="917" ht="15.75" customHeight="1">
      <c r="E917" s="124"/>
      <c r="F917" s="124"/>
      <c r="G917" s="124"/>
      <c r="H917" s="124"/>
      <c r="I917" s="124"/>
      <c r="J917" s="124"/>
      <c r="K917" s="124"/>
    </row>
    <row r="918" ht="15.75" customHeight="1">
      <c r="E918" s="124"/>
      <c r="F918" s="124"/>
      <c r="G918" s="124"/>
      <c r="H918" s="124"/>
      <c r="I918" s="124"/>
      <c r="J918" s="124"/>
      <c r="K918" s="124"/>
    </row>
    <row r="919" ht="15.75" customHeight="1">
      <c r="E919" s="124"/>
      <c r="F919" s="124"/>
      <c r="G919" s="124"/>
      <c r="H919" s="124"/>
      <c r="I919" s="124"/>
      <c r="J919" s="124"/>
      <c r="K919" s="124"/>
    </row>
    <row r="920" ht="15.75" customHeight="1">
      <c r="E920" s="124"/>
      <c r="F920" s="124"/>
      <c r="G920" s="124"/>
      <c r="H920" s="124"/>
      <c r="I920" s="124"/>
      <c r="J920" s="124"/>
      <c r="K920" s="124"/>
    </row>
    <row r="921" ht="15.75" customHeight="1">
      <c r="E921" s="124"/>
      <c r="F921" s="124"/>
      <c r="G921" s="124"/>
      <c r="H921" s="124"/>
      <c r="I921" s="124"/>
      <c r="J921" s="124"/>
      <c r="K921" s="124"/>
    </row>
    <row r="922" ht="15.75" customHeight="1">
      <c r="E922" s="124"/>
      <c r="F922" s="124"/>
      <c r="G922" s="124"/>
      <c r="H922" s="124"/>
      <c r="I922" s="124"/>
      <c r="J922" s="124"/>
      <c r="K922" s="124"/>
    </row>
    <row r="923" ht="15.75" customHeight="1">
      <c r="E923" s="124"/>
      <c r="F923" s="124"/>
      <c r="G923" s="124"/>
      <c r="H923" s="124"/>
      <c r="I923" s="124"/>
      <c r="J923" s="124"/>
      <c r="K923" s="124"/>
    </row>
    <row r="924" ht="15.75" customHeight="1">
      <c r="E924" s="124"/>
      <c r="F924" s="124"/>
      <c r="G924" s="124"/>
      <c r="H924" s="124"/>
      <c r="I924" s="124"/>
      <c r="J924" s="124"/>
      <c r="K924" s="124"/>
    </row>
    <row r="925" ht="15.75" customHeight="1">
      <c r="E925" s="124"/>
      <c r="F925" s="124"/>
      <c r="G925" s="124"/>
      <c r="H925" s="124"/>
      <c r="I925" s="124"/>
      <c r="J925" s="124"/>
      <c r="K925" s="124"/>
    </row>
    <row r="926" ht="15.75" customHeight="1">
      <c r="E926" s="124"/>
      <c r="F926" s="124"/>
      <c r="G926" s="124"/>
      <c r="H926" s="124"/>
      <c r="I926" s="124"/>
      <c r="J926" s="124"/>
      <c r="K926" s="124"/>
    </row>
    <row r="927" ht="15.75" customHeight="1">
      <c r="E927" s="124"/>
      <c r="F927" s="124"/>
      <c r="G927" s="124"/>
      <c r="H927" s="124"/>
      <c r="I927" s="124"/>
      <c r="J927" s="124"/>
      <c r="K927" s="124"/>
    </row>
    <row r="928" ht="15.75" customHeight="1">
      <c r="E928" s="124"/>
      <c r="F928" s="124"/>
      <c r="G928" s="124"/>
      <c r="H928" s="124"/>
      <c r="I928" s="124"/>
      <c r="J928" s="124"/>
      <c r="K928" s="124"/>
    </row>
    <row r="929" ht="15.75" customHeight="1">
      <c r="E929" s="124"/>
      <c r="F929" s="124"/>
      <c r="G929" s="124"/>
      <c r="H929" s="124"/>
      <c r="I929" s="124"/>
      <c r="J929" s="124"/>
      <c r="K929" s="124"/>
    </row>
    <row r="930" ht="15.75" customHeight="1">
      <c r="E930" s="124"/>
      <c r="F930" s="124"/>
      <c r="G930" s="124"/>
      <c r="H930" s="124"/>
      <c r="I930" s="124"/>
      <c r="J930" s="124"/>
      <c r="K930" s="124"/>
    </row>
    <row r="931" ht="15.75" customHeight="1">
      <c r="E931" s="124"/>
      <c r="F931" s="124"/>
      <c r="G931" s="124"/>
      <c r="H931" s="124"/>
      <c r="I931" s="124"/>
      <c r="J931" s="124"/>
      <c r="K931" s="124"/>
    </row>
    <row r="932" ht="15.75" customHeight="1">
      <c r="E932" s="124"/>
      <c r="F932" s="124"/>
      <c r="G932" s="124"/>
      <c r="H932" s="124"/>
      <c r="I932" s="124"/>
      <c r="J932" s="124"/>
      <c r="K932" s="124"/>
    </row>
    <row r="933" ht="15.75" customHeight="1">
      <c r="E933" s="124"/>
      <c r="F933" s="124"/>
      <c r="G933" s="124"/>
      <c r="H933" s="124"/>
      <c r="I933" s="124"/>
      <c r="J933" s="124"/>
      <c r="K933" s="124"/>
    </row>
    <row r="934" ht="15.75" customHeight="1">
      <c r="E934" s="124"/>
      <c r="F934" s="124"/>
      <c r="G934" s="124"/>
      <c r="H934" s="124"/>
      <c r="I934" s="124"/>
      <c r="J934" s="124"/>
      <c r="K934" s="124"/>
    </row>
    <row r="935" ht="15.75" customHeight="1">
      <c r="E935" s="124"/>
      <c r="F935" s="124"/>
      <c r="G935" s="124"/>
      <c r="H935" s="124"/>
      <c r="I935" s="124"/>
      <c r="J935" s="124"/>
      <c r="K935" s="124"/>
    </row>
    <row r="936" ht="15.75" customHeight="1">
      <c r="E936" s="124"/>
      <c r="F936" s="124"/>
      <c r="G936" s="124"/>
      <c r="H936" s="124"/>
      <c r="I936" s="124"/>
      <c r="J936" s="124"/>
      <c r="K936" s="124"/>
    </row>
    <row r="937" ht="15.75" customHeight="1">
      <c r="E937" s="124"/>
      <c r="F937" s="124"/>
      <c r="G937" s="124"/>
      <c r="H937" s="124"/>
      <c r="I937" s="124"/>
      <c r="J937" s="124"/>
      <c r="K937" s="124"/>
    </row>
    <row r="938" ht="15.75" customHeight="1">
      <c r="E938" s="124"/>
      <c r="F938" s="124"/>
      <c r="G938" s="124"/>
      <c r="H938" s="124"/>
      <c r="I938" s="124"/>
      <c r="J938" s="124"/>
      <c r="K938" s="124"/>
    </row>
    <row r="939" ht="15.75" customHeight="1">
      <c r="E939" s="124"/>
      <c r="F939" s="124"/>
      <c r="G939" s="124"/>
      <c r="H939" s="124"/>
      <c r="I939" s="124"/>
      <c r="J939" s="124"/>
      <c r="K939" s="124"/>
    </row>
    <row r="940" ht="15.75" customHeight="1">
      <c r="E940" s="124"/>
      <c r="F940" s="124"/>
      <c r="G940" s="124"/>
      <c r="H940" s="124"/>
      <c r="I940" s="124"/>
      <c r="J940" s="124"/>
      <c r="K940" s="124"/>
    </row>
    <row r="941" ht="15.75" customHeight="1">
      <c r="E941" s="124"/>
      <c r="F941" s="124"/>
      <c r="G941" s="124"/>
      <c r="H941" s="124"/>
      <c r="I941" s="124"/>
      <c r="J941" s="124"/>
      <c r="K941" s="124"/>
    </row>
    <row r="942" ht="15.75" customHeight="1">
      <c r="E942" s="124"/>
      <c r="F942" s="124"/>
      <c r="G942" s="124"/>
      <c r="H942" s="124"/>
      <c r="I942" s="124"/>
      <c r="J942" s="124"/>
      <c r="K942" s="124"/>
    </row>
    <row r="943" ht="15.75" customHeight="1">
      <c r="E943" s="124"/>
      <c r="F943" s="124"/>
      <c r="G943" s="124"/>
      <c r="H943" s="124"/>
      <c r="I943" s="124"/>
      <c r="J943" s="124"/>
      <c r="K943" s="124"/>
    </row>
    <row r="944" ht="15.75" customHeight="1">
      <c r="E944" s="124"/>
      <c r="F944" s="124"/>
      <c r="G944" s="124"/>
      <c r="H944" s="124"/>
      <c r="I944" s="124"/>
      <c r="J944" s="124"/>
      <c r="K944" s="124"/>
    </row>
    <row r="945" ht="15.75" customHeight="1">
      <c r="E945" s="124"/>
      <c r="F945" s="124"/>
      <c r="G945" s="124"/>
      <c r="H945" s="124"/>
      <c r="I945" s="124"/>
      <c r="J945" s="124"/>
      <c r="K945" s="124"/>
    </row>
    <row r="946" ht="15.75" customHeight="1">
      <c r="E946" s="124"/>
      <c r="F946" s="124"/>
      <c r="G946" s="124"/>
      <c r="H946" s="124"/>
      <c r="I946" s="124"/>
      <c r="J946" s="124"/>
      <c r="K946" s="124"/>
    </row>
    <row r="947" ht="15.75" customHeight="1">
      <c r="E947" s="124"/>
      <c r="F947" s="124"/>
      <c r="G947" s="124"/>
      <c r="H947" s="124"/>
      <c r="I947" s="124"/>
      <c r="J947" s="124"/>
      <c r="K947" s="124"/>
    </row>
    <row r="948" ht="15.75" customHeight="1">
      <c r="E948" s="124"/>
      <c r="F948" s="124"/>
      <c r="G948" s="124"/>
      <c r="H948" s="124"/>
      <c r="I948" s="124"/>
      <c r="J948" s="124"/>
      <c r="K948" s="124"/>
    </row>
    <row r="949" ht="15.75" customHeight="1">
      <c r="E949" s="124"/>
      <c r="F949" s="124"/>
      <c r="G949" s="124"/>
      <c r="H949" s="124"/>
      <c r="I949" s="124"/>
      <c r="J949" s="124"/>
      <c r="K949" s="124"/>
    </row>
    <row r="950" ht="15.75" customHeight="1">
      <c r="E950" s="124"/>
      <c r="F950" s="124"/>
      <c r="G950" s="124"/>
      <c r="H950" s="124"/>
      <c r="I950" s="124"/>
      <c r="J950" s="124"/>
      <c r="K950" s="124"/>
    </row>
    <row r="951" ht="15.75" customHeight="1">
      <c r="E951" s="124"/>
      <c r="F951" s="124"/>
      <c r="G951" s="124"/>
      <c r="H951" s="124"/>
      <c r="I951" s="124"/>
      <c r="J951" s="124"/>
      <c r="K951" s="124"/>
    </row>
    <row r="952" ht="15.75" customHeight="1">
      <c r="E952" s="124"/>
      <c r="F952" s="124"/>
      <c r="G952" s="124"/>
      <c r="H952" s="124"/>
      <c r="I952" s="124"/>
      <c r="J952" s="124"/>
      <c r="K952" s="124"/>
    </row>
    <row r="953" ht="15.75" customHeight="1">
      <c r="E953" s="124"/>
      <c r="F953" s="124"/>
      <c r="G953" s="124"/>
      <c r="H953" s="124"/>
      <c r="I953" s="124"/>
      <c r="J953" s="124"/>
      <c r="K953" s="124"/>
    </row>
    <row r="954" ht="15.75" customHeight="1">
      <c r="E954" s="124"/>
      <c r="F954" s="124"/>
      <c r="G954" s="124"/>
      <c r="H954" s="124"/>
      <c r="I954" s="124"/>
      <c r="J954" s="124"/>
      <c r="K954" s="124"/>
    </row>
    <row r="955" ht="15.75" customHeight="1">
      <c r="E955" s="124"/>
      <c r="F955" s="124"/>
      <c r="G955" s="124"/>
      <c r="H955" s="124"/>
      <c r="I955" s="124"/>
      <c r="J955" s="124"/>
      <c r="K955" s="124"/>
    </row>
    <row r="956" ht="15.75" customHeight="1">
      <c r="E956" s="124"/>
      <c r="F956" s="124"/>
      <c r="G956" s="124"/>
      <c r="H956" s="124"/>
      <c r="I956" s="124"/>
      <c r="J956" s="124"/>
      <c r="K956" s="124"/>
    </row>
    <row r="957" ht="15.75" customHeight="1">
      <c r="E957" s="124"/>
      <c r="F957" s="124"/>
      <c r="G957" s="124"/>
      <c r="H957" s="124"/>
      <c r="I957" s="124"/>
      <c r="J957" s="124"/>
      <c r="K957" s="124"/>
    </row>
    <row r="958" ht="15.75" customHeight="1">
      <c r="E958" s="124"/>
      <c r="F958" s="124"/>
      <c r="G958" s="124"/>
      <c r="H958" s="124"/>
      <c r="I958" s="124"/>
      <c r="J958" s="124"/>
      <c r="K958" s="124"/>
    </row>
    <row r="959" ht="15.75" customHeight="1">
      <c r="E959" s="124"/>
      <c r="F959" s="124"/>
      <c r="G959" s="124"/>
      <c r="H959" s="124"/>
      <c r="I959" s="124"/>
      <c r="J959" s="124"/>
      <c r="K959" s="124"/>
    </row>
    <row r="960" ht="15.75" customHeight="1">
      <c r="E960" s="124"/>
      <c r="F960" s="124"/>
      <c r="G960" s="124"/>
      <c r="H960" s="124"/>
      <c r="I960" s="124"/>
      <c r="J960" s="124"/>
      <c r="K960" s="124"/>
    </row>
    <row r="961" ht="15.75" customHeight="1">
      <c r="E961" s="124"/>
      <c r="F961" s="124"/>
      <c r="G961" s="124"/>
      <c r="H961" s="124"/>
      <c r="I961" s="124"/>
      <c r="J961" s="124"/>
      <c r="K961" s="124"/>
    </row>
    <row r="962" ht="15.75" customHeight="1">
      <c r="E962" s="124"/>
      <c r="F962" s="124"/>
      <c r="G962" s="124"/>
      <c r="H962" s="124"/>
      <c r="I962" s="124"/>
      <c r="J962" s="124"/>
      <c r="K962" s="124"/>
    </row>
    <row r="963" ht="15.75" customHeight="1">
      <c r="E963" s="124"/>
      <c r="F963" s="124"/>
      <c r="G963" s="124"/>
      <c r="H963" s="124"/>
      <c r="I963" s="124"/>
      <c r="J963" s="124"/>
      <c r="K963" s="124"/>
    </row>
    <row r="964" ht="15.75" customHeight="1">
      <c r="E964" s="124"/>
      <c r="F964" s="124"/>
      <c r="G964" s="124"/>
      <c r="H964" s="124"/>
      <c r="I964" s="124"/>
      <c r="J964" s="124"/>
      <c r="K964" s="124"/>
    </row>
    <row r="965" ht="15.75" customHeight="1">
      <c r="E965" s="124"/>
      <c r="F965" s="124"/>
      <c r="G965" s="124"/>
      <c r="H965" s="124"/>
      <c r="I965" s="124"/>
      <c r="J965" s="124"/>
      <c r="K965" s="124"/>
    </row>
    <row r="966" ht="15.75" customHeight="1">
      <c r="E966" s="124"/>
      <c r="F966" s="124"/>
      <c r="G966" s="124"/>
      <c r="H966" s="124"/>
      <c r="I966" s="124"/>
      <c r="J966" s="124"/>
      <c r="K966" s="124"/>
    </row>
    <row r="967" ht="15.75" customHeight="1">
      <c r="E967" s="124"/>
      <c r="F967" s="124"/>
      <c r="G967" s="124"/>
      <c r="H967" s="124"/>
      <c r="I967" s="124"/>
      <c r="J967" s="124"/>
      <c r="K967" s="124"/>
    </row>
    <row r="968" ht="15.75" customHeight="1">
      <c r="E968" s="124"/>
      <c r="F968" s="124"/>
      <c r="G968" s="124"/>
      <c r="H968" s="124"/>
      <c r="I968" s="124"/>
      <c r="J968" s="124"/>
      <c r="K968" s="124"/>
    </row>
    <row r="969" ht="15.75" customHeight="1">
      <c r="E969" s="124"/>
      <c r="F969" s="124"/>
      <c r="G969" s="124"/>
      <c r="H969" s="124"/>
      <c r="I969" s="124"/>
      <c r="J969" s="124"/>
      <c r="K969" s="124"/>
    </row>
    <row r="970" ht="15.75" customHeight="1">
      <c r="E970" s="124"/>
      <c r="F970" s="124"/>
      <c r="G970" s="124"/>
      <c r="H970" s="124"/>
      <c r="I970" s="124"/>
      <c r="J970" s="124"/>
      <c r="K970" s="124"/>
    </row>
    <row r="971" ht="15.75" customHeight="1">
      <c r="E971" s="124"/>
      <c r="F971" s="124"/>
      <c r="G971" s="124"/>
      <c r="H971" s="124"/>
      <c r="I971" s="124"/>
      <c r="J971" s="124"/>
      <c r="K971" s="124"/>
    </row>
    <row r="972" ht="15.75" customHeight="1">
      <c r="E972" s="124"/>
      <c r="F972" s="124"/>
      <c r="G972" s="124"/>
      <c r="H972" s="124"/>
      <c r="I972" s="124"/>
      <c r="J972" s="124"/>
      <c r="K972" s="124"/>
    </row>
    <row r="973" ht="15.75" customHeight="1">
      <c r="E973" s="124"/>
      <c r="F973" s="124"/>
      <c r="G973" s="124"/>
      <c r="H973" s="124"/>
      <c r="I973" s="124"/>
      <c r="J973" s="124"/>
      <c r="K973" s="124"/>
    </row>
    <row r="974" ht="15.75" customHeight="1">
      <c r="E974" s="124"/>
      <c r="F974" s="124"/>
      <c r="G974" s="124"/>
      <c r="H974" s="124"/>
      <c r="I974" s="124"/>
      <c r="J974" s="124"/>
      <c r="K974" s="124"/>
    </row>
    <row r="975" ht="15.75" customHeight="1">
      <c r="E975" s="124"/>
      <c r="F975" s="124"/>
      <c r="G975" s="124"/>
      <c r="H975" s="124"/>
      <c r="I975" s="124"/>
      <c r="J975" s="124"/>
      <c r="K975" s="124"/>
    </row>
    <row r="976" ht="15.75" customHeight="1">
      <c r="E976" s="124"/>
      <c r="F976" s="124"/>
      <c r="G976" s="124"/>
      <c r="H976" s="124"/>
      <c r="I976" s="124"/>
      <c r="J976" s="124"/>
      <c r="K976" s="124"/>
    </row>
    <row r="977" ht="15.75" customHeight="1">
      <c r="E977" s="124"/>
      <c r="F977" s="124"/>
      <c r="G977" s="124"/>
      <c r="H977" s="124"/>
      <c r="I977" s="124"/>
      <c r="J977" s="124"/>
      <c r="K977" s="124"/>
    </row>
    <row r="978" ht="15.75" customHeight="1">
      <c r="E978" s="124"/>
      <c r="F978" s="124"/>
      <c r="G978" s="124"/>
      <c r="H978" s="124"/>
      <c r="I978" s="124"/>
      <c r="J978" s="124"/>
      <c r="K978" s="124"/>
    </row>
    <row r="979" ht="15.75" customHeight="1">
      <c r="E979" s="124"/>
      <c r="F979" s="124"/>
      <c r="G979" s="124"/>
      <c r="H979" s="124"/>
      <c r="I979" s="124"/>
      <c r="J979" s="124"/>
      <c r="K979" s="124"/>
    </row>
    <row r="980" ht="15.75" customHeight="1">
      <c r="E980" s="124"/>
      <c r="F980" s="124"/>
      <c r="G980" s="124"/>
      <c r="H980" s="124"/>
      <c r="I980" s="124"/>
      <c r="J980" s="124"/>
      <c r="K980" s="124"/>
    </row>
    <row r="981" ht="15.75" customHeight="1">
      <c r="E981" s="124"/>
      <c r="F981" s="124"/>
      <c r="G981" s="124"/>
      <c r="H981" s="124"/>
      <c r="I981" s="124"/>
      <c r="J981" s="124"/>
      <c r="K981" s="124"/>
    </row>
    <row r="982" ht="15.75" customHeight="1">
      <c r="E982" s="124"/>
      <c r="F982" s="124"/>
      <c r="G982" s="124"/>
      <c r="H982" s="124"/>
      <c r="I982" s="124"/>
      <c r="J982" s="124"/>
      <c r="K982" s="124"/>
    </row>
    <row r="983" ht="15.75" customHeight="1">
      <c r="E983" s="124"/>
      <c r="F983" s="124"/>
      <c r="G983" s="124"/>
      <c r="H983" s="124"/>
      <c r="I983" s="124"/>
      <c r="J983" s="124"/>
      <c r="K983" s="124"/>
    </row>
    <row r="984" ht="15.75" customHeight="1">
      <c r="E984" s="124"/>
      <c r="F984" s="124"/>
      <c r="G984" s="124"/>
      <c r="H984" s="124"/>
      <c r="I984" s="124"/>
      <c r="J984" s="124"/>
      <c r="K984" s="124"/>
    </row>
    <row r="985" ht="15.75" customHeight="1">
      <c r="E985" s="124"/>
      <c r="F985" s="124"/>
      <c r="G985" s="124"/>
      <c r="H985" s="124"/>
      <c r="I985" s="124"/>
      <c r="J985" s="124"/>
      <c r="K985" s="124"/>
    </row>
    <row r="986" ht="15.75" customHeight="1">
      <c r="E986" s="124"/>
      <c r="F986" s="124"/>
      <c r="G986" s="124"/>
      <c r="H986" s="124"/>
      <c r="I986" s="124"/>
      <c r="J986" s="124"/>
      <c r="K986" s="124"/>
    </row>
    <row r="987" ht="15.75" customHeight="1">
      <c r="E987" s="124"/>
      <c r="F987" s="124"/>
      <c r="G987" s="124"/>
      <c r="H987" s="124"/>
      <c r="I987" s="124"/>
      <c r="J987" s="124"/>
      <c r="K987" s="124"/>
    </row>
    <row r="988" ht="15.75" customHeight="1">
      <c r="E988" s="124"/>
      <c r="F988" s="124"/>
      <c r="G988" s="124"/>
      <c r="H988" s="124"/>
      <c r="I988" s="124"/>
      <c r="J988" s="124"/>
      <c r="K988" s="124"/>
    </row>
    <row r="989" ht="15.75" customHeight="1">
      <c r="E989" s="124"/>
      <c r="F989" s="124"/>
      <c r="G989" s="124"/>
      <c r="H989" s="124"/>
      <c r="I989" s="124"/>
      <c r="J989" s="124"/>
      <c r="K989" s="124"/>
    </row>
    <row r="990" ht="15.75" customHeight="1">
      <c r="E990" s="124"/>
      <c r="F990" s="124"/>
      <c r="G990" s="124"/>
      <c r="H990" s="124"/>
      <c r="I990" s="124"/>
      <c r="J990" s="124"/>
      <c r="K990" s="124"/>
    </row>
    <row r="991" ht="15.75" customHeight="1">
      <c r="E991" s="124"/>
      <c r="F991" s="124"/>
      <c r="G991" s="124"/>
      <c r="H991" s="124"/>
      <c r="I991" s="124"/>
      <c r="J991" s="124"/>
      <c r="K991" s="124"/>
    </row>
    <row r="992" ht="15.75" customHeight="1">
      <c r="E992" s="124"/>
      <c r="F992" s="124"/>
      <c r="G992" s="124"/>
      <c r="H992" s="124"/>
      <c r="I992" s="124"/>
      <c r="J992" s="124"/>
      <c r="K992" s="124"/>
    </row>
    <row r="993" ht="15.75" customHeight="1">
      <c r="E993" s="124"/>
      <c r="F993" s="124"/>
      <c r="G993" s="124"/>
      <c r="H993" s="124"/>
      <c r="I993" s="124"/>
      <c r="J993" s="124"/>
      <c r="K993" s="124"/>
    </row>
    <row r="994" ht="15.75" customHeight="1">
      <c r="E994" s="124"/>
      <c r="F994" s="124"/>
      <c r="G994" s="124"/>
      <c r="H994" s="124"/>
      <c r="I994" s="124"/>
      <c r="J994" s="124"/>
      <c r="K994" s="124"/>
    </row>
    <row r="995" ht="15.75" customHeight="1">
      <c r="E995" s="124"/>
      <c r="F995" s="124"/>
      <c r="G995" s="124"/>
      <c r="H995" s="124"/>
      <c r="I995" s="124"/>
      <c r="J995" s="124"/>
      <c r="K995" s="124"/>
    </row>
    <row r="996" ht="15.75" customHeight="1">
      <c r="E996" s="124"/>
      <c r="F996" s="124"/>
      <c r="G996" s="124"/>
      <c r="H996" s="124"/>
      <c r="I996" s="124"/>
      <c r="J996" s="124"/>
      <c r="K996" s="124"/>
    </row>
    <row r="997" ht="15.75" customHeight="1">
      <c r="E997" s="124"/>
      <c r="F997" s="124"/>
      <c r="G997" s="124"/>
      <c r="H997" s="124"/>
      <c r="I997" s="124"/>
      <c r="J997" s="124"/>
      <c r="K997" s="124"/>
    </row>
    <row r="998" ht="15.75" customHeight="1">
      <c r="E998" s="124"/>
      <c r="F998" s="124"/>
      <c r="G998" s="124"/>
      <c r="H998" s="124"/>
      <c r="I998" s="124"/>
      <c r="J998" s="124"/>
      <c r="K998" s="124"/>
    </row>
    <row r="999" ht="15.75" customHeight="1">
      <c r="E999" s="124"/>
      <c r="F999" s="124"/>
      <c r="G999" s="124"/>
      <c r="H999" s="124"/>
      <c r="I999" s="124"/>
      <c r="J999" s="124"/>
      <c r="K999" s="124"/>
    </row>
    <row r="1000" ht="15.75" customHeight="1">
      <c r="E1000" s="124"/>
      <c r="F1000" s="124"/>
      <c r="G1000" s="124"/>
      <c r="H1000" s="124"/>
      <c r="I1000" s="124"/>
      <c r="J1000" s="124"/>
      <c r="K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65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12.11"/>
    <col customWidth="1" min="3" max="4" width="9.11"/>
    <col customWidth="1" min="5" max="5" width="15.44"/>
    <col customWidth="1" min="6" max="6" width="12.44"/>
    <col customWidth="1" min="7" max="7" width="10.78"/>
    <col customWidth="1" min="8" max="8" width="16.78"/>
    <col customWidth="1" min="9" max="9" width="10.0"/>
    <col customWidth="1" min="10" max="10" width="10.78"/>
    <col customWidth="1" min="11" max="11" width="17.33"/>
    <col customWidth="1" min="12" max="12" width="12.22"/>
    <col customWidth="1" min="13" max="13" width="13.22"/>
    <col customWidth="1" min="14" max="26" width="8.56"/>
  </cols>
  <sheetData>
    <row r="1" ht="15.75" customHeight="1">
      <c r="A1" s="179" t="s">
        <v>102</v>
      </c>
    </row>
    <row r="2" ht="15.75" customHeight="1">
      <c r="A2" s="180" t="s">
        <v>74</v>
      </c>
      <c r="B2" s="183"/>
      <c r="E2" s="182"/>
      <c r="F2" s="182"/>
      <c r="G2" s="182"/>
      <c r="H2" s="182"/>
      <c r="I2" s="184"/>
      <c r="J2" s="184"/>
      <c r="K2" s="342" t="s">
        <v>65</v>
      </c>
    </row>
    <row r="3" ht="15.75" customHeight="1">
      <c r="A3" s="260" t="s">
        <v>2</v>
      </c>
      <c r="B3" s="260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197" t="s">
        <v>69</v>
      </c>
      <c r="J4" s="197" t="s">
        <v>70</v>
      </c>
      <c r="K4" s="197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'Yakin Pasifik Tuna'!B5</f>
        <v>45137</v>
      </c>
      <c r="C5" s="320">
        <f>'Yakin Pasifik Tuna'!H5</f>
        <v>92</v>
      </c>
      <c r="D5" s="239">
        <f>'Yakin Pasifik Tuna'!X5</f>
        <v>10442.54944</v>
      </c>
      <c r="E5" s="239">
        <f t="shared" ref="E5:E8" si="2">D5*C5</f>
        <v>960714.5487</v>
      </c>
      <c r="F5" s="239"/>
      <c r="G5" s="239"/>
      <c r="H5" s="239"/>
      <c r="I5" s="245">
        <f t="shared" ref="I5:J5" si="1">C5</f>
        <v>92</v>
      </c>
      <c r="J5" s="245">
        <f t="shared" si="1"/>
        <v>10442.54944</v>
      </c>
      <c r="K5" s="245">
        <f>I5*J5</f>
        <v>960714.5487</v>
      </c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'Yakin Pasifik Tuna'!B6</f>
        <v>45138</v>
      </c>
      <c r="C6" s="320">
        <f>'Yakin Pasifik Tuna'!H6</f>
        <v>628</v>
      </c>
      <c r="D6" s="239">
        <f>'Yakin Pasifik Tuna'!X6</f>
        <v>10442.5642</v>
      </c>
      <c r="E6" s="239">
        <f t="shared" si="2"/>
        <v>6557930.319</v>
      </c>
      <c r="F6" s="239"/>
      <c r="G6" s="239"/>
      <c r="H6" s="239"/>
      <c r="I6" s="245">
        <f t="shared" ref="I6:I8" si="3">I5+C6</f>
        <v>720</v>
      </c>
      <c r="J6" s="245">
        <f t="shared" ref="J6:J8" si="4">K6/I6</f>
        <v>10442.56232</v>
      </c>
      <c r="K6" s="245">
        <f t="shared" ref="K6:K8" si="5">K5+E6</f>
        <v>7518644.868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'Yakin Pasifik Tuna'!B7</f>
        <v>45139</v>
      </c>
      <c r="C7" s="320">
        <f>'Yakin Pasifik Tuna'!H7</f>
        <v>451</v>
      </c>
      <c r="D7" s="239">
        <f>'Yakin Pasifik Tuna'!X7</f>
        <v>10444.96644</v>
      </c>
      <c r="E7" s="239">
        <f t="shared" si="2"/>
        <v>4710679.866</v>
      </c>
      <c r="F7" s="239"/>
      <c r="G7" s="239"/>
      <c r="H7" s="239"/>
      <c r="I7" s="245">
        <f t="shared" si="3"/>
        <v>1171</v>
      </c>
      <c r="J7" s="245">
        <f t="shared" si="4"/>
        <v>10443.48824</v>
      </c>
      <c r="K7" s="245">
        <f t="shared" si="5"/>
        <v>12229324.73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'Yakin Pasifik Tuna'!B8</f>
        <v>45149</v>
      </c>
      <c r="C8" s="320">
        <f>'Yakin Pasifik Tuna'!H8</f>
        <v>838</v>
      </c>
      <c r="D8" s="239">
        <f>'Yakin Pasifik Tuna'!X8</f>
        <v>10495.01861</v>
      </c>
      <c r="E8" s="239">
        <f t="shared" si="2"/>
        <v>8794825.598</v>
      </c>
      <c r="F8" s="239"/>
      <c r="G8" s="239"/>
      <c r="H8" s="239"/>
      <c r="I8" s="245">
        <f t="shared" si="3"/>
        <v>2009</v>
      </c>
      <c r="J8" s="245">
        <f t="shared" si="4"/>
        <v>10464.98274</v>
      </c>
      <c r="K8" s="245">
        <f t="shared" si="5"/>
        <v>21024150.33</v>
      </c>
      <c r="L8" s="207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208">
        <v>5.0</v>
      </c>
      <c r="B9" s="209">
        <v>45154.0</v>
      </c>
      <c r="C9" s="321"/>
      <c r="D9" s="240"/>
      <c r="E9" s="240"/>
      <c r="F9" s="240">
        <v>1545.1</v>
      </c>
      <c r="G9" s="240">
        <f>J8</f>
        <v>10464.98274</v>
      </c>
      <c r="H9" s="240">
        <f>F9*G9</f>
        <v>16169444.84</v>
      </c>
      <c r="I9" s="242">
        <f>I8-F9</f>
        <v>463.9</v>
      </c>
      <c r="J9" s="242">
        <f>J8</f>
        <v>10464.98274</v>
      </c>
      <c r="K9" s="242">
        <f>K8-H9</f>
        <v>4854705.495</v>
      </c>
      <c r="L9" s="322"/>
      <c r="M9" s="322"/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199">
        <v>6.0</v>
      </c>
      <c r="B10" s="200">
        <f>'Yakin Pasifik Tuna'!B9</f>
        <v>45165</v>
      </c>
      <c r="C10" s="320">
        <f>'Yakin Pasifik Tuna'!H9</f>
        <v>824</v>
      </c>
      <c r="D10" s="239">
        <f>'Yakin Pasifik Tuna'!X9</f>
        <v>10442.79048</v>
      </c>
      <c r="E10" s="239">
        <f t="shared" ref="E10:E42" si="6">D10*C10</f>
        <v>8604859.356</v>
      </c>
      <c r="F10" s="239"/>
      <c r="G10" s="239"/>
      <c r="H10" s="239"/>
      <c r="I10" s="245">
        <f t="shared" ref="I10:I16" si="7">I9+C10</f>
        <v>1287.9</v>
      </c>
      <c r="J10" s="245">
        <f t="shared" ref="J10:J45" si="8">K10/I10</f>
        <v>10450.78411</v>
      </c>
      <c r="K10" s="245">
        <f t="shared" ref="K10:K16" si="9">K9+E10</f>
        <v>13459564.85</v>
      </c>
      <c r="L10" s="182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200">
        <f>'Yakin Pasifik Tuna'!B10</f>
        <v>45167</v>
      </c>
      <c r="C11" s="320">
        <f>'Yakin Pasifik Tuna'!H10</f>
        <v>183</v>
      </c>
      <c r="D11" s="239">
        <f>'Yakin Pasifik Tuna'!X10</f>
        <v>10441.59292</v>
      </c>
      <c r="E11" s="239">
        <f t="shared" si="6"/>
        <v>1910811.504</v>
      </c>
      <c r="F11" s="239"/>
      <c r="G11" s="239"/>
      <c r="H11" s="239"/>
      <c r="I11" s="245">
        <f t="shared" si="7"/>
        <v>1470.9</v>
      </c>
      <c r="J11" s="245">
        <f t="shared" si="8"/>
        <v>10449.6406</v>
      </c>
      <c r="K11" s="245">
        <f t="shared" si="9"/>
        <v>15370376.36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200">
        <f>'Yakin Pasifik Tuna'!B11</f>
        <v>45169</v>
      </c>
      <c r="C12" s="320">
        <f>'Yakin Pasifik Tuna'!H11</f>
        <v>287</v>
      </c>
      <c r="D12" s="239">
        <f>'Yakin Pasifik Tuna'!X11</f>
        <v>10442.37701</v>
      </c>
      <c r="E12" s="239">
        <f t="shared" si="6"/>
        <v>2996962.202</v>
      </c>
      <c r="F12" s="239"/>
      <c r="G12" s="239"/>
      <c r="H12" s="239"/>
      <c r="I12" s="245">
        <f t="shared" si="7"/>
        <v>1757.9</v>
      </c>
      <c r="J12" s="245">
        <f t="shared" si="8"/>
        <v>10448.45472</v>
      </c>
      <c r="K12" s="245">
        <f t="shared" si="9"/>
        <v>18367338.56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325">
        <f>'Yakin Pasifik Tuna'!B14</f>
        <v>45170</v>
      </c>
      <c r="C13" s="237">
        <f>'Yakin Pasifik Tuna'!H14</f>
        <v>1359</v>
      </c>
      <c r="D13" s="237">
        <f>'Yakin Pasifik Tuna'!X14</f>
        <v>10442.78532</v>
      </c>
      <c r="E13" s="239">
        <f t="shared" si="6"/>
        <v>14191745.25</v>
      </c>
      <c r="F13" s="237"/>
      <c r="G13" s="237"/>
      <c r="H13" s="237"/>
      <c r="I13" s="245">
        <f t="shared" si="7"/>
        <v>3116.9</v>
      </c>
      <c r="J13" s="245">
        <f t="shared" si="8"/>
        <v>10445.98281</v>
      </c>
      <c r="K13" s="245">
        <f t="shared" si="9"/>
        <v>32559083.81</v>
      </c>
    </row>
    <row r="14" ht="15.75" customHeight="1">
      <c r="A14" s="199">
        <v>10.0</v>
      </c>
      <c r="B14" s="325">
        <f>'Yakin Pasifik Tuna'!B15</f>
        <v>45171</v>
      </c>
      <c r="C14" s="237">
        <f>'Yakin Pasifik Tuna'!H15</f>
        <v>446</v>
      </c>
      <c r="D14" s="237">
        <f>'Yakin Pasifik Tuna'!X15</f>
        <v>10442.8081</v>
      </c>
      <c r="E14" s="239">
        <f t="shared" si="6"/>
        <v>4657492.413</v>
      </c>
      <c r="F14" s="237"/>
      <c r="G14" s="237"/>
      <c r="H14" s="237"/>
      <c r="I14" s="245">
        <f t="shared" si="7"/>
        <v>3562.9</v>
      </c>
      <c r="J14" s="245">
        <f t="shared" si="8"/>
        <v>10445.5854</v>
      </c>
      <c r="K14" s="245">
        <f t="shared" si="9"/>
        <v>37216576.22</v>
      </c>
    </row>
    <row r="15" ht="15.75" customHeight="1">
      <c r="A15" s="199">
        <v>11.0</v>
      </c>
      <c r="B15" s="325">
        <f>'Yakin Pasifik Tuna'!B16</f>
        <v>45172</v>
      </c>
      <c r="C15" s="237">
        <f>'Yakin Pasifik Tuna'!H16</f>
        <v>41</v>
      </c>
      <c r="D15" s="237">
        <f>'Yakin Pasifik Tuna'!X16</f>
        <v>10444.92754</v>
      </c>
      <c r="E15" s="239">
        <f t="shared" si="6"/>
        <v>428242.029</v>
      </c>
      <c r="F15" s="237"/>
      <c r="G15" s="237"/>
      <c r="H15" s="237"/>
      <c r="I15" s="245">
        <f t="shared" si="7"/>
        <v>3603.9</v>
      </c>
      <c r="J15" s="245">
        <f t="shared" si="8"/>
        <v>10445.57792</v>
      </c>
      <c r="K15" s="245">
        <f t="shared" si="9"/>
        <v>37644818.25</v>
      </c>
    </row>
    <row r="16" ht="15.75" customHeight="1">
      <c r="A16" s="199">
        <v>12.0</v>
      </c>
      <c r="B16" s="325">
        <f>'Yakin Pasifik Tuna'!B17</f>
        <v>45173</v>
      </c>
      <c r="C16" s="237">
        <f>'Yakin Pasifik Tuna'!H17</f>
        <v>1222</v>
      </c>
      <c r="D16" s="237">
        <f>'Yakin Pasifik Tuna'!X17</f>
        <v>10442.36879</v>
      </c>
      <c r="E16" s="239">
        <f t="shared" si="6"/>
        <v>12760574.66</v>
      </c>
      <c r="F16" s="237"/>
      <c r="G16" s="237"/>
      <c r="H16" s="237"/>
      <c r="I16" s="245">
        <f t="shared" si="7"/>
        <v>4825.9</v>
      </c>
      <c r="J16" s="245">
        <f t="shared" si="8"/>
        <v>10444.76531</v>
      </c>
      <c r="K16" s="245">
        <f t="shared" si="9"/>
        <v>50405392.91</v>
      </c>
    </row>
    <row r="17" ht="15.75" customHeight="1">
      <c r="A17" s="208">
        <v>13.0</v>
      </c>
      <c r="B17" s="326">
        <v>45178.0</v>
      </c>
      <c r="C17" s="228"/>
      <c r="D17" s="228"/>
      <c r="E17" s="240">
        <f t="shared" si="6"/>
        <v>0</v>
      </c>
      <c r="F17" s="248">
        <v>3120.0</v>
      </c>
      <c r="G17" s="248">
        <f t="shared" ref="G17:G18" si="10">J16</f>
        <v>10444.76531</v>
      </c>
      <c r="H17" s="248">
        <f t="shared" ref="H17:H18" si="11">F17*G17</f>
        <v>32587667.77</v>
      </c>
      <c r="I17" s="248">
        <f t="shared" ref="I17:I18" si="12">I16-F17</f>
        <v>1705.9</v>
      </c>
      <c r="J17" s="248">
        <f t="shared" si="8"/>
        <v>10444.76531</v>
      </c>
      <c r="K17" s="248">
        <f t="shared" ref="K17:K18" si="13">K16-H17</f>
        <v>17817725.14</v>
      </c>
      <c r="L17" s="218"/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ht="15.75" customHeight="1">
      <c r="A18" s="208">
        <v>14.0</v>
      </c>
      <c r="B18" s="326">
        <v>45191.0</v>
      </c>
      <c r="C18" s="228"/>
      <c r="D18" s="228"/>
      <c r="E18" s="240">
        <f t="shared" si="6"/>
        <v>0</v>
      </c>
      <c r="F18" s="248">
        <v>1161.9</v>
      </c>
      <c r="G18" s="248">
        <f t="shared" si="10"/>
        <v>10444.76531</v>
      </c>
      <c r="H18" s="248">
        <f t="shared" si="11"/>
        <v>12135772.81</v>
      </c>
      <c r="I18" s="248">
        <f t="shared" si="12"/>
        <v>544</v>
      </c>
      <c r="J18" s="248">
        <f t="shared" si="8"/>
        <v>10444.76531</v>
      </c>
      <c r="K18" s="248">
        <f t="shared" si="13"/>
        <v>5681952.329</v>
      </c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199">
        <v>15.0</v>
      </c>
      <c r="B19" s="325">
        <f>'Yakin Pasifik Tuna'!B18</f>
        <v>45195</v>
      </c>
      <c r="C19" s="249">
        <f>'Yakin Pasifik Tuna'!H18</f>
        <v>1172</v>
      </c>
      <c r="D19" s="237">
        <f>'Yakin Pasifik Tuna'!X18</f>
        <v>10442.71357</v>
      </c>
      <c r="E19" s="239">
        <f t="shared" si="6"/>
        <v>12238860.3</v>
      </c>
      <c r="F19" s="237"/>
      <c r="G19" s="237"/>
      <c r="H19" s="237"/>
      <c r="I19" s="237">
        <f t="shared" ref="I19:I30" si="14">I18+C19</f>
        <v>1716</v>
      </c>
      <c r="J19" s="237">
        <f t="shared" si="8"/>
        <v>10443.364</v>
      </c>
      <c r="K19" s="237">
        <f t="shared" ref="K19:K30" si="15">K18+E19</f>
        <v>17920812.63</v>
      </c>
    </row>
    <row r="20" ht="15.75" customHeight="1">
      <c r="A20" s="199">
        <v>16.0</v>
      </c>
      <c r="B20" s="325">
        <f>'Yakin Pasifik Tuna'!B19</f>
        <v>45197</v>
      </c>
      <c r="C20" s="249">
        <f>'Yakin Pasifik Tuna'!H19</f>
        <v>239</v>
      </c>
      <c r="D20" s="237">
        <f>'Yakin Pasifik Tuna'!X19</f>
        <v>10442.11886</v>
      </c>
      <c r="E20" s="239">
        <f t="shared" si="6"/>
        <v>2495666.408</v>
      </c>
      <c r="F20" s="237"/>
      <c r="G20" s="237"/>
      <c r="H20" s="237"/>
      <c r="I20" s="237">
        <f t="shared" si="14"/>
        <v>1955</v>
      </c>
      <c r="J20" s="237">
        <f t="shared" si="8"/>
        <v>10443.21178</v>
      </c>
      <c r="K20" s="237">
        <f t="shared" si="15"/>
        <v>20416479.04</v>
      </c>
    </row>
    <row r="21" ht="15.75" customHeight="1">
      <c r="A21" s="199">
        <v>17.0</v>
      </c>
      <c r="B21" s="325">
        <f>'Yakin Pasifik Tuna'!B20</f>
        <v>45199</v>
      </c>
      <c r="C21" s="249">
        <f>'Yakin Pasifik Tuna'!H20</f>
        <v>1019</v>
      </c>
      <c r="D21" s="237">
        <f>'Yakin Pasifik Tuna'!X20</f>
        <v>10443.16305</v>
      </c>
      <c r="E21" s="239">
        <f t="shared" si="6"/>
        <v>10641583.14</v>
      </c>
      <c r="F21" s="237"/>
      <c r="G21" s="237"/>
      <c r="H21" s="237"/>
      <c r="I21" s="237">
        <f t="shared" si="14"/>
        <v>2974</v>
      </c>
      <c r="J21" s="237">
        <f t="shared" si="8"/>
        <v>10443.19509</v>
      </c>
      <c r="K21" s="237">
        <f t="shared" si="15"/>
        <v>31058062.18</v>
      </c>
      <c r="L21" s="124">
        <f>SUM(H17:H18)</f>
        <v>44723440.58</v>
      </c>
      <c r="M21" s="124">
        <f>L21+'Persediaan &amp; HPP Ca A-B YPT'!L21+'Persediaan &amp; HPP Cakalang PP'!L54+'Persediaan &amp; HPP Cakalang A-B'!L59</f>
        <v>394257163.8</v>
      </c>
    </row>
    <row r="22" ht="15.75" customHeight="1">
      <c r="A22" s="199">
        <v>18.0</v>
      </c>
      <c r="B22" s="126">
        <v>45200.0</v>
      </c>
      <c r="C22" s="237">
        <f>'Yakin Pasifik Tuna'!H23</f>
        <v>332</v>
      </c>
      <c r="D22" s="237">
        <f>'Yakin Pasifik Tuna'!X23</f>
        <v>10441.53328</v>
      </c>
      <c r="E22" s="239">
        <f t="shared" si="6"/>
        <v>3466589.048</v>
      </c>
      <c r="F22" s="237"/>
      <c r="G22" s="237"/>
      <c r="H22" s="237"/>
      <c r="I22" s="237">
        <f t="shared" si="14"/>
        <v>3306</v>
      </c>
      <c r="J22" s="237">
        <f t="shared" si="8"/>
        <v>10443.0282</v>
      </c>
      <c r="K22" s="237">
        <f t="shared" si="15"/>
        <v>34524651.23</v>
      </c>
    </row>
    <row r="23" ht="15.75" customHeight="1">
      <c r="A23" s="199">
        <v>19.0</v>
      </c>
      <c r="B23" s="126">
        <v>45202.0</v>
      </c>
      <c r="C23" s="237">
        <f>'Yakin Pasifik Tuna'!H24</f>
        <v>453</v>
      </c>
      <c r="D23" s="237">
        <f>'Yakin Pasifik Tuna'!X24</f>
        <v>10442.18972</v>
      </c>
      <c r="E23" s="239">
        <f t="shared" si="6"/>
        <v>4730311.944</v>
      </c>
      <c r="F23" s="237"/>
      <c r="G23" s="237"/>
      <c r="H23" s="237"/>
      <c r="I23" s="237">
        <f t="shared" si="14"/>
        <v>3759</v>
      </c>
      <c r="J23" s="237">
        <f t="shared" si="8"/>
        <v>10442.92715</v>
      </c>
      <c r="K23" s="237">
        <f t="shared" si="15"/>
        <v>39254963.18</v>
      </c>
    </row>
    <row r="24" ht="15.75" customHeight="1">
      <c r="A24" s="199">
        <v>20.0</v>
      </c>
      <c r="B24" s="126">
        <v>45203.0</v>
      </c>
      <c r="C24" s="237">
        <f>'Yakin Pasifik Tuna'!H25</f>
        <v>237</v>
      </c>
      <c r="D24" s="237">
        <f>'Yakin Pasifik Tuna'!X25</f>
        <v>10444.45828</v>
      </c>
      <c r="E24" s="239">
        <f t="shared" si="6"/>
        <v>2475336.613</v>
      </c>
      <c r="F24" s="237"/>
      <c r="G24" s="237"/>
      <c r="H24" s="237"/>
      <c r="I24" s="237">
        <f t="shared" si="14"/>
        <v>3996</v>
      </c>
      <c r="J24" s="237">
        <f t="shared" si="8"/>
        <v>10443.01796</v>
      </c>
      <c r="K24" s="237">
        <f t="shared" si="15"/>
        <v>41730299.79</v>
      </c>
    </row>
    <row r="25" ht="15.75" customHeight="1">
      <c r="A25" s="199">
        <v>21.0</v>
      </c>
      <c r="B25" s="126">
        <v>45204.0</v>
      </c>
      <c r="C25" s="237">
        <f>'Yakin Pasifik Tuna'!H26</f>
        <v>767</v>
      </c>
      <c r="D25" s="237">
        <f>'Yakin Pasifik Tuna'!X26</f>
        <v>10446.66667</v>
      </c>
      <c r="E25" s="239">
        <f t="shared" si="6"/>
        <v>8012593.333</v>
      </c>
      <c r="F25" s="237"/>
      <c r="G25" s="237"/>
      <c r="H25" s="237"/>
      <c r="I25" s="237">
        <f t="shared" si="14"/>
        <v>4763</v>
      </c>
      <c r="J25" s="237">
        <f t="shared" si="8"/>
        <v>10443.60553</v>
      </c>
      <c r="K25" s="237">
        <f t="shared" si="15"/>
        <v>49742893.12</v>
      </c>
    </row>
    <row r="26" ht="15.75" customHeight="1">
      <c r="A26" s="199">
        <v>22.0</v>
      </c>
      <c r="B26" s="126">
        <v>45207.0</v>
      </c>
      <c r="C26" s="237">
        <f>'Yakin Pasifik Tuna'!H27</f>
        <v>3732</v>
      </c>
      <c r="D26" s="237">
        <f>'Yakin Pasifik Tuna'!X27</f>
        <v>10294.68513</v>
      </c>
      <c r="E26" s="239">
        <f t="shared" si="6"/>
        <v>38419764.92</v>
      </c>
      <c r="F26" s="237"/>
      <c r="G26" s="237"/>
      <c r="H26" s="237"/>
      <c r="I26" s="237">
        <f t="shared" si="14"/>
        <v>8495</v>
      </c>
      <c r="J26" s="237">
        <f t="shared" si="8"/>
        <v>10378.18223</v>
      </c>
      <c r="K26" s="237">
        <f t="shared" si="15"/>
        <v>88162658.04</v>
      </c>
    </row>
    <row r="27" ht="15.75" customHeight="1">
      <c r="A27" s="199">
        <v>23.0</v>
      </c>
      <c r="B27" s="126">
        <v>45208.0</v>
      </c>
      <c r="C27" s="237">
        <f>'Yakin Pasifik Tuna'!H28</f>
        <v>2534</v>
      </c>
      <c r="D27" s="237">
        <f>'Yakin Pasifik Tuna'!X28</f>
        <v>10285.4025</v>
      </c>
      <c r="E27" s="239">
        <f t="shared" si="6"/>
        <v>26063209.93</v>
      </c>
      <c r="F27" s="237"/>
      <c r="G27" s="237"/>
      <c r="H27" s="237"/>
      <c r="I27" s="237">
        <f t="shared" si="14"/>
        <v>11029</v>
      </c>
      <c r="J27" s="237">
        <f t="shared" si="8"/>
        <v>10356.86535</v>
      </c>
      <c r="K27" s="237">
        <f t="shared" si="15"/>
        <v>114225868</v>
      </c>
    </row>
    <row r="28" ht="15.75" customHeight="1">
      <c r="A28" s="199">
        <v>24.0</v>
      </c>
      <c r="B28" s="126">
        <v>45209.0</v>
      </c>
      <c r="C28" s="237">
        <f>'Yakin Pasifik Tuna'!H29</f>
        <v>1716</v>
      </c>
      <c r="D28" s="237">
        <f>'Yakin Pasifik Tuna'!X29</f>
        <v>10281.14937</v>
      </c>
      <c r="E28" s="239">
        <f t="shared" si="6"/>
        <v>17642452.32</v>
      </c>
      <c r="F28" s="237"/>
      <c r="G28" s="237"/>
      <c r="H28" s="237"/>
      <c r="I28" s="237">
        <f t="shared" si="14"/>
        <v>12745</v>
      </c>
      <c r="J28" s="237">
        <f t="shared" si="8"/>
        <v>10346.67087</v>
      </c>
      <c r="K28" s="237">
        <f t="shared" si="15"/>
        <v>131868320.3</v>
      </c>
    </row>
    <row r="29" ht="15.75" customHeight="1">
      <c r="A29" s="199">
        <v>25.0</v>
      </c>
      <c r="B29" s="126">
        <v>45210.0</v>
      </c>
      <c r="C29" s="237">
        <f>'Yakin Pasifik Tuna'!H30</f>
        <v>370</v>
      </c>
      <c r="D29" s="237">
        <f>'Yakin Pasifik Tuna'!X30</f>
        <v>10279.43689</v>
      </c>
      <c r="E29" s="239">
        <f t="shared" si="6"/>
        <v>3803391.65</v>
      </c>
      <c r="F29" s="237"/>
      <c r="G29" s="237"/>
      <c r="H29" s="237"/>
      <c r="I29" s="237">
        <f t="shared" si="14"/>
        <v>13115</v>
      </c>
      <c r="J29" s="237">
        <f t="shared" si="8"/>
        <v>10344.77407</v>
      </c>
      <c r="K29" s="237">
        <f t="shared" si="15"/>
        <v>135671711.9</v>
      </c>
    </row>
    <row r="30" ht="15.75" customHeight="1">
      <c r="A30" s="199">
        <v>26.0</v>
      </c>
      <c r="B30" s="126">
        <v>45211.0</v>
      </c>
      <c r="C30" s="237">
        <f>'Yakin Pasifik Tuna'!H31</f>
        <v>1112</v>
      </c>
      <c r="D30" s="237">
        <f>'Yakin Pasifik Tuna'!X31</f>
        <v>10280.79796</v>
      </c>
      <c r="E30" s="239">
        <f t="shared" si="6"/>
        <v>11432247.33</v>
      </c>
      <c r="F30" s="237"/>
      <c r="G30" s="237"/>
      <c r="H30" s="237"/>
      <c r="I30" s="237">
        <f t="shared" si="14"/>
        <v>14227</v>
      </c>
      <c r="J30" s="237">
        <f t="shared" si="8"/>
        <v>10339.77362</v>
      </c>
      <c r="K30" s="237">
        <f t="shared" si="15"/>
        <v>147103959.3</v>
      </c>
    </row>
    <row r="31" ht="15.75" customHeight="1">
      <c r="A31" s="208">
        <v>27.0</v>
      </c>
      <c r="B31" s="329">
        <v>45212.0</v>
      </c>
      <c r="C31" s="228"/>
      <c r="D31" s="228"/>
      <c r="E31" s="240">
        <f t="shared" si="6"/>
        <v>0</v>
      </c>
      <c r="F31" s="248">
        <v>10450.0</v>
      </c>
      <c r="G31" s="248">
        <f>J30</f>
        <v>10339.77362</v>
      </c>
      <c r="H31" s="248">
        <f>F31*G31</f>
        <v>108050634.3</v>
      </c>
      <c r="I31" s="248">
        <f>I30-F31</f>
        <v>3777</v>
      </c>
      <c r="J31" s="248">
        <f t="shared" si="8"/>
        <v>10339.77362</v>
      </c>
      <c r="K31" s="248">
        <f>K30-H31</f>
        <v>39053324.96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ht="15.75" customHeight="1">
      <c r="A32" s="199">
        <v>28.0</v>
      </c>
      <c r="B32" s="143">
        <v>45212.0</v>
      </c>
      <c r="C32" s="249">
        <f>'Yakin Pasifik Tuna'!H32</f>
        <v>1278</v>
      </c>
      <c r="D32" s="237">
        <f>'Yakin Pasifik Tuna'!X32</f>
        <v>10284.48487</v>
      </c>
      <c r="E32" s="239">
        <f t="shared" si="6"/>
        <v>13143571.67</v>
      </c>
      <c r="F32" s="237"/>
      <c r="G32" s="237"/>
      <c r="H32" s="237"/>
      <c r="I32" s="237">
        <f t="shared" ref="I32:I35" si="16">I31+C32</f>
        <v>5055</v>
      </c>
      <c r="J32" s="237">
        <f t="shared" si="8"/>
        <v>10325.79557</v>
      </c>
      <c r="K32" s="237">
        <f t="shared" ref="K32:K35" si="17">K31+E32</f>
        <v>52196896.63</v>
      </c>
    </row>
    <row r="33" ht="15.75" customHeight="1">
      <c r="A33" s="199">
        <v>29.0</v>
      </c>
      <c r="B33" s="126">
        <v>45213.0</v>
      </c>
      <c r="C33" s="249">
        <f>'Yakin Pasifik Tuna'!H33</f>
        <v>421</v>
      </c>
      <c r="D33" s="237">
        <f>'Yakin Pasifik Tuna'!X33</f>
        <v>10280.38985</v>
      </c>
      <c r="E33" s="239">
        <f t="shared" si="6"/>
        <v>4328044.129</v>
      </c>
      <c r="F33" s="237"/>
      <c r="G33" s="237"/>
      <c r="H33" s="237"/>
      <c r="I33" s="237">
        <f t="shared" si="16"/>
        <v>5476</v>
      </c>
      <c r="J33" s="237">
        <f t="shared" si="8"/>
        <v>10322.30474</v>
      </c>
      <c r="K33" s="237">
        <f t="shared" si="17"/>
        <v>56524940.76</v>
      </c>
    </row>
    <row r="34" ht="15.75" customHeight="1">
      <c r="A34" s="199">
        <v>30.0</v>
      </c>
      <c r="B34" s="126">
        <v>45216.0</v>
      </c>
      <c r="C34" s="249">
        <f>'Yakin Pasifik Tuna'!H34</f>
        <v>438</v>
      </c>
      <c r="D34" s="237">
        <f>'Yakin Pasifik Tuna'!X34</f>
        <v>10283.38575</v>
      </c>
      <c r="E34" s="239">
        <f t="shared" si="6"/>
        <v>4504122.958</v>
      </c>
      <c r="F34" s="237"/>
      <c r="G34" s="237"/>
      <c r="H34" s="237"/>
      <c r="I34" s="237">
        <f t="shared" si="16"/>
        <v>5914</v>
      </c>
      <c r="J34" s="237">
        <f t="shared" si="8"/>
        <v>10319.42234</v>
      </c>
      <c r="K34" s="237">
        <f t="shared" si="17"/>
        <v>61029063.71</v>
      </c>
    </row>
    <row r="35" ht="15.75" customHeight="1">
      <c r="A35" s="199">
        <v>31.0</v>
      </c>
      <c r="B35" s="126">
        <v>45217.0</v>
      </c>
      <c r="C35" s="249">
        <f>'Yakin Pasifik Tuna'!H35</f>
        <v>1430</v>
      </c>
      <c r="D35" s="237">
        <f>'Yakin Pasifik Tuna'!X35</f>
        <v>10289.93315</v>
      </c>
      <c r="E35" s="239">
        <f t="shared" si="6"/>
        <v>14714604.4</v>
      </c>
      <c r="F35" s="237"/>
      <c r="G35" s="237"/>
      <c r="H35" s="237"/>
      <c r="I35" s="237">
        <f t="shared" si="16"/>
        <v>7344</v>
      </c>
      <c r="J35" s="237">
        <f t="shared" si="8"/>
        <v>10313.6803</v>
      </c>
      <c r="K35" s="237">
        <f t="shared" si="17"/>
        <v>75743668.12</v>
      </c>
    </row>
    <row r="36" ht="15.75" customHeight="1">
      <c r="A36" s="208">
        <v>32.0</v>
      </c>
      <c r="B36" s="329">
        <v>45219.0</v>
      </c>
      <c r="C36" s="228"/>
      <c r="D36" s="228"/>
      <c r="E36" s="240">
        <f t="shared" si="6"/>
        <v>0</v>
      </c>
      <c r="F36" s="248">
        <v>2570.0</v>
      </c>
      <c r="G36" s="248">
        <f>J35</f>
        <v>10313.6803</v>
      </c>
      <c r="H36" s="248">
        <f>F36*G36</f>
        <v>26506158.37</v>
      </c>
      <c r="I36" s="248">
        <f>I35-F36</f>
        <v>4774</v>
      </c>
      <c r="J36" s="248">
        <f t="shared" si="8"/>
        <v>10313.6803</v>
      </c>
      <c r="K36" s="248">
        <f>K35-H36</f>
        <v>49237509.75</v>
      </c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199">
        <v>33.0</v>
      </c>
      <c r="B37" s="126">
        <v>45220.0</v>
      </c>
      <c r="C37" s="249">
        <f>'Yakin Pasifik Tuna'!H36</f>
        <v>1782</v>
      </c>
      <c r="D37" s="237">
        <f>'Yakin Pasifik Tuna'!X36</f>
        <v>10290.53207</v>
      </c>
      <c r="E37" s="239">
        <f t="shared" si="6"/>
        <v>18337728.14</v>
      </c>
      <c r="F37" s="237"/>
      <c r="G37" s="237"/>
      <c r="H37" s="237"/>
      <c r="I37" s="237">
        <f>I36+C37</f>
        <v>6556</v>
      </c>
      <c r="J37" s="237">
        <f t="shared" si="8"/>
        <v>10307.38833</v>
      </c>
      <c r="K37" s="237">
        <f>K36+E37</f>
        <v>67575237.89</v>
      </c>
    </row>
    <row r="38" ht="15.75" customHeight="1">
      <c r="A38" s="208">
        <v>34.0</v>
      </c>
      <c r="B38" s="329">
        <v>45221.0</v>
      </c>
      <c r="C38" s="228"/>
      <c r="D38" s="228"/>
      <c r="E38" s="240">
        <f t="shared" si="6"/>
        <v>0</v>
      </c>
      <c r="F38" s="248">
        <v>1130.0</v>
      </c>
      <c r="G38" s="248">
        <f>J37</f>
        <v>10307.38833</v>
      </c>
      <c r="H38" s="248">
        <f>F38*G38</f>
        <v>11647348.81</v>
      </c>
      <c r="I38" s="248">
        <f>I37-F38</f>
        <v>5426</v>
      </c>
      <c r="J38" s="248">
        <f t="shared" si="8"/>
        <v>10307.38833</v>
      </c>
      <c r="K38" s="248">
        <f>K37-H38</f>
        <v>55927889.08</v>
      </c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ht="15.75" customHeight="1">
      <c r="A39" s="199">
        <v>35.0</v>
      </c>
      <c r="B39" s="126">
        <v>45223.0</v>
      </c>
      <c r="C39" s="249">
        <f>'Yakin Pasifik Tuna'!H37</f>
        <v>291</v>
      </c>
      <c r="D39" s="237">
        <f>'Yakin Pasifik Tuna'!X37</f>
        <v>10283.46967</v>
      </c>
      <c r="E39" s="239">
        <f t="shared" si="6"/>
        <v>2992489.675</v>
      </c>
      <c r="F39" s="237"/>
      <c r="G39" s="237"/>
      <c r="H39" s="237"/>
      <c r="I39" s="237">
        <f t="shared" ref="I39:I42" si="18">I38+C39</f>
        <v>5717</v>
      </c>
      <c r="J39" s="237">
        <f t="shared" si="8"/>
        <v>10306.17085</v>
      </c>
      <c r="K39" s="237">
        <f t="shared" ref="K39:K42" si="19">K38+E39</f>
        <v>58920378.75</v>
      </c>
    </row>
    <row r="40" ht="15.75" customHeight="1">
      <c r="A40" s="199">
        <v>36.0</v>
      </c>
      <c r="B40" s="126">
        <v>45225.0</v>
      </c>
      <c r="C40" s="249">
        <f>'Yakin Pasifik Tuna'!H38</f>
        <v>229</v>
      </c>
      <c r="D40" s="237">
        <f>'Yakin Pasifik Tuna'!X38</f>
        <v>10280.84685</v>
      </c>
      <c r="E40" s="239">
        <f t="shared" si="6"/>
        <v>2354313.928</v>
      </c>
      <c r="F40" s="237"/>
      <c r="G40" s="237"/>
      <c r="H40" s="237"/>
      <c r="I40" s="237">
        <f t="shared" si="18"/>
        <v>5946</v>
      </c>
      <c r="J40" s="237">
        <f t="shared" si="8"/>
        <v>10305.19554</v>
      </c>
      <c r="K40" s="237">
        <f t="shared" si="19"/>
        <v>61274692.68</v>
      </c>
    </row>
    <row r="41" ht="15.75" customHeight="1">
      <c r="A41" s="199">
        <v>37.0</v>
      </c>
      <c r="B41" s="126">
        <v>45227.0</v>
      </c>
      <c r="C41" s="249">
        <f>'Yakin Pasifik Tuna'!H39</f>
        <v>326</v>
      </c>
      <c r="D41" s="237">
        <f>'Yakin Pasifik Tuna'!X39</f>
        <v>10286.61708</v>
      </c>
      <c r="E41" s="239">
        <f t="shared" si="6"/>
        <v>3353437.168</v>
      </c>
      <c r="F41" s="237"/>
      <c r="G41" s="237"/>
      <c r="H41" s="237"/>
      <c r="I41" s="237">
        <f t="shared" si="18"/>
        <v>6272</v>
      </c>
      <c r="J41" s="237">
        <f t="shared" si="8"/>
        <v>10304.22989</v>
      </c>
      <c r="K41" s="237">
        <f t="shared" si="19"/>
        <v>64628129.85</v>
      </c>
    </row>
    <row r="42" ht="15.75" customHeight="1">
      <c r="A42" s="199">
        <v>38.0</v>
      </c>
      <c r="B42" s="126">
        <v>45228.0</v>
      </c>
      <c r="C42" s="249">
        <f>'Yakin Pasifik Tuna'!H40</f>
        <v>93</v>
      </c>
      <c r="D42" s="237">
        <f>'Yakin Pasifik Tuna'!X40</f>
        <v>10278.68352</v>
      </c>
      <c r="E42" s="239">
        <f t="shared" si="6"/>
        <v>955917.5675</v>
      </c>
      <c r="F42" s="237"/>
      <c r="G42" s="237"/>
      <c r="H42" s="237"/>
      <c r="I42" s="237">
        <f t="shared" si="18"/>
        <v>6365</v>
      </c>
      <c r="J42" s="237">
        <f t="shared" si="8"/>
        <v>10303.85662</v>
      </c>
      <c r="K42" s="237">
        <f t="shared" si="19"/>
        <v>65584047.42</v>
      </c>
    </row>
    <row r="43" ht="15.75" customHeight="1">
      <c r="A43" s="208">
        <v>39.0</v>
      </c>
      <c r="B43" s="332">
        <f>'Persediaan &amp; HPP Ca A-B YPT'!B43</f>
        <v>45254</v>
      </c>
      <c r="C43" s="228"/>
      <c r="D43" s="228"/>
      <c r="E43" s="248"/>
      <c r="F43" s="248">
        <f>20000-'Persediaan &amp; HPP Ca A-B YPT'!F43</f>
        <v>1010</v>
      </c>
      <c r="G43" s="248">
        <f>J42</f>
        <v>10303.85662</v>
      </c>
      <c r="H43" s="248">
        <f>F43*G43</f>
        <v>10406895.19</v>
      </c>
      <c r="I43" s="248">
        <f>I42-F43</f>
        <v>5355</v>
      </c>
      <c r="J43" s="248">
        <f t="shared" si="8"/>
        <v>10303.85662</v>
      </c>
      <c r="K43" s="248">
        <f>K42-H43</f>
        <v>55177152.23</v>
      </c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199">
        <v>40.0</v>
      </c>
      <c r="B44" s="333">
        <f>'Persediaan &amp; HPP Ca A-B YPT'!B44</f>
        <v>45259</v>
      </c>
      <c r="C44" s="249">
        <f>'Yakin Pasifik Tuna'!H43</f>
        <v>82.4</v>
      </c>
      <c r="D44" s="237">
        <f>'Yakin Pasifik Tuna'!X43</f>
        <v>8288.351145</v>
      </c>
      <c r="E44" s="237">
        <f t="shared" ref="E44:E45" si="20">C44*D44</f>
        <v>682960.1344</v>
      </c>
      <c r="F44" s="237"/>
      <c r="G44" s="237"/>
      <c r="H44" s="237"/>
      <c r="I44" s="237">
        <f t="shared" ref="I44:I45" si="21">I43+C44</f>
        <v>5437.4</v>
      </c>
      <c r="J44" s="237">
        <f t="shared" si="8"/>
        <v>10273.31305</v>
      </c>
      <c r="K44" s="237">
        <f t="shared" ref="K44:K45" si="22">K43+E44</f>
        <v>55860112.36</v>
      </c>
    </row>
    <row r="45" ht="15.75" customHeight="1">
      <c r="A45" s="199">
        <v>41.0</v>
      </c>
      <c r="B45" s="333">
        <f>'Persediaan &amp; HPP Ca A-B YPT'!B45</f>
        <v>45260</v>
      </c>
      <c r="C45" s="249">
        <f>'Yakin Pasifik Tuna'!H44</f>
        <v>79.1</v>
      </c>
      <c r="D45" s="237">
        <f>'Yakin Pasifik Tuna'!X44</f>
        <v>9291.772833</v>
      </c>
      <c r="E45" s="237">
        <f t="shared" si="20"/>
        <v>734979.2311</v>
      </c>
      <c r="F45" s="237"/>
      <c r="G45" s="237"/>
      <c r="H45" s="237"/>
      <c r="I45" s="237">
        <f t="shared" si="21"/>
        <v>5516.5</v>
      </c>
      <c r="J45" s="237">
        <f t="shared" si="8"/>
        <v>10259.23894</v>
      </c>
      <c r="K45" s="237">
        <f t="shared" si="22"/>
        <v>56595091.59</v>
      </c>
    </row>
    <row r="46" ht="15.75" customHeight="1">
      <c r="A46" s="353"/>
      <c r="B46" s="336"/>
      <c r="C46" s="337"/>
      <c r="D46" s="338"/>
      <c r="E46" s="338"/>
      <c r="F46" s="338"/>
      <c r="G46" s="338"/>
      <c r="H46" s="338"/>
      <c r="I46" s="338">
        <f>2380</f>
        <v>2380</v>
      </c>
      <c r="J46" s="338">
        <f>J45</f>
        <v>10259.23894</v>
      </c>
      <c r="K46" s="338">
        <f>I46*J46</f>
        <v>24416988.67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ht="15.75" customHeight="1">
      <c r="A47" s="199">
        <v>42.0</v>
      </c>
      <c r="B47" s="333">
        <f>'Yakin Pasifik Tuna'!B51</f>
        <v>45269</v>
      </c>
      <c r="C47" s="237">
        <f>'Yakin Pasifik Tuna'!I51</f>
        <v>50</v>
      </c>
      <c r="D47" s="237">
        <f>'Yakin Pasifik Tuna'!Y51</f>
        <v>5284.909091</v>
      </c>
      <c r="E47" s="237">
        <f t="shared" ref="E47:E52" si="23">C47*D47</f>
        <v>264245.4545</v>
      </c>
      <c r="F47" s="237"/>
      <c r="G47" s="237"/>
      <c r="H47" s="237"/>
      <c r="I47" s="237">
        <f t="shared" ref="I47:I52" si="24">I46+C47</f>
        <v>2430</v>
      </c>
      <c r="J47" s="237">
        <f t="shared" ref="J47:J52" si="25">K47/I47</f>
        <v>10156.88647</v>
      </c>
      <c r="K47" s="237">
        <f t="shared" ref="K47:K52" si="26">K46+E47</f>
        <v>24681234.12</v>
      </c>
    </row>
    <row r="48" ht="15.75" customHeight="1">
      <c r="A48" s="199">
        <v>43.0</v>
      </c>
      <c r="B48" s="333">
        <f>'Yakin Pasifik Tuna'!B52</f>
        <v>45270</v>
      </c>
      <c r="C48" s="237">
        <f>'Yakin Pasifik Tuna'!I52</f>
        <v>2108.2</v>
      </c>
      <c r="D48" s="237">
        <f>'Yakin Pasifik Tuna'!Y52</f>
        <v>5296.403487</v>
      </c>
      <c r="E48" s="237">
        <f t="shared" si="23"/>
        <v>11165877.83</v>
      </c>
      <c r="F48" s="237"/>
      <c r="G48" s="237"/>
      <c r="H48" s="237"/>
      <c r="I48" s="237">
        <f t="shared" si="24"/>
        <v>4538.2</v>
      </c>
      <c r="J48" s="237">
        <f t="shared" si="25"/>
        <v>7898.971388</v>
      </c>
      <c r="K48" s="237">
        <f t="shared" si="26"/>
        <v>35847111.95</v>
      </c>
    </row>
    <row r="49" ht="15.75" customHeight="1">
      <c r="A49" s="199">
        <v>44.0</v>
      </c>
      <c r="B49" s="333">
        <f>'Yakin Pasifik Tuna'!B53</f>
        <v>45271</v>
      </c>
      <c r="C49" s="237">
        <f>'Yakin Pasifik Tuna'!I53</f>
        <v>470.9</v>
      </c>
      <c r="D49" s="237">
        <f>'Yakin Pasifik Tuna'!Y53</f>
        <v>5289.871254</v>
      </c>
      <c r="E49" s="237">
        <f t="shared" si="23"/>
        <v>2491000.373</v>
      </c>
      <c r="F49" s="237"/>
      <c r="G49" s="237"/>
      <c r="H49" s="237"/>
      <c r="I49" s="237">
        <f t="shared" si="24"/>
        <v>5009.1</v>
      </c>
      <c r="J49" s="237">
        <f t="shared" si="25"/>
        <v>7653.692745</v>
      </c>
      <c r="K49" s="237">
        <f t="shared" si="26"/>
        <v>38338112.33</v>
      </c>
    </row>
    <row r="50" ht="15.75" customHeight="1">
      <c r="A50" s="199">
        <v>45.0</v>
      </c>
      <c r="B50" s="333">
        <v>45278.0</v>
      </c>
      <c r="C50" s="237">
        <f>'Yakin Pasifik Tuna'!I54</f>
        <v>144.5</v>
      </c>
      <c r="D50" s="237">
        <f>'Yakin Pasifik Tuna'!Y54</f>
        <v>5284.002792</v>
      </c>
      <c r="E50" s="237">
        <f t="shared" si="23"/>
        <v>763538.4034</v>
      </c>
      <c r="F50" s="237"/>
      <c r="G50" s="237"/>
      <c r="H50" s="237"/>
      <c r="I50" s="237">
        <f t="shared" si="24"/>
        <v>5153.6</v>
      </c>
      <c r="J50" s="237">
        <f t="shared" si="25"/>
        <v>7587.249831</v>
      </c>
      <c r="K50" s="237">
        <f t="shared" si="26"/>
        <v>39101650.73</v>
      </c>
    </row>
    <row r="51" ht="15.75" customHeight="1">
      <c r="A51" s="199">
        <v>46.0</v>
      </c>
      <c r="B51" s="333">
        <v>45279.0</v>
      </c>
      <c r="C51" s="237">
        <f>'Yakin Pasifik Tuna'!I55</f>
        <v>401.7</v>
      </c>
      <c r="D51" s="237">
        <f>'Yakin Pasifik Tuna'!Y55</f>
        <v>5281.703417</v>
      </c>
      <c r="E51" s="237">
        <f t="shared" si="23"/>
        <v>2121660.263</v>
      </c>
      <c r="F51" s="237"/>
      <c r="G51" s="237"/>
      <c r="H51" s="237"/>
      <c r="I51" s="237">
        <f t="shared" si="24"/>
        <v>5555.3</v>
      </c>
      <c r="J51" s="237">
        <f t="shared" si="25"/>
        <v>7420.537323</v>
      </c>
      <c r="K51" s="237">
        <f t="shared" si="26"/>
        <v>41223310.99</v>
      </c>
    </row>
    <row r="52" ht="15.75" customHeight="1">
      <c r="A52" s="199">
        <v>47.0</v>
      </c>
      <c r="B52" s="333">
        <f>'Yakin Pasifik Tuna'!B56</f>
        <v>45280</v>
      </c>
      <c r="C52" s="237">
        <f>'Yakin Pasifik Tuna'!I56</f>
        <v>3826</v>
      </c>
      <c r="D52" s="237">
        <f>'Yakin Pasifik Tuna'!Y56</f>
        <v>5276.857143</v>
      </c>
      <c r="E52" s="237">
        <f t="shared" si="23"/>
        <v>20189255.43</v>
      </c>
      <c r="F52" s="237"/>
      <c r="G52" s="237"/>
      <c r="H52" s="237"/>
      <c r="I52" s="237">
        <f t="shared" si="24"/>
        <v>9381.3</v>
      </c>
      <c r="J52" s="237">
        <f t="shared" si="25"/>
        <v>6546.274655</v>
      </c>
      <c r="K52" s="237">
        <f t="shared" si="26"/>
        <v>61412566.42</v>
      </c>
    </row>
    <row r="53" ht="15.75" customHeight="1">
      <c r="A53" s="199"/>
      <c r="B53" s="333"/>
      <c r="C53" s="237"/>
      <c r="D53" s="237"/>
      <c r="E53" s="237"/>
      <c r="F53" s="237"/>
      <c r="G53" s="237"/>
      <c r="H53" s="237"/>
      <c r="I53" s="237"/>
      <c r="J53" s="237"/>
      <c r="K53" s="237"/>
    </row>
    <row r="54" ht="15.75" customHeight="1">
      <c r="A54" s="199"/>
      <c r="B54" s="333"/>
      <c r="C54" s="237"/>
      <c r="D54" s="237"/>
      <c r="E54" s="237"/>
      <c r="F54" s="237"/>
      <c r="G54" s="237"/>
      <c r="H54" s="237"/>
      <c r="I54" s="237"/>
      <c r="J54" s="237"/>
      <c r="K54" s="237"/>
    </row>
    <row r="55" ht="15.75" customHeight="1">
      <c r="A55" s="199">
        <v>48.0</v>
      </c>
      <c r="B55" s="333">
        <f>'Yakin Pasifik Tuna'!B57</f>
        <v>45281</v>
      </c>
      <c r="C55" s="237" t="str">
        <f>'Yakin Pasifik Tuna'!I57</f>
        <v/>
      </c>
      <c r="D55" s="237">
        <f>'Yakin Pasifik Tuna'!Y57</f>
        <v>0</v>
      </c>
      <c r="E55" s="237">
        <f t="shared" ref="E55:E61" si="27">C55*D55</f>
        <v>0</v>
      </c>
      <c r="F55" s="237"/>
      <c r="G55" s="237"/>
      <c r="H55" s="237"/>
      <c r="I55" s="237"/>
      <c r="J55" s="237"/>
      <c r="K55" s="237"/>
    </row>
    <row r="56" ht="15.75" customHeight="1">
      <c r="A56" s="199">
        <v>49.0</v>
      </c>
      <c r="B56" s="333">
        <f>'Yakin Pasifik Tuna'!B58</f>
        <v>45282</v>
      </c>
      <c r="C56" s="237" t="str">
        <f>'Yakin Pasifik Tuna'!I58</f>
        <v/>
      </c>
      <c r="D56" s="237">
        <f>'Yakin Pasifik Tuna'!Y58</f>
        <v>0</v>
      </c>
      <c r="E56" s="237">
        <f t="shared" si="27"/>
        <v>0</v>
      </c>
      <c r="F56" s="237"/>
      <c r="G56" s="237"/>
      <c r="H56" s="237"/>
      <c r="I56" s="237"/>
      <c r="J56" s="237"/>
      <c r="K56" s="237"/>
    </row>
    <row r="57" ht="15.75" customHeight="1">
      <c r="A57" s="199">
        <v>50.0</v>
      </c>
      <c r="B57" s="333">
        <f>'Yakin Pasifik Tuna'!B59</f>
        <v>45283</v>
      </c>
      <c r="C57" s="237">
        <f>'Yakin Pasifik Tuna'!I59</f>
        <v>152</v>
      </c>
      <c r="D57" s="237">
        <f>'Yakin Pasifik Tuna'!Y59</f>
        <v>5272.162544</v>
      </c>
      <c r="E57" s="237">
        <f t="shared" si="27"/>
        <v>801368.7067</v>
      </c>
      <c r="F57" s="237"/>
      <c r="G57" s="237"/>
      <c r="H57" s="237"/>
      <c r="I57" s="237">
        <f t="shared" ref="I57:I61" si="28">I56+C57</f>
        <v>152</v>
      </c>
      <c r="J57" s="237">
        <f t="shared" ref="J57:J61" si="29">K57/I57</f>
        <v>5272.162544</v>
      </c>
      <c r="K57" s="237">
        <f t="shared" ref="K57:K61" si="30">K56+E57</f>
        <v>801368.7067</v>
      </c>
    </row>
    <row r="58" ht="15.75" customHeight="1">
      <c r="A58" s="199">
        <v>51.0</v>
      </c>
      <c r="B58" s="333">
        <f>'Yakin Pasifik Tuna'!B60</f>
        <v>45284</v>
      </c>
      <c r="C58" s="237" t="str">
        <f>'Yakin Pasifik Tuna'!I60</f>
        <v/>
      </c>
      <c r="D58" s="237">
        <f>'Yakin Pasifik Tuna'!Y60</f>
        <v>0</v>
      </c>
      <c r="E58" s="237">
        <f t="shared" si="27"/>
        <v>0</v>
      </c>
      <c r="F58" s="237"/>
      <c r="G58" s="237"/>
      <c r="H58" s="237"/>
      <c r="I58" s="237">
        <f t="shared" si="28"/>
        <v>152</v>
      </c>
      <c r="J58" s="237">
        <f t="shared" si="29"/>
        <v>5272.162544</v>
      </c>
      <c r="K58" s="237">
        <f t="shared" si="30"/>
        <v>801368.7067</v>
      </c>
    </row>
    <row r="59" ht="15.75" customHeight="1">
      <c r="A59" s="199">
        <v>52.0</v>
      </c>
      <c r="B59" s="333">
        <f>'Yakin Pasifik Tuna'!B65</f>
        <v>45295</v>
      </c>
      <c r="C59" s="237">
        <f>'Yakin Pasifik Tuna'!I65</f>
        <v>107</v>
      </c>
      <c r="D59" s="237">
        <f>'Yakin Pasifik Tuna'!Z65</f>
        <v>5278.796228</v>
      </c>
      <c r="E59" s="237">
        <f t="shared" si="27"/>
        <v>564831.1964</v>
      </c>
      <c r="F59" s="237"/>
      <c r="G59" s="237"/>
      <c r="H59" s="237"/>
      <c r="I59" s="237">
        <f t="shared" si="28"/>
        <v>259</v>
      </c>
      <c r="J59" s="237">
        <f t="shared" si="29"/>
        <v>5274.903101</v>
      </c>
      <c r="K59" s="237">
        <f t="shared" si="30"/>
        <v>1366199.903</v>
      </c>
    </row>
    <row r="60" ht="15.75" customHeight="1">
      <c r="A60" s="199">
        <v>53.0</v>
      </c>
      <c r="B60" s="333">
        <f>'Yakin Pasifik Tuna'!B66</f>
        <v>45297</v>
      </c>
      <c r="C60" s="237">
        <f>'Yakin Pasifik Tuna'!I66</f>
        <v>412.4</v>
      </c>
      <c r="D60" s="237">
        <f>'Yakin Pasifik Tuna'!Z66</f>
        <v>5281.967888</v>
      </c>
      <c r="E60" s="237">
        <f t="shared" si="27"/>
        <v>2178283.557</v>
      </c>
      <c r="F60" s="237"/>
      <c r="G60" s="237"/>
      <c r="H60" s="237"/>
      <c r="I60" s="237">
        <f t="shared" si="28"/>
        <v>671.4</v>
      </c>
      <c r="J60" s="237">
        <f t="shared" si="29"/>
        <v>5279.242568</v>
      </c>
      <c r="K60" s="237">
        <f t="shared" si="30"/>
        <v>3544483.46</v>
      </c>
    </row>
    <row r="61" ht="15.75" customHeight="1">
      <c r="A61" s="199">
        <v>54.0</v>
      </c>
      <c r="B61" s="333">
        <f>'Yakin Pasifik Tuna'!B67</f>
        <v>45298</v>
      </c>
      <c r="C61" s="237">
        <f>'Yakin Pasifik Tuna'!I67</f>
        <v>340.7</v>
      </c>
      <c r="D61" s="237">
        <f>'Yakin Pasifik Tuna'!Z67</f>
        <v>5287.382084</v>
      </c>
      <c r="E61" s="237">
        <f t="shared" si="27"/>
        <v>1801411.076</v>
      </c>
      <c r="F61" s="237"/>
      <c r="G61" s="237"/>
      <c r="H61" s="237"/>
      <c r="I61" s="237">
        <f t="shared" si="28"/>
        <v>1012.1</v>
      </c>
      <c r="J61" s="237">
        <f t="shared" si="29"/>
        <v>5281.982547</v>
      </c>
      <c r="K61" s="237">
        <f t="shared" si="30"/>
        <v>5345894.536</v>
      </c>
    </row>
    <row r="62" ht="15.75" customHeight="1">
      <c r="E62" s="124"/>
      <c r="F62" s="124"/>
      <c r="G62" s="124"/>
      <c r="H62" s="124"/>
      <c r="I62" s="124"/>
      <c r="J62" s="124">
        <v>1862.0</v>
      </c>
      <c r="K62" s="124"/>
    </row>
    <row r="63" ht="15.75" customHeight="1">
      <c r="E63" s="124"/>
      <c r="F63" s="124"/>
      <c r="G63" s="124"/>
      <c r="H63" s="124"/>
      <c r="I63" s="124"/>
      <c r="J63" s="124"/>
      <c r="K63" s="124"/>
    </row>
    <row r="64" ht="15.75" customHeight="1">
      <c r="E64" s="124"/>
      <c r="F64" s="124"/>
      <c r="G64" s="124"/>
      <c r="H64" s="124"/>
      <c r="I64" s="124"/>
      <c r="J64" s="124"/>
      <c r="K64" s="124"/>
    </row>
    <row r="65" ht="15.75" customHeight="1">
      <c r="E65" s="124"/>
      <c r="F65" s="124"/>
      <c r="G65" s="124"/>
      <c r="H65" s="124"/>
      <c r="I65" s="124"/>
      <c r="J65" s="124"/>
      <c r="K65" s="124"/>
    </row>
    <row r="66" ht="15.75" customHeight="1">
      <c r="E66" s="124"/>
      <c r="F66" s="124"/>
      <c r="G66" s="124"/>
      <c r="H66" s="124"/>
      <c r="I66" s="124"/>
      <c r="J66" s="124"/>
      <c r="K66" s="124"/>
    </row>
    <row r="67" ht="15.75" customHeight="1">
      <c r="E67" s="124"/>
      <c r="F67" s="124"/>
      <c r="G67" s="124"/>
      <c r="H67" s="124"/>
      <c r="I67" s="124"/>
      <c r="J67" s="124"/>
      <c r="K67" s="124"/>
    </row>
    <row r="68" ht="15.75" customHeight="1">
      <c r="E68" s="124"/>
      <c r="F68" s="124"/>
      <c r="G68" s="124"/>
      <c r="H68" s="124"/>
      <c r="I68" s="124"/>
      <c r="J68" s="124"/>
      <c r="K68" s="124"/>
    </row>
    <row r="69" ht="15.75" customHeight="1">
      <c r="E69" s="124"/>
      <c r="F69" s="124"/>
      <c r="G69" s="124"/>
      <c r="H69" s="124"/>
      <c r="I69" s="124"/>
      <c r="J69" s="124"/>
      <c r="K69" s="124"/>
    </row>
    <row r="70" ht="15.75" customHeight="1">
      <c r="E70" s="124"/>
      <c r="F70" s="124"/>
      <c r="G70" s="124"/>
      <c r="H70" s="124"/>
      <c r="I70" s="124"/>
      <c r="J70" s="124"/>
      <c r="K70" s="124"/>
    </row>
    <row r="71" ht="15.75" customHeight="1">
      <c r="E71" s="124"/>
      <c r="F71" s="124"/>
      <c r="G71" s="124"/>
      <c r="H71" s="124"/>
      <c r="I71" s="124"/>
      <c r="J71" s="124"/>
      <c r="K71" s="124"/>
    </row>
    <row r="72" ht="15.75" customHeight="1">
      <c r="E72" s="124"/>
      <c r="F72" s="124"/>
      <c r="G72" s="124"/>
      <c r="H72" s="124"/>
      <c r="I72" s="124"/>
      <c r="J72" s="124"/>
      <c r="K72" s="124"/>
    </row>
    <row r="73" ht="15.75" customHeight="1">
      <c r="E73" s="124"/>
      <c r="F73" s="124"/>
      <c r="G73" s="124"/>
      <c r="H73" s="124"/>
      <c r="I73" s="124"/>
      <c r="J73" s="124"/>
      <c r="K73" s="124"/>
    </row>
    <row r="74" ht="15.75" customHeight="1">
      <c r="E74" s="124"/>
      <c r="F74" s="124"/>
      <c r="G74" s="124"/>
      <c r="H74" s="124"/>
      <c r="I74" s="124"/>
      <c r="J74" s="124"/>
      <c r="K74" s="124"/>
    </row>
    <row r="75" ht="15.75" customHeight="1">
      <c r="E75" s="124"/>
      <c r="F75" s="124"/>
      <c r="G75" s="124"/>
      <c r="H75" s="124"/>
      <c r="I75" s="124"/>
      <c r="J75" s="124"/>
      <c r="K75" s="124"/>
    </row>
    <row r="76" ht="15.75" customHeight="1">
      <c r="E76" s="124"/>
      <c r="F76" s="124"/>
      <c r="G76" s="124"/>
      <c r="H76" s="124"/>
      <c r="I76" s="124"/>
      <c r="J76" s="124"/>
      <c r="K76" s="124"/>
    </row>
    <row r="77" ht="15.75" customHeight="1">
      <c r="E77" s="124"/>
      <c r="F77" s="124"/>
      <c r="G77" s="124"/>
      <c r="H77" s="124"/>
      <c r="I77" s="124"/>
      <c r="J77" s="124"/>
      <c r="K77" s="124"/>
    </row>
    <row r="78" ht="15.75" customHeight="1">
      <c r="E78" s="124"/>
      <c r="F78" s="124"/>
      <c r="G78" s="124"/>
      <c r="H78" s="124"/>
      <c r="I78" s="124"/>
      <c r="J78" s="124"/>
      <c r="K78" s="124"/>
    </row>
    <row r="79" ht="15.75" customHeight="1">
      <c r="E79" s="124"/>
      <c r="F79" s="124"/>
      <c r="G79" s="124"/>
      <c r="H79" s="124"/>
      <c r="I79" s="124"/>
      <c r="J79" s="124"/>
      <c r="K79" s="124"/>
    </row>
    <row r="80" ht="15.75" customHeight="1">
      <c r="E80" s="124"/>
      <c r="F80" s="124"/>
      <c r="G80" s="124"/>
      <c r="H80" s="124"/>
      <c r="I80" s="124"/>
      <c r="J80" s="124"/>
      <c r="K80" s="124"/>
    </row>
    <row r="81" ht="15.75" customHeight="1">
      <c r="E81" s="124"/>
      <c r="F81" s="124"/>
      <c r="G81" s="124"/>
      <c r="H81" s="124"/>
      <c r="I81" s="124"/>
      <c r="J81" s="124"/>
      <c r="K81" s="124"/>
    </row>
    <row r="82" ht="15.75" customHeight="1">
      <c r="E82" s="124"/>
      <c r="F82" s="124"/>
      <c r="G82" s="124"/>
      <c r="H82" s="124"/>
      <c r="I82" s="124"/>
      <c r="J82" s="124"/>
      <c r="K82" s="124"/>
    </row>
    <row r="83" ht="15.75" customHeight="1">
      <c r="E83" s="124"/>
      <c r="F83" s="124"/>
      <c r="G83" s="124"/>
      <c r="H83" s="124"/>
      <c r="I83" s="124"/>
      <c r="J83" s="124"/>
      <c r="K83" s="124"/>
    </row>
    <row r="84" ht="15.75" customHeight="1">
      <c r="E84" s="124"/>
      <c r="F84" s="124"/>
      <c r="G84" s="124"/>
      <c r="H84" s="124"/>
      <c r="I84" s="124"/>
      <c r="J84" s="124"/>
      <c r="K84" s="124"/>
    </row>
    <row r="85" ht="15.75" customHeight="1">
      <c r="E85" s="124"/>
      <c r="F85" s="124"/>
      <c r="G85" s="124"/>
      <c r="H85" s="124"/>
      <c r="I85" s="124"/>
      <c r="J85" s="124"/>
      <c r="K85" s="124"/>
    </row>
    <row r="86" ht="15.75" customHeight="1">
      <c r="E86" s="124"/>
      <c r="F86" s="124"/>
      <c r="G86" s="124"/>
      <c r="H86" s="124"/>
      <c r="I86" s="124"/>
      <c r="J86" s="124"/>
      <c r="K86" s="124"/>
    </row>
    <row r="87" ht="15.75" customHeight="1">
      <c r="E87" s="124"/>
      <c r="F87" s="124"/>
      <c r="G87" s="124"/>
      <c r="H87" s="124"/>
      <c r="I87" s="124"/>
      <c r="J87" s="124"/>
      <c r="K87" s="124"/>
    </row>
    <row r="88" ht="15.75" customHeight="1">
      <c r="E88" s="124"/>
      <c r="F88" s="124"/>
      <c r="G88" s="124"/>
      <c r="H88" s="124"/>
      <c r="I88" s="124"/>
      <c r="J88" s="124"/>
      <c r="K88" s="124"/>
    </row>
    <row r="89" ht="15.75" customHeight="1">
      <c r="E89" s="124"/>
      <c r="F89" s="124"/>
      <c r="G89" s="124"/>
      <c r="H89" s="124"/>
      <c r="I89" s="124"/>
      <c r="J89" s="124"/>
      <c r="K89" s="124"/>
    </row>
    <row r="90" ht="15.75" customHeight="1">
      <c r="E90" s="124"/>
      <c r="F90" s="124"/>
      <c r="G90" s="124"/>
      <c r="H90" s="124"/>
      <c r="I90" s="124"/>
      <c r="J90" s="124"/>
      <c r="K90" s="124"/>
    </row>
    <row r="91" ht="15.75" customHeight="1">
      <c r="E91" s="124"/>
      <c r="F91" s="124"/>
      <c r="G91" s="124"/>
      <c r="H91" s="124"/>
      <c r="I91" s="124"/>
      <c r="J91" s="124"/>
      <c r="K91" s="124"/>
    </row>
    <row r="92" ht="15.75" customHeight="1">
      <c r="E92" s="124"/>
      <c r="F92" s="124"/>
      <c r="G92" s="124"/>
      <c r="H92" s="124"/>
      <c r="I92" s="124"/>
      <c r="J92" s="124"/>
      <c r="K92" s="124"/>
    </row>
    <row r="93" ht="15.75" customHeight="1">
      <c r="E93" s="124"/>
      <c r="F93" s="124"/>
      <c r="G93" s="124"/>
      <c r="H93" s="124"/>
      <c r="I93" s="124"/>
      <c r="J93" s="124"/>
      <c r="K93" s="124"/>
    </row>
    <row r="94" ht="15.75" customHeight="1">
      <c r="E94" s="124"/>
      <c r="F94" s="124"/>
      <c r="G94" s="124"/>
      <c r="H94" s="124"/>
      <c r="I94" s="124"/>
      <c r="J94" s="124"/>
      <c r="K94" s="124"/>
    </row>
    <row r="95" ht="15.75" customHeight="1">
      <c r="E95" s="124"/>
      <c r="F95" s="124"/>
      <c r="G95" s="124"/>
      <c r="H95" s="124"/>
      <c r="I95" s="124"/>
      <c r="J95" s="124"/>
      <c r="K95" s="124"/>
    </row>
    <row r="96" ht="15.75" customHeight="1">
      <c r="E96" s="124"/>
      <c r="F96" s="124"/>
      <c r="G96" s="124"/>
      <c r="H96" s="124"/>
      <c r="I96" s="124"/>
      <c r="J96" s="124"/>
      <c r="K96" s="124"/>
    </row>
    <row r="97" ht="15.75" customHeight="1">
      <c r="E97" s="124"/>
      <c r="F97" s="124"/>
      <c r="G97" s="124"/>
      <c r="H97" s="124"/>
      <c r="I97" s="124"/>
      <c r="J97" s="124"/>
      <c r="K97" s="124"/>
    </row>
    <row r="98" ht="15.75" customHeight="1">
      <c r="E98" s="124"/>
      <c r="F98" s="124"/>
      <c r="G98" s="124"/>
      <c r="H98" s="124"/>
      <c r="I98" s="124"/>
      <c r="J98" s="124"/>
      <c r="K98" s="124"/>
    </row>
    <row r="99" ht="15.75" customHeight="1">
      <c r="E99" s="124"/>
      <c r="F99" s="124"/>
      <c r="G99" s="124"/>
      <c r="H99" s="124"/>
      <c r="I99" s="124"/>
      <c r="J99" s="124"/>
      <c r="K99" s="124"/>
    </row>
    <row r="100" ht="15.75" customHeight="1">
      <c r="E100" s="124"/>
      <c r="F100" s="124"/>
      <c r="G100" s="124"/>
      <c r="H100" s="124"/>
      <c r="I100" s="124"/>
      <c r="J100" s="124"/>
      <c r="K100" s="124"/>
    </row>
    <row r="101" ht="15.75" customHeight="1">
      <c r="E101" s="124"/>
      <c r="F101" s="124"/>
      <c r="G101" s="124"/>
      <c r="H101" s="124"/>
      <c r="I101" s="124"/>
      <c r="J101" s="124"/>
      <c r="K101" s="124"/>
    </row>
    <row r="102" ht="15.75" customHeight="1">
      <c r="E102" s="124"/>
      <c r="F102" s="124"/>
      <c r="G102" s="124"/>
      <c r="H102" s="124"/>
      <c r="I102" s="124"/>
      <c r="J102" s="124"/>
      <c r="K102" s="124"/>
    </row>
    <row r="103" ht="15.75" customHeight="1">
      <c r="E103" s="124"/>
      <c r="F103" s="124"/>
      <c r="G103" s="124"/>
      <c r="H103" s="124"/>
      <c r="I103" s="124"/>
      <c r="J103" s="124"/>
      <c r="K103" s="124"/>
    </row>
    <row r="104" ht="15.75" customHeight="1">
      <c r="E104" s="124"/>
      <c r="F104" s="124"/>
      <c r="G104" s="124"/>
      <c r="H104" s="124"/>
      <c r="I104" s="124"/>
      <c r="J104" s="124"/>
      <c r="K104" s="124"/>
    </row>
    <row r="105" ht="15.75" customHeight="1">
      <c r="E105" s="124"/>
      <c r="F105" s="124"/>
      <c r="G105" s="124"/>
      <c r="H105" s="124"/>
      <c r="I105" s="124"/>
      <c r="J105" s="124"/>
      <c r="K105" s="124"/>
    </row>
    <row r="106" ht="15.75" customHeight="1">
      <c r="E106" s="124"/>
      <c r="F106" s="124"/>
      <c r="G106" s="124"/>
      <c r="H106" s="124"/>
      <c r="I106" s="124"/>
      <c r="J106" s="124"/>
      <c r="K106" s="124"/>
    </row>
    <row r="107" ht="15.75" customHeight="1">
      <c r="E107" s="124"/>
      <c r="F107" s="124"/>
      <c r="G107" s="124"/>
      <c r="H107" s="124"/>
      <c r="I107" s="124"/>
      <c r="J107" s="124"/>
      <c r="K107" s="124"/>
    </row>
    <row r="108" ht="15.75" customHeight="1">
      <c r="E108" s="124"/>
      <c r="F108" s="124"/>
      <c r="G108" s="124"/>
      <c r="H108" s="124"/>
      <c r="I108" s="124"/>
      <c r="J108" s="124"/>
      <c r="K108" s="124"/>
    </row>
    <row r="109" ht="15.75" customHeight="1">
      <c r="E109" s="124"/>
      <c r="F109" s="124"/>
      <c r="G109" s="124"/>
      <c r="H109" s="124"/>
      <c r="I109" s="124"/>
      <c r="J109" s="124"/>
      <c r="K109" s="124"/>
    </row>
    <row r="110" ht="15.75" customHeight="1">
      <c r="E110" s="124"/>
      <c r="F110" s="124"/>
      <c r="G110" s="124"/>
      <c r="H110" s="124"/>
      <c r="I110" s="124"/>
      <c r="J110" s="124"/>
      <c r="K110" s="124"/>
    </row>
    <row r="111" ht="15.75" customHeight="1">
      <c r="E111" s="124"/>
      <c r="F111" s="124"/>
      <c r="G111" s="124"/>
      <c r="H111" s="124"/>
      <c r="I111" s="124"/>
      <c r="J111" s="124"/>
      <c r="K111" s="124"/>
    </row>
    <row r="112" ht="15.75" customHeight="1">
      <c r="E112" s="124"/>
      <c r="F112" s="124"/>
      <c r="G112" s="124"/>
      <c r="H112" s="124"/>
      <c r="I112" s="124"/>
      <c r="J112" s="124"/>
      <c r="K112" s="124"/>
    </row>
    <row r="113" ht="15.75" customHeight="1">
      <c r="E113" s="124"/>
      <c r="F113" s="124"/>
      <c r="G113" s="124"/>
      <c r="H113" s="124"/>
      <c r="I113" s="124"/>
      <c r="J113" s="124"/>
      <c r="K113" s="124"/>
    </row>
    <row r="114" ht="15.75" customHeight="1">
      <c r="E114" s="124"/>
      <c r="F114" s="124"/>
      <c r="G114" s="124"/>
      <c r="H114" s="124"/>
      <c r="I114" s="124"/>
      <c r="J114" s="124"/>
      <c r="K114" s="124"/>
    </row>
    <row r="115" ht="15.75" customHeight="1">
      <c r="E115" s="124"/>
      <c r="F115" s="124"/>
      <c r="G115" s="124"/>
      <c r="H115" s="124"/>
      <c r="I115" s="124"/>
      <c r="J115" s="124"/>
      <c r="K115" s="124"/>
    </row>
    <row r="116" ht="15.75" customHeight="1">
      <c r="E116" s="124"/>
      <c r="F116" s="124"/>
      <c r="G116" s="124"/>
      <c r="H116" s="124"/>
      <c r="I116" s="124"/>
      <c r="J116" s="124"/>
      <c r="K116" s="124"/>
    </row>
    <row r="117" ht="15.75" customHeight="1">
      <c r="E117" s="124"/>
      <c r="F117" s="124"/>
      <c r="G117" s="124"/>
      <c r="H117" s="124"/>
      <c r="I117" s="124"/>
      <c r="J117" s="124"/>
      <c r="K117" s="124"/>
    </row>
    <row r="118" ht="15.75" customHeight="1">
      <c r="E118" s="124"/>
      <c r="F118" s="124"/>
      <c r="G118" s="124"/>
      <c r="H118" s="124"/>
      <c r="I118" s="124"/>
      <c r="J118" s="124"/>
      <c r="K118" s="124"/>
    </row>
    <row r="119" ht="15.75" customHeight="1">
      <c r="E119" s="124"/>
      <c r="F119" s="124"/>
      <c r="G119" s="124"/>
      <c r="H119" s="124"/>
      <c r="I119" s="124"/>
      <c r="J119" s="124"/>
      <c r="K119" s="124"/>
    </row>
    <row r="120" ht="15.75" customHeight="1">
      <c r="E120" s="124"/>
      <c r="F120" s="124"/>
      <c r="G120" s="124"/>
      <c r="H120" s="124"/>
      <c r="I120" s="124"/>
      <c r="J120" s="124"/>
      <c r="K120" s="124"/>
    </row>
    <row r="121" ht="15.75" customHeight="1">
      <c r="E121" s="124"/>
      <c r="F121" s="124"/>
      <c r="G121" s="124"/>
      <c r="H121" s="124"/>
      <c r="I121" s="124"/>
      <c r="J121" s="124"/>
      <c r="K121" s="124"/>
    </row>
    <row r="122" ht="15.75" customHeight="1">
      <c r="E122" s="124"/>
      <c r="F122" s="124"/>
      <c r="G122" s="124"/>
      <c r="H122" s="124"/>
      <c r="I122" s="124"/>
      <c r="J122" s="124"/>
      <c r="K122" s="124"/>
    </row>
    <row r="123" ht="15.75" customHeight="1">
      <c r="E123" s="124"/>
      <c r="F123" s="124"/>
      <c r="G123" s="124"/>
      <c r="H123" s="124"/>
      <c r="I123" s="124"/>
      <c r="J123" s="124"/>
      <c r="K123" s="124"/>
    </row>
    <row r="124" ht="15.75" customHeight="1">
      <c r="E124" s="124"/>
      <c r="F124" s="124"/>
      <c r="G124" s="124"/>
      <c r="H124" s="124"/>
      <c r="I124" s="124"/>
      <c r="J124" s="124"/>
      <c r="K124" s="124"/>
    </row>
    <row r="125" ht="15.75" customHeight="1">
      <c r="E125" s="124"/>
      <c r="F125" s="124"/>
      <c r="G125" s="124"/>
      <c r="H125" s="124"/>
      <c r="I125" s="124"/>
      <c r="J125" s="124"/>
      <c r="K125" s="124"/>
    </row>
    <row r="126" ht="15.75" customHeight="1">
      <c r="E126" s="124"/>
      <c r="F126" s="124"/>
      <c r="G126" s="124"/>
      <c r="H126" s="124"/>
      <c r="I126" s="124"/>
      <c r="J126" s="124"/>
      <c r="K126" s="124"/>
    </row>
    <row r="127" ht="15.75" customHeight="1">
      <c r="E127" s="124"/>
      <c r="F127" s="124"/>
      <c r="G127" s="124"/>
      <c r="H127" s="124"/>
      <c r="I127" s="124"/>
      <c r="J127" s="124"/>
      <c r="K127" s="124"/>
    </row>
    <row r="128" ht="15.75" customHeight="1">
      <c r="E128" s="124"/>
      <c r="F128" s="124"/>
      <c r="G128" s="124"/>
      <c r="H128" s="124"/>
      <c r="I128" s="124"/>
      <c r="J128" s="124"/>
      <c r="K128" s="124"/>
    </row>
    <row r="129" ht="15.75" customHeight="1">
      <c r="E129" s="124"/>
      <c r="F129" s="124"/>
      <c r="G129" s="124"/>
      <c r="H129" s="124"/>
      <c r="I129" s="124"/>
      <c r="J129" s="124"/>
      <c r="K129" s="124"/>
    </row>
    <row r="130" ht="15.75" customHeight="1">
      <c r="E130" s="124"/>
      <c r="F130" s="124"/>
      <c r="G130" s="124"/>
      <c r="H130" s="124"/>
      <c r="I130" s="124"/>
      <c r="J130" s="124"/>
      <c r="K130" s="124"/>
    </row>
    <row r="131" ht="15.75" customHeight="1">
      <c r="E131" s="124"/>
      <c r="F131" s="124"/>
      <c r="G131" s="124"/>
      <c r="H131" s="124"/>
      <c r="I131" s="124"/>
      <c r="J131" s="124"/>
      <c r="K131" s="124"/>
    </row>
    <row r="132" ht="15.75" customHeight="1">
      <c r="E132" s="124"/>
      <c r="F132" s="124"/>
      <c r="G132" s="124"/>
      <c r="H132" s="124"/>
      <c r="I132" s="124"/>
      <c r="J132" s="124"/>
      <c r="K132" s="124"/>
    </row>
    <row r="133" ht="15.75" customHeight="1">
      <c r="E133" s="124"/>
      <c r="F133" s="124"/>
      <c r="G133" s="124"/>
      <c r="H133" s="124"/>
      <c r="I133" s="124"/>
      <c r="J133" s="124"/>
      <c r="K133" s="124"/>
    </row>
    <row r="134" ht="15.75" customHeight="1">
      <c r="E134" s="124"/>
      <c r="F134" s="124"/>
      <c r="G134" s="124"/>
      <c r="H134" s="124"/>
      <c r="I134" s="124"/>
      <c r="J134" s="124"/>
      <c r="K134" s="124"/>
    </row>
    <row r="135" ht="15.75" customHeight="1">
      <c r="E135" s="124"/>
      <c r="F135" s="124"/>
      <c r="G135" s="124"/>
      <c r="H135" s="124"/>
      <c r="I135" s="124"/>
      <c r="J135" s="124"/>
      <c r="K135" s="124"/>
    </row>
    <row r="136" ht="15.75" customHeight="1">
      <c r="E136" s="124"/>
      <c r="F136" s="124"/>
      <c r="G136" s="124"/>
      <c r="H136" s="124"/>
      <c r="I136" s="124"/>
      <c r="J136" s="124"/>
      <c r="K136" s="124"/>
    </row>
    <row r="137" ht="15.75" customHeight="1">
      <c r="E137" s="124"/>
      <c r="F137" s="124"/>
      <c r="G137" s="124"/>
      <c r="H137" s="124"/>
      <c r="I137" s="124"/>
      <c r="J137" s="124"/>
      <c r="K137" s="124"/>
    </row>
    <row r="138" ht="15.75" customHeight="1">
      <c r="E138" s="124"/>
      <c r="F138" s="124"/>
      <c r="G138" s="124"/>
      <c r="H138" s="124"/>
      <c r="I138" s="124"/>
      <c r="J138" s="124"/>
      <c r="K138" s="124"/>
    </row>
    <row r="139" ht="15.75" customHeight="1">
      <c r="E139" s="124"/>
      <c r="F139" s="124"/>
      <c r="G139" s="124"/>
      <c r="H139" s="124"/>
      <c r="I139" s="124"/>
      <c r="J139" s="124"/>
      <c r="K139" s="124"/>
    </row>
    <row r="140" ht="15.75" customHeight="1">
      <c r="E140" s="124"/>
      <c r="F140" s="124"/>
      <c r="G140" s="124"/>
      <c r="H140" s="124"/>
      <c r="I140" s="124"/>
      <c r="J140" s="124"/>
      <c r="K140" s="124"/>
    </row>
    <row r="141" ht="15.75" customHeight="1">
      <c r="E141" s="124"/>
      <c r="F141" s="124"/>
      <c r="G141" s="124"/>
      <c r="H141" s="124"/>
      <c r="I141" s="124"/>
      <c r="J141" s="124"/>
      <c r="K141" s="124"/>
    </row>
    <row r="142" ht="15.75" customHeight="1">
      <c r="E142" s="124"/>
      <c r="F142" s="124"/>
      <c r="G142" s="124"/>
      <c r="H142" s="124"/>
      <c r="I142" s="124"/>
      <c r="J142" s="124"/>
      <c r="K142" s="124"/>
    </row>
    <row r="143" ht="15.75" customHeight="1">
      <c r="E143" s="124"/>
      <c r="F143" s="124"/>
      <c r="G143" s="124"/>
      <c r="H143" s="124"/>
      <c r="I143" s="124"/>
      <c r="J143" s="124"/>
      <c r="K143" s="124"/>
    </row>
    <row r="144" ht="15.75" customHeight="1">
      <c r="E144" s="124"/>
      <c r="F144" s="124"/>
      <c r="G144" s="124"/>
      <c r="H144" s="124"/>
      <c r="I144" s="124"/>
      <c r="J144" s="124"/>
      <c r="K144" s="124"/>
    </row>
    <row r="145" ht="15.75" customHeight="1">
      <c r="E145" s="124"/>
      <c r="F145" s="124"/>
      <c r="G145" s="124"/>
      <c r="H145" s="124"/>
      <c r="I145" s="124"/>
      <c r="J145" s="124"/>
      <c r="K145" s="124"/>
    </row>
    <row r="146" ht="15.75" customHeight="1">
      <c r="E146" s="124"/>
      <c r="F146" s="124"/>
      <c r="G146" s="124"/>
      <c r="H146" s="124"/>
      <c r="I146" s="124"/>
      <c r="J146" s="124"/>
      <c r="K146" s="124"/>
    </row>
    <row r="147" ht="15.75" customHeight="1">
      <c r="E147" s="124"/>
      <c r="F147" s="124"/>
      <c r="G147" s="124"/>
      <c r="H147" s="124"/>
      <c r="I147" s="124"/>
      <c r="J147" s="124"/>
      <c r="K147" s="124"/>
    </row>
    <row r="148" ht="15.75" customHeight="1">
      <c r="E148" s="124"/>
      <c r="F148" s="124"/>
      <c r="G148" s="124"/>
      <c r="H148" s="124"/>
      <c r="I148" s="124"/>
      <c r="J148" s="124"/>
      <c r="K148" s="124"/>
    </row>
    <row r="149" ht="15.75" customHeight="1">
      <c r="E149" s="124"/>
      <c r="F149" s="124"/>
      <c r="G149" s="124"/>
      <c r="H149" s="124"/>
      <c r="I149" s="124"/>
      <c r="J149" s="124"/>
      <c r="K149" s="124"/>
    </row>
    <row r="150" ht="15.75" customHeight="1">
      <c r="E150" s="124"/>
      <c r="F150" s="124"/>
      <c r="G150" s="124"/>
      <c r="H150" s="124"/>
      <c r="I150" s="124"/>
      <c r="J150" s="124"/>
      <c r="K150" s="124"/>
    </row>
    <row r="151" ht="15.75" customHeight="1">
      <c r="E151" s="124"/>
      <c r="F151" s="124"/>
      <c r="G151" s="124"/>
      <c r="H151" s="124"/>
      <c r="I151" s="124"/>
      <c r="J151" s="124"/>
      <c r="K151" s="124"/>
    </row>
    <row r="152" ht="15.75" customHeight="1">
      <c r="E152" s="124"/>
      <c r="F152" s="124"/>
      <c r="G152" s="124"/>
      <c r="H152" s="124"/>
      <c r="I152" s="124"/>
      <c r="J152" s="124"/>
      <c r="K152" s="124"/>
    </row>
    <row r="153" ht="15.75" customHeight="1">
      <c r="E153" s="124"/>
      <c r="F153" s="124"/>
      <c r="G153" s="124"/>
      <c r="H153" s="124"/>
      <c r="I153" s="124"/>
      <c r="J153" s="124"/>
      <c r="K153" s="124"/>
    </row>
    <row r="154" ht="15.75" customHeight="1">
      <c r="E154" s="124"/>
      <c r="F154" s="124"/>
      <c r="G154" s="124"/>
      <c r="H154" s="124"/>
      <c r="I154" s="124"/>
      <c r="J154" s="124"/>
      <c r="K154" s="124"/>
    </row>
    <row r="155" ht="15.75" customHeight="1">
      <c r="E155" s="124"/>
      <c r="F155" s="124"/>
      <c r="G155" s="124"/>
      <c r="H155" s="124"/>
      <c r="I155" s="124"/>
      <c r="J155" s="124"/>
      <c r="K155" s="124"/>
    </row>
    <row r="156" ht="15.75" customHeight="1">
      <c r="E156" s="124"/>
      <c r="F156" s="124"/>
      <c r="G156" s="124"/>
      <c r="H156" s="124"/>
      <c r="I156" s="124"/>
      <c r="J156" s="124"/>
      <c r="K156" s="124"/>
    </row>
    <row r="157" ht="15.75" customHeight="1">
      <c r="E157" s="124"/>
      <c r="F157" s="124"/>
      <c r="G157" s="124"/>
      <c r="H157" s="124"/>
      <c r="I157" s="124"/>
      <c r="J157" s="124"/>
      <c r="K157" s="124"/>
    </row>
    <row r="158" ht="15.75" customHeight="1">
      <c r="E158" s="124"/>
      <c r="F158" s="124"/>
      <c r="G158" s="124"/>
      <c r="H158" s="124"/>
      <c r="I158" s="124"/>
      <c r="J158" s="124"/>
      <c r="K158" s="124"/>
    </row>
    <row r="159" ht="15.75" customHeight="1">
      <c r="E159" s="124"/>
      <c r="F159" s="124"/>
      <c r="G159" s="124"/>
      <c r="H159" s="124"/>
      <c r="I159" s="124"/>
      <c r="J159" s="124"/>
      <c r="K159" s="124"/>
    </row>
    <row r="160" ht="15.75" customHeight="1">
      <c r="E160" s="124"/>
      <c r="F160" s="124"/>
      <c r="G160" s="124"/>
      <c r="H160" s="124"/>
      <c r="I160" s="124"/>
      <c r="J160" s="124"/>
      <c r="K160" s="124"/>
    </row>
    <row r="161" ht="15.75" customHeight="1">
      <c r="E161" s="124"/>
      <c r="F161" s="124"/>
      <c r="G161" s="124"/>
      <c r="H161" s="124"/>
      <c r="I161" s="124"/>
      <c r="J161" s="124"/>
      <c r="K161" s="124"/>
    </row>
    <row r="162" ht="15.75" customHeight="1">
      <c r="E162" s="124"/>
      <c r="F162" s="124"/>
      <c r="G162" s="124"/>
      <c r="H162" s="124"/>
      <c r="I162" s="124"/>
      <c r="J162" s="124"/>
      <c r="K162" s="124"/>
    </row>
    <row r="163" ht="15.75" customHeight="1">
      <c r="E163" s="124"/>
      <c r="F163" s="124"/>
      <c r="G163" s="124"/>
      <c r="H163" s="124"/>
      <c r="I163" s="124"/>
      <c r="J163" s="124"/>
      <c r="K163" s="124"/>
    </row>
    <row r="164" ht="15.75" customHeight="1">
      <c r="E164" s="124"/>
      <c r="F164" s="124"/>
      <c r="G164" s="124"/>
      <c r="H164" s="124"/>
      <c r="I164" s="124"/>
      <c r="J164" s="124"/>
      <c r="K164" s="124"/>
    </row>
    <row r="165" ht="15.75" customHeight="1">
      <c r="E165" s="124"/>
      <c r="F165" s="124"/>
      <c r="G165" s="124"/>
      <c r="H165" s="124"/>
      <c r="I165" s="124"/>
      <c r="J165" s="124"/>
      <c r="K165" s="124"/>
    </row>
    <row r="166" ht="15.75" customHeight="1">
      <c r="E166" s="124"/>
      <c r="F166" s="124"/>
      <c r="G166" s="124"/>
      <c r="H166" s="124"/>
      <c r="I166" s="124"/>
      <c r="J166" s="124"/>
      <c r="K166" s="124"/>
    </row>
    <row r="167" ht="15.75" customHeight="1">
      <c r="E167" s="124"/>
      <c r="F167" s="124"/>
      <c r="G167" s="124"/>
      <c r="H167" s="124"/>
      <c r="I167" s="124"/>
      <c r="J167" s="124"/>
      <c r="K167" s="124"/>
    </row>
    <row r="168" ht="15.75" customHeight="1">
      <c r="E168" s="124"/>
      <c r="F168" s="124"/>
      <c r="G168" s="124"/>
      <c r="H168" s="124"/>
      <c r="I168" s="124"/>
      <c r="J168" s="124"/>
      <c r="K168" s="124"/>
    </row>
    <row r="169" ht="15.75" customHeight="1">
      <c r="E169" s="124"/>
      <c r="F169" s="124"/>
      <c r="G169" s="124"/>
      <c r="H169" s="124"/>
      <c r="I169" s="124"/>
      <c r="J169" s="124"/>
      <c r="K169" s="124"/>
    </row>
    <row r="170" ht="15.75" customHeight="1">
      <c r="E170" s="124"/>
      <c r="F170" s="124"/>
      <c r="G170" s="124"/>
      <c r="H170" s="124"/>
      <c r="I170" s="124"/>
      <c r="J170" s="124"/>
      <c r="K170" s="124"/>
    </row>
    <row r="171" ht="15.75" customHeight="1">
      <c r="E171" s="124"/>
      <c r="F171" s="124"/>
      <c r="G171" s="124"/>
      <c r="H171" s="124"/>
      <c r="I171" s="124"/>
      <c r="J171" s="124"/>
      <c r="K171" s="124"/>
    </row>
    <row r="172" ht="15.75" customHeight="1">
      <c r="E172" s="124"/>
      <c r="F172" s="124"/>
      <c r="G172" s="124"/>
      <c r="H172" s="124"/>
      <c r="I172" s="124"/>
      <c r="J172" s="124"/>
      <c r="K172" s="124"/>
    </row>
    <row r="173" ht="15.75" customHeight="1">
      <c r="E173" s="124"/>
      <c r="F173" s="124"/>
      <c r="G173" s="124"/>
      <c r="H173" s="124"/>
      <c r="I173" s="124"/>
      <c r="J173" s="124"/>
      <c r="K173" s="124"/>
    </row>
    <row r="174" ht="15.75" customHeight="1">
      <c r="E174" s="124"/>
      <c r="F174" s="124"/>
      <c r="G174" s="124"/>
      <c r="H174" s="124"/>
      <c r="I174" s="124"/>
      <c r="J174" s="124"/>
      <c r="K174" s="124"/>
    </row>
    <row r="175" ht="15.75" customHeight="1">
      <c r="E175" s="124"/>
      <c r="F175" s="124"/>
      <c r="G175" s="124"/>
      <c r="H175" s="124"/>
      <c r="I175" s="124"/>
      <c r="J175" s="124"/>
      <c r="K175" s="124"/>
    </row>
    <row r="176" ht="15.75" customHeight="1">
      <c r="E176" s="124"/>
      <c r="F176" s="124"/>
      <c r="G176" s="124"/>
      <c r="H176" s="124"/>
      <c r="I176" s="124"/>
      <c r="J176" s="124"/>
      <c r="K176" s="124"/>
    </row>
    <row r="177" ht="15.75" customHeight="1">
      <c r="E177" s="124"/>
      <c r="F177" s="124"/>
      <c r="G177" s="124"/>
      <c r="H177" s="124"/>
      <c r="I177" s="124"/>
      <c r="J177" s="124"/>
      <c r="K177" s="124"/>
    </row>
    <row r="178" ht="15.75" customHeight="1">
      <c r="E178" s="124"/>
      <c r="F178" s="124"/>
      <c r="G178" s="124"/>
      <c r="H178" s="124"/>
      <c r="I178" s="124"/>
      <c r="J178" s="124"/>
      <c r="K178" s="124"/>
    </row>
    <row r="179" ht="15.75" customHeight="1">
      <c r="E179" s="124"/>
      <c r="F179" s="124"/>
      <c r="G179" s="124"/>
      <c r="H179" s="124"/>
      <c r="I179" s="124"/>
      <c r="J179" s="124"/>
      <c r="K179" s="124"/>
    </row>
    <row r="180" ht="15.75" customHeight="1">
      <c r="E180" s="124"/>
      <c r="F180" s="124"/>
      <c r="G180" s="124"/>
      <c r="H180" s="124"/>
      <c r="I180" s="124"/>
      <c r="J180" s="124"/>
      <c r="K180" s="124"/>
    </row>
    <row r="181" ht="15.75" customHeight="1">
      <c r="E181" s="124"/>
      <c r="F181" s="124"/>
      <c r="G181" s="124"/>
      <c r="H181" s="124"/>
      <c r="I181" s="124"/>
      <c r="J181" s="124"/>
      <c r="K181" s="124"/>
    </row>
    <row r="182" ht="15.75" customHeight="1">
      <c r="E182" s="124"/>
      <c r="F182" s="124"/>
      <c r="G182" s="124"/>
      <c r="H182" s="124"/>
      <c r="I182" s="124"/>
      <c r="J182" s="124"/>
      <c r="K182" s="124"/>
    </row>
    <row r="183" ht="15.75" customHeight="1">
      <c r="E183" s="124"/>
      <c r="F183" s="124"/>
      <c r="G183" s="124"/>
      <c r="H183" s="124"/>
      <c r="I183" s="124"/>
      <c r="J183" s="124"/>
      <c r="K183" s="124"/>
    </row>
    <row r="184" ht="15.75" customHeight="1">
      <c r="E184" s="124"/>
      <c r="F184" s="124"/>
      <c r="G184" s="124"/>
      <c r="H184" s="124"/>
      <c r="I184" s="124"/>
      <c r="J184" s="124"/>
      <c r="K184" s="124"/>
    </row>
    <row r="185" ht="15.75" customHeight="1">
      <c r="E185" s="124"/>
      <c r="F185" s="124"/>
      <c r="G185" s="124"/>
      <c r="H185" s="124"/>
      <c r="I185" s="124"/>
      <c r="J185" s="124"/>
      <c r="K185" s="124"/>
    </row>
    <row r="186" ht="15.75" customHeight="1">
      <c r="E186" s="124"/>
      <c r="F186" s="124"/>
      <c r="G186" s="124"/>
      <c r="H186" s="124"/>
      <c r="I186" s="124"/>
      <c r="J186" s="124"/>
      <c r="K186" s="124"/>
    </row>
    <row r="187" ht="15.75" customHeight="1">
      <c r="E187" s="124"/>
      <c r="F187" s="124"/>
      <c r="G187" s="124"/>
      <c r="H187" s="124"/>
      <c r="I187" s="124"/>
      <c r="J187" s="124"/>
      <c r="K187" s="124"/>
    </row>
    <row r="188" ht="15.75" customHeight="1">
      <c r="E188" s="124"/>
      <c r="F188" s="124"/>
      <c r="G188" s="124"/>
      <c r="H188" s="124"/>
      <c r="I188" s="124"/>
      <c r="J188" s="124"/>
      <c r="K188" s="124"/>
    </row>
    <row r="189" ht="15.75" customHeight="1">
      <c r="E189" s="124"/>
      <c r="F189" s="124"/>
      <c r="G189" s="124"/>
      <c r="H189" s="124"/>
      <c r="I189" s="124"/>
      <c r="J189" s="124"/>
      <c r="K189" s="124"/>
    </row>
    <row r="190" ht="15.75" customHeight="1">
      <c r="E190" s="124"/>
      <c r="F190" s="124"/>
      <c r="G190" s="124"/>
      <c r="H190" s="124"/>
      <c r="I190" s="124"/>
      <c r="J190" s="124"/>
      <c r="K190" s="124"/>
    </row>
    <row r="191" ht="15.75" customHeight="1">
      <c r="E191" s="124"/>
      <c r="F191" s="124"/>
      <c r="G191" s="124"/>
      <c r="H191" s="124"/>
      <c r="I191" s="124"/>
      <c r="J191" s="124"/>
      <c r="K191" s="124"/>
    </row>
    <row r="192" ht="15.75" customHeight="1">
      <c r="E192" s="124"/>
      <c r="F192" s="124"/>
      <c r="G192" s="124"/>
      <c r="H192" s="124"/>
      <c r="I192" s="124"/>
      <c r="J192" s="124"/>
      <c r="K192" s="124"/>
    </row>
    <row r="193" ht="15.75" customHeight="1">
      <c r="E193" s="124"/>
      <c r="F193" s="124"/>
      <c r="G193" s="124"/>
      <c r="H193" s="124"/>
      <c r="I193" s="124"/>
      <c r="J193" s="124"/>
      <c r="K193" s="124"/>
    </row>
    <row r="194" ht="15.75" customHeight="1">
      <c r="E194" s="124"/>
      <c r="F194" s="124"/>
      <c r="G194" s="124"/>
      <c r="H194" s="124"/>
      <c r="I194" s="124"/>
      <c r="J194" s="124"/>
      <c r="K194" s="124"/>
    </row>
    <row r="195" ht="15.75" customHeight="1">
      <c r="E195" s="124"/>
      <c r="F195" s="124"/>
      <c r="G195" s="124"/>
      <c r="H195" s="124"/>
      <c r="I195" s="124"/>
      <c r="J195" s="124"/>
      <c r="K195" s="124"/>
    </row>
    <row r="196" ht="15.75" customHeight="1">
      <c r="E196" s="124"/>
      <c r="F196" s="124"/>
      <c r="G196" s="124"/>
      <c r="H196" s="124"/>
      <c r="I196" s="124"/>
      <c r="J196" s="124"/>
      <c r="K196" s="124"/>
    </row>
    <row r="197" ht="15.75" customHeight="1">
      <c r="E197" s="124"/>
      <c r="F197" s="124"/>
      <c r="G197" s="124"/>
      <c r="H197" s="124"/>
      <c r="I197" s="124"/>
      <c r="J197" s="124"/>
      <c r="K197" s="124"/>
    </row>
    <row r="198" ht="15.75" customHeight="1">
      <c r="E198" s="124"/>
      <c r="F198" s="124"/>
      <c r="G198" s="124"/>
      <c r="H198" s="124"/>
      <c r="I198" s="124"/>
      <c r="J198" s="124"/>
      <c r="K198" s="124"/>
    </row>
    <row r="199" ht="15.75" customHeight="1">
      <c r="E199" s="124"/>
      <c r="F199" s="124"/>
      <c r="G199" s="124"/>
      <c r="H199" s="124"/>
      <c r="I199" s="124"/>
      <c r="J199" s="124"/>
      <c r="K199" s="124"/>
    </row>
    <row r="200" ht="15.75" customHeight="1">
      <c r="E200" s="124"/>
      <c r="F200" s="124"/>
      <c r="G200" s="124"/>
      <c r="H200" s="124"/>
      <c r="I200" s="124"/>
      <c r="J200" s="124"/>
      <c r="K200" s="124"/>
    </row>
    <row r="201" ht="15.75" customHeight="1">
      <c r="E201" s="124"/>
      <c r="F201" s="124"/>
      <c r="G201" s="124"/>
      <c r="H201" s="124"/>
      <c r="I201" s="124"/>
      <c r="J201" s="124"/>
      <c r="K201" s="124"/>
    </row>
    <row r="202" ht="15.75" customHeight="1">
      <c r="E202" s="124"/>
      <c r="F202" s="124"/>
      <c r="G202" s="124"/>
      <c r="H202" s="124"/>
      <c r="I202" s="124"/>
      <c r="J202" s="124"/>
      <c r="K202" s="124"/>
    </row>
    <row r="203" ht="15.75" customHeight="1">
      <c r="E203" s="124"/>
      <c r="F203" s="124"/>
      <c r="G203" s="124"/>
      <c r="H203" s="124"/>
      <c r="I203" s="124"/>
      <c r="J203" s="124"/>
      <c r="K203" s="124"/>
    </row>
    <row r="204" ht="15.75" customHeight="1">
      <c r="E204" s="124"/>
      <c r="F204" s="124"/>
      <c r="G204" s="124"/>
      <c r="H204" s="124"/>
      <c r="I204" s="124"/>
      <c r="J204" s="124"/>
      <c r="K204" s="124"/>
    </row>
    <row r="205" ht="15.75" customHeight="1">
      <c r="E205" s="124"/>
      <c r="F205" s="124"/>
      <c r="G205" s="124"/>
      <c r="H205" s="124"/>
      <c r="I205" s="124"/>
      <c r="J205" s="124"/>
      <c r="K205" s="124"/>
    </row>
    <row r="206" ht="15.75" customHeight="1">
      <c r="E206" s="124"/>
      <c r="F206" s="124"/>
      <c r="G206" s="124"/>
      <c r="H206" s="124"/>
      <c r="I206" s="124"/>
      <c r="J206" s="124"/>
      <c r="K206" s="124"/>
    </row>
    <row r="207" ht="15.75" customHeight="1">
      <c r="E207" s="124"/>
      <c r="F207" s="124"/>
      <c r="G207" s="124"/>
      <c r="H207" s="124"/>
      <c r="I207" s="124"/>
      <c r="J207" s="124"/>
      <c r="K207" s="124"/>
    </row>
    <row r="208" ht="15.75" customHeight="1">
      <c r="E208" s="124"/>
      <c r="F208" s="124"/>
      <c r="G208" s="124"/>
      <c r="H208" s="124"/>
      <c r="I208" s="124"/>
      <c r="J208" s="124"/>
      <c r="K208" s="124"/>
    </row>
    <row r="209" ht="15.75" customHeight="1">
      <c r="E209" s="124"/>
      <c r="F209" s="124"/>
      <c r="G209" s="124"/>
      <c r="H209" s="124"/>
      <c r="I209" s="124"/>
      <c r="J209" s="124"/>
      <c r="K209" s="124"/>
    </row>
    <row r="210" ht="15.75" customHeight="1">
      <c r="E210" s="124"/>
      <c r="F210" s="124"/>
      <c r="G210" s="124"/>
      <c r="H210" s="124"/>
      <c r="I210" s="124"/>
      <c r="J210" s="124"/>
      <c r="K210" s="124"/>
    </row>
    <row r="211" ht="15.75" customHeight="1">
      <c r="E211" s="124"/>
      <c r="F211" s="124"/>
      <c r="G211" s="124"/>
      <c r="H211" s="124"/>
      <c r="I211" s="124"/>
      <c r="J211" s="124"/>
      <c r="K211" s="124"/>
    </row>
    <row r="212" ht="15.75" customHeight="1">
      <c r="E212" s="124"/>
      <c r="F212" s="124"/>
      <c r="G212" s="124"/>
      <c r="H212" s="124"/>
      <c r="I212" s="124"/>
      <c r="J212" s="124"/>
      <c r="K212" s="124"/>
    </row>
    <row r="213" ht="15.75" customHeight="1">
      <c r="E213" s="124"/>
      <c r="F213" s="124"/>
      <c r="G213" s="124"/>
      <c r="H213" s="124"/>
      <c r="I213" s="124"/>
      <c r="J213" s="124"/>
      <c r="K213" s="124"/>
    </row>
    <row r="214" ht="15.75" customHeight="1">
      <c r="E214" s="124"/>
      <c r="F214" s="124"/>
      <c r="G214" s="124"/>
      <c r="H214" s="124"/>
      <c r="I214" s="124"/>
      <c r="J214" s="124"/>
      <c r="K214" s="124"/>
    </row>
    <row r="215" ht="15.75" customHeight="1">
      <c r="E215" s="124"/>
      <c r="F215" s="124"/>
      <c r="G215" s="124"/>
      <c r="H215" s="124"/>
      <c r="I215" s="124"/>
      <c r="J215" s="124"/>
      <c r="K215" s="124"/>
    </row>
    <row r="216" ht="15.75" customHeight="1">
      <c r="E216" s="124"/>
      <c r="F216" s="124"/>
      <c r="G216" s="124"/>
      <c r="H216" s="124"/>
      <c r="I216" s="124"/>
      <c r="J216" s="124"/>
      <c r="K216" s="124"/>
    </row>
    <row r="217" ht="15.75" customHeight="1">
      <c r="E217" s="124"/>
      <c r="F217" s="124"/>
      <c r="G217" s="124"/>
      <c r="H217" s="124"/>
      <c r="I217" s="124"/>
      <c r="J217" s="124"/>
      <c r="K217" s="124"/>
    </row>
    <row r="218" ht="15.75" customHeight="1">
      <c r="E218" s="124"/>
      <c r="F218" s="124"/>
      <c r="G218" s="124"/>
      <c r="H218" s="124"/>
      <c r="I218" s="124"/>
      <c r="J218" s="124"/>
      <c r="K218" s="124"/>
    </row>
    <row r="219" ht="15.75" customHeight="1">
      <c r="E219" s="124"/>
      <c r="F219" s="124"/>
      <c r="G219" s="124"/>
      <c r="H219" s="124"/>
      <c r="I219" s="124"/>
      <c r="J219" s="124"/>
      <c r="K219" s="124"/>
    </row>
    <row r="220" ht="15.75" customHeight="1">
      <c r="E220" s="124"/>
      <c r="F220" s="124"/>
      <c r="G220" s="124"/>
      <c r="H220" s="124"/>
      <c r="I220" s="124"/>
      <c r="J220" s="124"/>
      <c r="K220" s="124"/>
    </row>
    <row r="221" ht="15.75" customHeight="1">
      <c r="E221" s="124"/>
      <c r="F221" s="124"/>
      <c r="G221" s="124"/>
      <c r="H221" s="124"/>
      <c r="I221" s="124"/>
      <c r="J221" s="124"/>
      <c r="K221" s="124"/>
    </row>
    <row r="222" ht="15.75" customHeight="1">
      <c r="E222" s="124"/>
      <c r="F222" s="124"/>
      <c r="G222" s="124"/>
      <c r="H222" s="124"/>
      <c r="I222" s="124"/>
      <c r="J222" s="124"/>
      <c r="K222" s="124"/>
    </row>
    <row r="223" ht="15.75" customHeight="1">
      <c r="E223" s="124"/>
      <c r="F223" s="124"/>
      <c r="G223" s="124"/>
      <c r="H223" s="124"/>
      <c r="I223" s="124"/>
      <c r="J223" s="124"/>
      <c r="K223" s="124"/>
    </row>
    <row r="224" ht="15.75" customHeight="1">
      <c r="E224" s="124"/>
      <c r="F224" s="124"/>
      <c r="G224" s="124"/>
      <c r="H224" s="124"/>
      <c r="I224" s="124"/>
      <c r="J224" s="124"/>
      <c r="K224" s="124"/>
    </row>
    <row r="225" ht="15.75" customHeight="1">
      <c r="E225" s="124"/>
      <c r="F225" s="124"/>
      <c r="G225" s="124"/>
      <c r="H225" s="124"/>
      <c r="I225" s="124"/>
      <c r="J225" s="124"/>
      <c r="K225" s="124"/>
    </row>
    <row r="226" ht="15.75" customHeight="1">
      <c r="E226" s="124"/>
      <c r="F226" s="124"/>
      <c r="G226" s="124"/>
      <c r="H226" s="124"/>
      <c r="I226" s="124"/>
      <c r="J226" s="124"/>
      <c r="K226" s="124"/>
    </row>
    <row r="227" ht="15.75" customHeight="1">
      <c r="E227" s="124"/>
      <c r="F227" s="124"/>
      <c r="G227" s="124"/>
      <c r="H227" s="124"/>
      <c r="I227" s="124"/>
      <c r="J227" s="124"/>
      <c r="K227" s="124"/>
    </row>
    <row r="228" ht="15.75" customHeight="1">
      <c r="E228" s="124"/>
      <c r="F228" s="124"/>
      <c r="G228" s="124"/>
      <c r="H228" s="124"/>
      <c r="I228" s="124"/>
      <c r="J228" s="124"/>
      <c r="K228" s="124"/>
    </row>
    <row r="229" ht="15.75" customHeight="1">
      <c r="E229" s="124"/>
      <c r="F229" s="124"/>
      <c r="G229" s="124"/>
      <c r="H229" s="124"/>
      <c r="I229" s="124"/>
      <c r="J229" s="124"/>
      <c r="K229" s="124"/>
    </row>
    <row r="230" ht="15.75" customHeight="1">
      <c r="E230" s="124"/>
      <c r="F230" s="124"/>
      <c r="G230" s="124"/>
      <c r="H230" s="124"/>
      <c r="I230" s="124"/>
      <c r="J230" s="124"/>
      <c r="K230" s="124"/>
    </row>
    <row r="231" ht="15.75" customHeight="1">
      <c r="E231" s="124"/>
      <c r="F231" s="124"/>
      <c r="G231" s="124"/>
      <c r="H231" s="124"/>
      <c r="I231" s="124"/>
      <c r="J231" s="124"/>
      <c r="K231" s="124"/>
    </row>
    <row r="232" ht="15.75" customHeight="1">
      <c r="E232" s="124"/>
      <c r="F232" s="124"/>
      <c r="G232" s="124"/>
      <c r="H232" s="124"/>
      <c r="I232" s="124"/>
      <c r="J232" s="124"/>
      <c r="K232" s="124"/>
    </row>
    <row r="233" ht="15.75" customHeight="1">
      <c r="E233" s="124"/>
      <c r="F233" s="124"/>
      <c r="G233" s="124"/>
      <c r="H233" s="124"/>
      <c r="I233" s="124"/>
      <c r="J233" s="124"/>
      <c r="K233" s="124"/>
    </row>
    <row r="234" ht="15.75" customHeight="1">
      <c r="E234" s="124"/>
      <c r="F234" s="124"/>
      <c r="G234" s="124"/>
      <c r="H234" s="124"/>
      <c r="I234" s="124"/>
      <c r="J234" s="124"/>
      <c r="K234" s="124"/>
    </row>
    <row r="235" ht="15.75" customHeight="1">
      <c r="E235" s="124"/>
      <c r="F235" s="124"/>
      <c r="G235" s="124"/>
      <c r="H235" s="124"/>
      <c r="I235" s="124"/>
      <c r="J235" s="124"/>
      <c r="K235" s="124"/>
    </row>
    <row r="236" ht="15.75" customHeight="1">
      <c r="E236" s="124"/>
      <c r="F236" s="124"/>
      <c r="G236" s="124"/>
      <c r="H236" s="124"/>
      <c r="I236" s="124"/>
      <c r="J236" s="124"/>
      <c r="K236" s="124"/>
    </row>
    <row r="237" ht="15.75" customHeight="1">
      <c r="E237" s="124"/>
      <c r="F237" s="124"/>
      <c r="G237" s="124"/>
      <c r="H237" s="124"/>
      <c r="I237" s="124"/>
      <c r="J237" s="124"/>
      <c r="K237" s="124"/>
    </row>
    <row r="238" ht="15.75" customHeight="1">
      <c r="E238" s="124"/>
      <c r="F238" s="124"/>
      <c r="G238" s="124"/>
      <c r="H238" s="124"/>
      <c r="I238" s="124"/>
      <c r="J238" s="124"/>
      <c r="K238" s="124"/>
    </row>
    <row r="239" ht="15.75" customHeight="1">
      <c r="E239" s="124"/>
      <c r="F239" s="124"/>
      <c r="G239" s="124"/>
      <c r="H239" s="124"/>
      <c r="I239" s="124"/>
      <c r="J239" s="124"/>
      <c r="K239" s="124"/>
    </row>
    <row r="240" ht="15.75" customHeight="1">
      <c r="E240" s="124"/>
      <c r="F240" s="124"/>
      <c r="G240" s="124"/>
      <c r="H240" s="124"/>
      <c r="I240" s="124"/>
      <c r="J240" s="124"/>
      <c r="K240" s="124"/>
    </row>
    <row r="241" ht="15.75" customHeight="1">
      <c r="E241" s="124"/>
      <c r="F241" s="124"/>
      <c r="G241" s="124"/>
      <c r="H241" s="124"/>
      <c r="I241" s="124"/>
      <c r="J241" s="124"/>
      <c r="K241" s="124"/>
    </row>
    <row r="242" ht="15.75" customHeight="1">
      <c r="E242" s="124"/>
      <c r="F242" s="124"/>
      <c r="G242" s="124"/>
      <c r="H242" s="124"/>
      <c r="I242" s="124"/>
      <c r="J242" s="124"/>
      <c r="K242" s="124"/>
    </row>
    <row r="243" ht="15.75" customHeight="1">
      <c r="E243" s="124"/>
      <c r="F243" s="124"/>
      <c r="G243" s="124"/>
      <c r="H243" s="124"/>
      <c r="I243" s="124"/>
      <c r="J243" s="124"/>
      <c r="K243" s="124"/>
    </row>
    <row r="244" ht="15.75" customHeight="1">
      <c r="E244" s="124"/>
      <c r="F244" s="124"/>
      <c r="G244" s="124"/>
      <c r="H244" s="124"/>
      <c r="I244" s="124"/>
      <c r="J244" s="124"/>
      <c r="K244" s="124"/>
    </row>
    <row r="245" ht="15.75" customHeight="1">
      <c r="E245" s="124"/>
      <c r="F245" s="124"/>
      <c r="G245" s="124"/>
      <c r="H245" s="124"/>
      <c r="I245" s="124"/>
      <c r="J245" s="124"/>
      <c r="K245" s="124"/>
    </row>
    <row r="246" ht="15.75" customHeight="1">
      <c r="E246" s="124"/>
      <c r="F246" s="124"/>
      <c r="G246" s="124"/>
      <c r="H246" s="124"/>
      <c r="I246" s="124"/>
      <c r="J246" s="124"/>
      <c r="K246" s="124"/>
    </row>
    <row r="247" ht="15.75" customHeight="1">
      <c r="E247" s="124"/>
      <c r="F247" s="124"/>
      <c r="G247" s="124"/>
      <c r="H247" s="124"/>
      <c r="I247" s="124"/>
      <c r="J247" s="124"/>
      <c r="K247" s="124"/>
    </row>
    <row r="248" ht="15.75" customHeight="1">
      <c r="E248" s="124"/>
      <c r="F248" s="124"/>
      <c r="G248" s="124"/>
      <c r="H248" s="124"/>
      <c r="I248" s="124"/>
      <c r="J248" s="124"/>
      <c r="K248" s="124"/>
    </row>
    <row r="249" ht="15.75" customHeight="1">
      <c r="E249" s="124"/>
      <c r="F249" s="124"/>
      <c r="G249" s="124"/>
      <c r="H249" s="124"/>
      <c r="I249" s="124"/>
      <c r="J249" s="124"/>
      <c r="K249" s="124"/>
    </row>
    <row r="250" ht="15.75" customHeight="1">
      <c r="E250" s="124"/>
      <c r="F250" s="124"/>
      <c r="G250" s="124"/>
      <c r="H250" s="124"/>
      <c r="I250" s="124"/>
      <c r="J250" s="124"/>
      <c r="K250" s="124"/>
    </row>
    <row r="251" ht="15.75" customHeight="1">
      <c r="E251" s="124"/>
      <c r="F251" s="124"/>
      <c r="G251" s="124"/>
      <c r="H251" s="124"/>
      <c r="I251" s="124"/>
      <c r="J251" s="124"/>
      <c r="K251" s="124"/>
    </row>
    <row r="252" ht="15.75" customHeight="1">
      <c r="E252" s="124"/>
      <c r="F252" s="124"/>
      <c r="G252" s="124"/>
      <c r="H252" s="124"/>
      <c r="I252" s="124"/>
      <c r="J252" s="124"/>
      <c r="K252" s="124"/>
    </row>
    <row r="253" ht="15.75" customHeight="1">
      <c r="E253" s="124"/>
      <c r="F253" s="124"/>
      <c r="G253" s="124"/>
      <c r="H253" s="124"/>
      <c r="I253" s="124"/>
      <c r="J253" s="124"/>
      <c r="K253" s="124"/>
    </row>
    <row r="254" ht="15.75" customHeight="1">
      <c r="E254" s="124"/>
      <c r="F254" s="124"/>
      <c r="G254" s="124"/>
      <c r="H254" s="124"/>
      <c r="I254" s="124"/>
      <c r="J254" s="124"/>
      <c r="K254" s="124"/>
    </row>
    <row r="255" ht="15.75" customHeight="1">
      <c r="E255" s="124"/>
      <c r="F255" s="124"/>
      <c r="G255" s="124"/>
      <c r="H255" s="124"/>
      <c r="I255" s="124"/>
      <c r="J255" s="124"/>
      <c r="K255" s="124"/>
    </row>
    <row r="256" ht="15.75" customHeight="1">
      <c r="E256" s="124"/>
      <c r="F256" s="124"/>
      <c r="G256" s="124"/>
      <c r="H256" s="124"/>
      <c r="I256" s="124"/>
      <c r="J256" s="124"/>
      <c r="K256" s="124"/>
    </row>
    <row r="257" ht="15.75" customHeight="1">
      <c r="E257" s="124"/>
      <c r="F257" s="124"/>
      <c r="G257" s="124"/>
      <c r="H257" s="124"/>
      <c r="I257" s="124"/>
      <c r="J257" s="124"/>
      <c r="K257" s="124"/>
    </row>
    <row r="258" ht="15.75" customHeight="1">
      <c r="E258" s="124"/>
      <c r="F258" s="124"/>
      <c r="G258" s="124"/>
      <c r="H258" s="124"/>
      <c r="I258" s="124"/>
      <c r="J258" s="124"/>
      <c r="K258" s="124"/>
    </row>
    <row r="259" ht="15.75" customHeight="1">
      <c r="E259" s="124"/>
      <c r="F259" s="124"/>
      <c r="G259" s="124"/>
      <c r="H259" s="124"/>
      <c r="I259" s="124"/>
      <c r="J259" s="124"/>
      <c r="K259" s="124"/>
    </row>
    <row r="260" ht="15.75" customHeight="1">
      <c r="E260" s="124"/>
      <c r="F260" s="124"/>
      <c r="G260" s="124"/>
      <c r="H260" s="124"/>
      <c r="I260" s="124"/>
      <c r="J260" s="124"/>
      <c r="K260" s="124"/>
    </row>
    <row r="261" ht="15.75" customHeight="1">
      <c r="E261" s="124"/>
      <c r="F261" s="124"/>
      <c r="G261" s="124"/>
      <c r="H261" s="124"/>
      <c r="I261" s="124"/>
      <c r="J261" s="124"/>
      <c r="K261" s="124"/>
    </row>
    <row r="262" ht="15.75" customHeight="1">
      <c r="E262" s="124"/>
      <c r="F262" s="124"/>
      <c r="G262" s="124"/>
      <c r="H262" s="124"/>
      <c r="I262" s="124"/>
      <c r="J262" s="124"/>
      <c r="K262" s="124"/>
    </row>
    <row r="263" ht="15.75" customHeight="1">
      <c r="E263" s="124"/>
      <c r="F263" s="124"/>
      <c r="G263" s="124"/>
      <c r="H263" s="124"/>
      <c r="I263" s="124"/>
      <c r="J263" s="124"/>
      <c r="K263" s="124"/>
    </row>
    <row r="264" ht="15.75" customHeight="1">
      <c r="E264" s="124"/>
      <c r="F264" s="124"/>
      <c r="G264" s="124"/>
      <c r="H264" s="124"/>
      <c r="I264" s="124"/>
      <c r="J264" s="124"/>
      <c r="K264" s="124"/>
    </row>
    <row r="265" ht="15.75" customHeight="1">
      <c r="E265" s="124"/>
      <c r="F265" s="124"/>
      <c r="G265" s="124"/>
      <c r="H265" s="124"/>
      <c r="I265" s="124"/>
      <c r="J265" s="124"/>
      <c r="K265" s="124"/>
    </row>
    <row r="266" ht="15.75" customHeight="1">
      <c r="E266" s="124"/>
      <c r="F266" s="124"/>
      <c r="G266" s="124"/>
      <c r="H266" s="124"/>
      <c r="I266" s="124"/>
      <c r="J266" s="124"/>
      <c r="K266" s="124"/>
    </row>
    <row r="267" ht="15.75" customHeight="1">
      <c r="E267" s="124"/>
      <c r="F267" s="124"/>
      <c r="G267" s="124"/>
      <c r="H267" s="124"/>
      <c r="I267" s="124"/>
      <c r="J267" s="124"/>
      <c r="K267" s="124"/>
    </row>
    <row r="268" ht="15.75" customHeight="1">
      <c r="E268" s="124"/>
      <c r="F268" s="124"/>
      <c r="G268" s="124"/>
      <c r="H268" s="124"/>
      <c r="I268" s="124"/>
      <c r="J268" s="124"/>
      <c r="K268" s="124"/>
    </row>
    <row r="269" ht="15.75" customHeight="1">
      <c r="E269" s="124"/>
      <c r="F269" s="124"/>
      <c r="G269" s="124"/>
      <c r="H269" s="124"/>
      <c r="I269" s="124"/>
      <c r="J269" s="124"/>
      <c r="K269" s="124"/>
    </row>
    <row r="270" ht="15.75" customHeight="1">
      <c r="E270" s="124"/>
      <c r="F270" s="124"/>
      <c r="G270" s="124"/>
      <c r="H270" s="124"/>
      <c r="I270" s="124"/>
      <c r="J270" s="124"/>
      <c r="K270" s="124"/>
    </row>
    <row r="271" ht="15.75" customHeight="1">
      <c r="E271" s="124"/>
      <c r="F271" s="124"/>
      <c r="G271" s="124"/>
      <c r="H271" s="124"/>
      <c r="I271" s="124"/>
      <c r="J271" s="124"/>
      <c r="K271" s="124"/>
    </row>
    <row r="272" ht="15.75" customHeight="1">
      <c r="E272" s="124"/>
      <c r="F272" s="124"/>
      <c r="G272" s="124"/>
      <c r="H272" s="124"/>
      <c r="I272" s="124"/>
      <c r="J272" s="124"/>
      <c r="K272" s="124"/>
    </row>
    <row r="273" ht="15.75" customHeight="1">
      <c r="E273" s="124"/>
      <c r="F273" s="124"/>
      <c r="G273" s="124"/>
      <c r="H273" s="124"/>
      <c r="I273" s="124"/>
      <c r="J273" s="124"/>
      <c r="K273" s="124"/>
    </row>
    <row r="274" ht="15.75" customHeight="1">
      <c r="E274" s="124"/>
      <c r="F274" s="124"/>
      <c r="G274" s="124"/>
      <c r="H274" s="124"/>
      <c r="I274" s="124"/>
      <c r="J274" s="124"/>
      <c r="K274" s="124"/>
    </row>
    <row r="275" ht="15.75" customHeight="1">
      <c r="E275" s="124"/>
      <c r="F275" s="124"/>
      <c r="G275" s="124"/>
      <c r="H275" s="124"/>
      <c r="I275" s="124"/>
      <c r="J275" s="124"/>
      <c r="K275" s="124"/>
    </row>
    <row r="276" ht="15.75" customHeight="1">
      <c r="E276" s="124"/>
      <c r="F276" s="124"/>
      <c r="G276" s="124"/>
      <c r="H276" s="124"/>
      <c r="I276" s="124"/>
      <c r="J276" s="124"/>
      <c r="K276" s="124"/>
    </row>
    <row r="277" ht="15.75" customHeight="1">
      <c r="E277" s="124"/>
      <c r="F277" s="124"/>
      <c r="G277" s="124"/>
      <c r="H277" s="124"/>
      <c r="I277" s="124"/>
      <c r="J277" s="124"/>
      <c r="K277" s="124"/>
    </row>
    <row r="278" ht="15.75" customHeight="1">
      <c r="E278" s="124"/>
      <c r="F278" s="124"/>
      <c r="G278" s="124"/>
      <c r="H278" s="124"/>
      <c r="I278" s="124"/>
      <c r="J278" s="124"/>
      <c r="K278" s="124"/>
    </row>
    <row r="279" ht="15.75" customHeight="1">
      <c r="E279" s="124"/>
      <c r="F279" s="124"/>
      <c r="G279" s="124"/>
      <c r="H279" s="124"/>
      <c r="I279" s="124"/>
      <c r="J279" s="124"/>
      <c r="K279" s="124"/>
    </row>
    <row r="280" ht="15.75" customHeight="1">
      <c r="E280" s="124"/>
      <c r="F280" s="124"/>
      <c r="G280" s="124"/>
      <c r="H280" s="124"/>
      <c r="I280" s="124"/>
      <c r="J280" s="124"/>
      <c r="K280" s="124"/>
    </row>
    <row r="281" ht="15.75" customHeight="1">
      <c r="E281" s="124"/>
      <c r="F281" s="124"/>
      <c r="G281" s="124"/>
      <c r="H281" s="124"/>
      <c r="I281" s="124"/>
      <c r="J281" s="124"/>
      <c r="K281" s="124"/>
    </row>
    <row r="282" ht="15.75" customHeight="1">
      <c r="E282" s="124"/>
      <c r="F282" s="124"/>
      <c r="G282" s="124"/>
      <c r="H282" s="124"/>
      <c r="I282" s="124"/>
      <c r="J282" s="124"/>
      <c r="K282" s="124"/>
    </row>
    <row r="283" ht="15.75" customHeight="1">
      <c r="E283" s="124"/>
      <c r="F283" s="124"/>
      <c r="G283" s="124"/>
      <c r="H283" s="124"/>
      <c r="I283" s="124"/>
      <c r="J283" s="124"/>
      <c r="K283" s="124"/>
    </row>
    <row r="284" ht="15.75" customHeight="1">
      <c r="E284" s="124"/>
      <c r="F284" s="124"/>
      <c r="G284" s="124"/>
      <c r="H284" s="124"/>
      <c r="I284" s="124"/>
      <c r="J284" s="124"/>
      <c r="K284" s="124"/>
    </row>
    <row r="285" ht="15.75" customHeight="1">
      <c r="E285" s="124"/>
      <c r="F285" s="124"/>
      <c r="G285" s="124"/>
      <c r="H285" s="124"/>
      <c r="I285" s="124"/>
      <c r="J285" s="124"/>
      <c r="K285" s="124"/>
    </row>
    <row r="286" ht="15.75" customHeight="1">
      <c r="E286" s="124"/>
      <c r="F286" s="124"/>
      <c r="G286" s="124"/>
      <c r="H286" s="124"/>
      <c r="I286" s="124"/>
      <c r="J286" s="124"/>
      <c r="K286" s="124"/>
    </row>
    <row r="287" ht="15.75" customHeight="1">
      <c r="E287" s="124"/>
      <c r="F287" s="124"/>
      <c r="G287" s="124"/>
      <c r="H287" s="124"/>
      <c r="I287" s="124"/>
      <c r="J287" s="124"/>
      <c r="K287" s="124"/>
    </row>
    <row r="288" ht="15.75" customHeight="1">
      <c r="E288" s="124"/>
      <c r="F288" s="124"/>
      <c r="G288" s="124"/>
      <c r="H288" s="124"/>
      <c r="I288" s="124"/>
      <c r="J288" s="124"/>
      <c r="K288" s="124"/>
    </row>
    <row r="289" ht="15.75" customHeight="1">
      <c r="E289" s="124"/>
      <c r="F289" s="124"/>
      <c r="G289" s="124"/>
      <c r="H289" s="124"/>
      <c r="I289" s="124"/>
      <c r="J289" s="124"/>
      <c r="K289" s="124"/>
    </row>
    <row r="290" ht="15.75" customHeight="1">
      <c r="E290" s="124"/>
      <c r="F290" s="124"/>
      <c r="G290" s="124"/>
      <c r="H290" s="124"/>
      <c r="I290" s="124"/>
      <c r="J290" s="124"/>
      <c r="K290" s="124"/>
    </row>
    <row r="291" ht="15.75" customHeight="1">
      <c r="E291" s="124"/>
      <c r="F291" s="124"/>
      <c r="G291" s="124"/>
      <c r="H291" s="124"/>
      <c r="I291" s="124"/>
      <c r="J291" s="124"/>
      <c r="K291" s="124"/>
    </row>
    <row r="292" ht="15.75" customHeight="1">
      <c r="E292" s="124"/>
      <c r="F292" s="124"/>
      <c r="G292" s="124"/>
      <c r="H292" s="124"/>
      <c r="I292" s="124"/>
      <c r="J292" s="124"/>
      <c r="K292" s="124"/>
    </row>
    <row r="293" ht="15.75" customHeight="1">
      <c r="E293" s="124"/>
      <c r="F293" s="124"/>
      <c r="G293" s="124"/>
      <c r="H293" s="124"/>
      <c r="I293" s="124"/>
      <c r="J293" s="124"/>
      <c r="K293" s="124"/>
    </row>
    <row r="294" ht="15.75" customHeight="1">
      <c r="E294" s="124"/>
      <c r="F294" s="124"/>
      <c r="G294" s="124"/>
      <c r="H294" s="124"/>
      <c r="I294" s="124"/>
      <c r="J294" s="124"/>
      <c r="K294" s="124"/>
    </row>
    <row r="295" ht="15.75" customHeight="1">
      <c r="E295" s="124"/>
      <c r="F295" s="124"/>
      <c r="G295" s="124"/>
      <c r="H295" s="124"/>
      <c r="I295" s="124"/>
      <c r="J295" s="124"/>
      <c r="K295" s="124"/>
    </row>
    <row r="296" ht="15.75" customHeight="1">
      <c r="E296" s="124"/>
      <c r="F296" s="124"/>
      <c r="G296" s="124"/>
      <c r="H296" s="124"/>
      <c r="I296" s="124"/>
      <c r="J296" s="124"/>
      <c r="K296" s="124"/>
    </row>
    <row r="297" ht="15.75" customHeight="1">
      <c r="E297" s="124"/>
      <c r="F297" s="124"/>
      <c r="G297" s="124"/>
      <c r="H297" s="124"/>
      <c r="I297" s="124"/>
      <c r="J297" s="124"/>
      <c r="K297" s="124"/>
    </row>
    <row r="298" ht="15.75" customHeight="1">
      <c r="E298" s="124"/>
      <c r="F298" s="124"/>
      <c r="G298" s="124"/>
      <c r="H298" s="124"/>
      <c r="I298" s="124"/>
      <c r="J298" s="124"/>
      <c r="K298" s="124"/>
    </row>
    <row r="299" ht="15.75" customHeight="1">
      <c r="E299" s="124"/>
      <c r="F299" s="124"/>
      <c r="G299" s="124"/>
      <c r="H299" s="124"/>
      <c r="I299" s="124"/>
      <c r="J299" s="124"/>
      <c r="K299" s="124"/>
    </row>
    <row r="300" ht="15.75" customHeight="1">
      <c r="E300" s="124"/>
      <c r="F300" s="124"/>
      <c r="G300" s="124"/>
      <c r="H300" s="124"/>
      <c r="I300" s="124"/>
      <c r="J300" s="124"/>
      <c r="K300" s="124"/>
    </row>
    <row r="301" ht="15.75" customHeight="1">
      <c r="E301" s="124"/>
      <c r="F301" s="124"/>
      <c r="G301" s="124"/>
      <c r="H301" s="124"/>
      <c r="I301" s="124"/>
      <c r="J301" s="124"/>
      <c r="K301" s="124"/>
    </row>
    <row r="302" ht="15.75" customHeight="1">
      <c r="E302" s="124"/>
      <c r="F302" s="124"/>
      <c r="G302" s="124"/>
      <c r="H302" s="124"/>
      <c r="I302" s="124"/>
      <c r="J302" s="124"/>
      <c r="K302" s="124"/>
    </row>
    <row r="303" ht="15.75" customHeight="1">
      <c r="E303" s="124"/>
      <c r="F303" s="124"/>
      <c r="G303" s="124"/>
      <c r="H303" s="124"/>
      <c r="I303" s="124"/>
      <c r="J303" s="124"/>
      <c r="K303" s="124"/>
    </row>
    <row r="304" ht="15.75" customHeight="1">
      <c r="E304" s="124"/>
      <c r="F304" s="124"/>
      <c r="G304" s="124"/>
      <c r="H304" s="124"/>
      <c r="I304" s="124"/>
      <c r="J304" s="124"/>
      <c r="K304" s="124"/>
    </row>
    <row r="305" ht="15.75" customHeight="1">
      <c r="E305" s="124"/>
      <c r="F305" s="124"/>
      <c r="G305" s="124"/>
      <c r="H305" s="124"/>
      <c r="I305" s="124"/>
      <c r="J305" s="124"/>
      <c r="K305" s="124"/>
    </row>
    <row r="306" ht="15.75" customHeight="1">
      <c r="E306" s="124"/>
      <c r="F306" s="124"/>
      <c r="G306" s="124"/>
      <c r="H306" s="124"/>
      <c r="I306" s="124"/>
      <c r="J306" s="124"/>
      <c r="K306" s="124"/>
    </row>
    <row r="307" ht="15.75" customHeight="1">
      <c r="E307" s="124"/>
      <c r="F307" s="124"/>
      <c r="G307" s="124"/>
      <c r="H307" s="124"/>
      <c r="I307" s="124"/>
      <c r="J307" s="124"/>
      <c r="K307" s="124"/>
    </row>
    <row r="308" ht="15.75" customHeight="1">
      <c r="E308" s="124"/>
      <c r="F308" s="124"/>
      <c r="G308" s="124"/>
      <c r="H308" s="124"/>
      <c r="I308" s="124"/>
      <c r="J308" s="124"/>
      <c r="K308" s="124"/>
    </row>
    <row r="309" ht="15.75" customHeight="1">
      <c r="E309" s="124"/>
      <c r="F309" s="124"/>
      <c r="G309" s="124"/>
      <c r="H309" s="124"/>
      <c r="I309" s="124"/>
      <c r="J309" s="124"/>
      <c r="K309" s="124"/>
    </row>
    <row r="310" ht="15.75" customHeight="1">
      <c r="E310" s="124"/>
      <c r="F310" s="124"/>
      <c r="G310" s="124"/>
      <c r="H310" s="124"/>
      <c r="I310" s="124"/>
      <c r="J310" s="124"/>
      <c r="K310" s="124"/>
    </row>
    <row r="311" ht="15.75" customHeight="1">
      <c r="E311" s="124"/>
      <c r="F311" s="124"/>
      <c r="G311" s="124"/>
      <c r="H311" s="124"/>
      <c r="I311" s="124"/>
      <c r="J311" s="124"/>
      <c r="K311" s="124"/>
    </row>
    <row r="312" ht="15.75" customHeight="1">
      <c r="E312" s="124"/>
      <c r="F312" s="124"/>
      <c r="G312" s="124"/>
      <c r="H312" s="124"/>
      <c r="I312" s="124"/>
      <c r="J312" s="124"/>
      <c r="K312" s="124"/>
    </row>
    <row r="313" ht="15.75" customHeight="1">
      <c r="E313" s="124"/>
      <c r="F313" s="124"/>
      <c r="G313" s="124"/>
      <c r="H313" s="124"/>
      <c r="I313" s="124"/>
      <c r="J313" s="124"/>
      <c r="K313" s="124"/>
    </row>
    <row r="314" ht="15.75" customHeight="1">
      <c r="E314" s="124"/>
      <c r="F314" s="124"/>
      <c r="G314" s="124"/>
      <c r="H314" s="124"/>
      <c r="I314" s="124"/>
      <c r="J314" s="124"/>
      <c r="K314" s="124"/>
    </row>
    <row r="315" ht="15.75" customHeight="1">
      <c r="E315" s="124"/>
      <c r="F315" s="124"/>
      <c r="G315" s="124"/>
      <c r="H315" s="124"/>
      <c r="I315" s="124"/>
      <c r="J315" s="124"/>
      <c r="K315" s="124"/>
    </row>
    <row r="316" ht="15.75" customHeight="1">
      <c r="E316" s="124"/>
      <c r="F316" s="124"/>
      <c r="G316" s="124"/>
      <c r="H316" s="124"/>
      <c r="I316" s="124"/>
      <c r="J316" s="124"/>
      <c r="K316" s="124"/>
    </row>
    <row r="317" ht="15.75" customHeight="1">
      <c r="E317" s="124"/>
      <c r="F317" s="124"/>
      <c r="G317" s="124"/>
      <c r="H317" s="124"/>
      <c r="I317" s="124"/>
      <c r="J317" s="124"/>
      <c r="K317" s="124"/>
    </row>
    <row r="318" ht="15.75" customHeight="1">
      <c r="E318" s="124"/>
      <c r="F318" s="124"/>
      <c r="G318" s="124"/>
      <c r="H318" s="124"/>
      <c r="I318" s="124"/>
      <c r="J318" s="124"/>
      <c r="K318" s="124"/>
    </row>
    <row r="319" ht="15.75" customHeight="1">
      <c r="E319" s="124"/>
      <c r="F319" s="124"/>
      <c r="G319" s="124"/>
      <c r="H319" s="124"/>
      <c r="I319" s="124"/>
      <c r="J319" s="124"/>
      <c r="K319" s="124"/>
    </row>
    <row r="320" ht="15.75" customHeight="1">
      <c r="E320" s="124"/>
      <c r="F320" s="124"/>
      <c r="G320" s="124"/>
      <c r="H320" s="124"/>
      <c r="I320" s="124"/>
      <c r="J320" s="124"/>
      <c r="K320" s="124"/>
    </row>
    <row r="321" ht="15.75" customHeight="1">
      <c r="E321" s="124"/>
      <c r="F321" s="124"/>
      <c r="G321" s="124"/>
      <c r="H321" s="124"/>
      <c r="I321" s="124"/>
      <c r="J321" s="124"/>
      <c r="K321" s="124"/>
    </row>
    <row r="322" ht="15.75" customHeight="1">
      <c r="E322" s="124"/>
      <c r="F322" s="124"/>
      <c r="G322" s="124"/>
      <c r="H322" s="124"/>
      <c r="I322" s="124"/>
      <c r="J322" s="124"/>
      <c r="K322" s="124"/>
    </row>
    <row r="323" ht="15.75" customHeight="1">
      <c r="E323" s="124"/>
      <c r="F323" s="124"/>
      <c r="G323" s="124"/>
      <c r="H323" s="124"/>
      <c r="I323" s="124"/>
      <c r="J323" s="124"/>
      <c r="K323" s="124"/>
    </row>
    <row r="324" ht="15.75" customHeight="1">
      <c r="E324" s="124"/>
      <c r="F324" s="124"/>
      <c r="G324" s="124"/>
      <c r="H324" s="124"/>
      <c r="I324" s="124"/>
      <c r="J324" s="124"/>
      <c r="K324" s="124"/>
    </row>
    <row r="325" ht="15.75" customHeight="1">
      <c r="E325" s="124"/>
      <c r="F325" s="124"/>
      <c r="G325" s="124"/>
      <c r="H325" s="124"/>
      <c r="I325" s="124"/>
      <c r="J325" s="124"/>
      <c r="K325" s="124"/>
    </row>
    <row r="326" ht="15.75" customHeight="1">
      <c r="E326" s="124"/>
      <c r="F326" s="124"/>
      <c r="G326" s="124"/>
      <c r="H326" s="124"/>
      <c r="I326" s="124"/>
      <c r="J326" s="124"/>
      <c r="K326" s="124"/>
    </row>
    <row r="327" ht="15.75" customHeight="1">
      <c r="E327" s="124"/>
      <c r="F327" s="124"/>
      <c r="G327" s="124"/>
      <c r="H327" s="124"/>
      <c r="I327" s="124"/>
      <c r="J327" s="124"/>
      <c r="K327" s="124"/>
    </row>
    <row r="328" ht="15.75" customHeight="1">
      <c r="E328" s="124"/>
      <c r="F328" s="124"/>
      <c r="G328" s="124"/>
      <c r="H328" s="124"/>
      <c r="I328" s="124"/>
      <c r="J328" s="124"/>
      <c r="K328" s="124"/>
    </row>
    <row r="329" ht="15.75" customHeight="1">
      <c r="E329" s="124"/>
      <c r="F329" s="124"/>
      <c r="G329" s="124"/>
      <c r="H329" s="124"/>
      <c r="I329" s="124"/>
      <c r="J329" s="124"/>
      <c r="K329" s="124"/>
    </row>
    <row r="330" ht="15.75" customHeight="1">
      <c r="E330" s="124"/>
      <c r="F330" s="124"/>
      <c r="G330" s="124"/>
      <c r="H330" s="124"/>
      <c r="I330" s="124"/>
      <c r="J330" s="124"/>
      <c r="K330" s="124"/>
    </row>
    <row r="331" ht="15.75" customHeight="1">
      <c r="E331" s="124"/>
      <c r="F331" s="124"/>
      <c r="G331" s="124"/>
      <c r="H331" s="124"/>
      <c r="I331" s="124"/>
      <c r="J331" s="124"/>
      <c r="K331" s="124"/>
    </row>
    <row r="332" ht="15.75" customHeight="1">
      <c r="E332" s="124"/>
      <c r="F332" s="124"/>
      <c r="G332" s="124"/>
      <c r="H332" s="124"/>
      <c r="I332" s="124"/>
      <c r="J332" s="124"/>
      <c r="K332" s="124"/>
    </row>
    <row r="333" ht="15.75" customHeight="1">
      <c r="E333" s="124"/>
      <c r="F333" s="124"/>
      <c r="G333" s="124"/>
      <c r="H333" s="124"/>
      <c r="I333" s="124"/>
      <c r="J333" s="124"/>
      <c r="K333" s="124"/>
    </row>
    <row r="334" ht="15.75" customHeight="1">
      <c r="E334" s="124"/>
      <c r="F334" s="124"/>
      <c r="G334" s="124"/>
      <c r="H334" s="124"/>
      <c r="I334" s="124"/>
      <c r="J334" s="124"/>
      <c r="K334" s="124"/>
    </row>
    <row r="335" ht="15.75" customHeight="1">
      <c r="E335" s="124"/>
      <c r="F335" s="124"/>
      <c r="G335" s="124"/>
      <c r="H335" s="124"/>
      <c r="I335" s="124"/>
      <c r="J335" s="124"/>
      <c r="K335" s="124"/>
    </row>
    <row r="336" ht="15.75" customHeight="1">
      <c r="E336" s="124"/>
      <c r="F336" s="124"/>
      <c r="G336" s="124"/>
      <c r="H336" s="124"/>
      <c r="I336" s="124"/>
      <c r="J336" s="124"/>
      <c r="K336" s="124"/>
    </row>
    <row r="337" ht="15.75" customHeight="1">
      <c r="E337" s="124"/>
      <c r="F337" s="124"/>
      <c r="G337" s="124"/>
      <c r="H337" s="124"/>
      <c r="I337" s="124"/>
      <c r="J337" s="124"/>
      <c r="K337" s="124"/>
    </row>
    <row r="338" ht="15.75" customHeight="1">
      <c r="E338" s="124"/>
      <c r="F338" s="124"/>
      <c r="G338" s="124"/>
      <c r="H338" s="124"/>
      <c r="I338" s="124"/>
      <c r="J338" s="124"/>
      <c r="K338" s="124"/>
    </row>
    <row r="339" ht="15.75" customHeight="1">
      <c r="E339" s="124"/>
      <c r="F339" s="124"/>
      <c r="G339" s="124"/>
      <c r="H339" s="124"/>
      <c r="I339" s="124"/>
      <c r="J339" s="124"/>
      <c r="K339" s="124"/>
    </row>
    <row r="340" ht="15.75" customHeight="1">
      <c r="E340" s="124"/>
      <c r="F340" s="124"/>
      <c r="G340" s="124"/>
      <c r="H340" s="124"/>
      <c r="I340" s="124"/>
      <c r="J340" s="124"/>
      <c r="K340" s="124"/>
    </row>
    <row r="341" ht="15.75" customHeight="1">
      <c r="E341" s="124"/>
      <c r="F341" s="124"/>
      <c r="G341" s="124"/>
      <c r="H341" s="124"/>
      <c r="I341" s="124"/>
      <c r="J341" s="124"/>
      <c r="K341" s="124"/>
    </row>
    <row r="342" ht="15.75" customHeight="1">
      <c r="E342" s="124"/>
      <c r="F342" s="124"/>
      <c r="G342" s="124"/>
      <c r="H342" s="124"/>
      <c r="I342" s="124"/>
      <c r="J342" s="124"/>
      <c r="K342" s="124"/>
    </row>
    <row r="343" ht="15.75" customHeight="1">
      <c r="E343" s="124"/>
      <c r="F343" s="124"/>
      <c r="G343" s="124"/>
      <c r="H343" s="124"/>
      <c r="I343" s="124"/>
      <c r="J343" s="124"/>
      <c r="K343" s="124"/>
    </row>
    <row r="344" ht="15.75" customHeight="1">
      <c r="E344" s="124"/>
      <c r="F344" s="124"/>
      <c r="G344" s="124"/>
      <c r="H344" s="124"/>
      <c r="I344" s="124"/>
      <c r="J344" s="124"/>
      <c r="K344" s="124"/>
    </row>
    <row r="345" ht="15.75" customHeight="1">
      <c r="E345" s="124"/>
      <c r="F345" s="124"/>
      <c r="G345" s="124"/>
      <c r="H345" s="124"/>
      <c r="I345" s="124"/>
      <c r="J345" s="124"/>
      <c r="K345" s="124"/>
    </row>
    <row r="346" ht="15.75" customHeight="1">
      <c r="E346" s="124"/>
      <c r="F346" s="124"/>
      <c r="G346" s="124"/>
      <c r="H346" s="124"/>
      <c r="I346" s="124"/>
      <c r="J346" s="124"/>
      <c r="K346" s="124"/>
    </row>
    <row r="347" ht="15.75" customHeight="1">
      <c r="E347" s="124"/>
      <c r="F347" s="124"/>
      <c r="G347" s="124"/>
      <c r="H347" s="124"/>
      <c r="I347" s="124"/>
      <c r="J347" s="124"/>
      <c r="K347" s="124"/>
    </row>
    <row r="348" ht="15.75" customHeight="1">
      <c r="E348" s="124"/>
      <c r="F348" s="124"/>
      <c r="G348" s="124"/>
      <c r="H348" s="124"/>
      <c r="I348" s="124"/>
      <c r="J348" s="124"/>
      <c r="K348" s="124"/>
    </row>
    <row r="349" ht="15.75" customHeight="1">
      <c r="E349" s="124"/>
      <c r="F349" s="124"/>
      <c r="G349" s="124"/>
      <c r="H349" s="124"/>
      <c r="I349" s="124"/>
      <c r="J349" s="124"/>
      <c r="K349" s="124"/>
    </row>
    <row r="350" ht="15.75" customHeight="1">
      <c r="E350" s="124"/>
      <c r="F350" s="124"/>
      <c r="G350" s="124"/>
      <c r="H350" s="124"/>
      <c r="I350" s="124"/>
      <c r="J350" s="124"/>
      <c r="K350" s="124"/>
    </row>
    <row r="351" ht="15.75" customHeight="1">
      <c r="E351" s="124"/>
      <c r="F351" s="124"/>
      <c r="G351" s="124"/>
      <c r="H351" s="124"/>
      <c r="I351" s="124"/>
      <c r="J351" s="124"/>
      <c r="K351" s="124"/>
    </row>
    <row r="352" ht="15.75" customHeight="1">
      <c r="E352" s="124"/>
      <c r="F352" s="124"/>
      <c r="G352" s="124"/>
      <c r="H352" s="124"/>
      <c r="I352" s="124"/>
      <c r="J352" s="124"/>
      <c r="K352" s="124"/>
    </row>
    <row r="353" ht="15.75" customHeight="1">
      <c r="E353" s="124"/>
      <c r="F353" s="124"/>
      <c r="G353" s="124"/>
      <c r="H353" s="124"/>
      <c r="I353" s="124"/>
      <c r="J353" s="124"/>
      <c r="K353" s="124"/>
    </row>
    <row r="354" ht="15.75" customHeight="1">
      <c r="E354" s="124"/>
      <c r="F354" s="124"/>
      <c r="G354" s="124"/>
      <c r="H354" s="124"/>
      <c r="I354" s="124"/>
      <c r="J354" s="124"/>
      <c r="K354" s="124"/>
    </row>
    <row r="355" ht="15.75" customHeight="1">
      <c r="E355" s="124"/>
      <c r="F355" s="124"/>
      <c r="G355" s="124"/>
      <c r="H355" s="124"/>
      <c r="I355" s="124"/>
      <c r="J355" s="124"/>
      <c r="K355" s="124"/>
    </row>
    <row r="356" ht="15.75" customHeight="1">
      <c r="E356" s="124"/>
      <c r="F356" s="124"/>
      <c r="G356" s="124"/>
      <c r="H356" s="124"/>
      <c r="I356" s="124"/>
      <c r="J356" s="124"/>
      <c r="K356" s="124"/>
    </row>
    <row r="357" ht="15.75" customHeight="1">
      <c r="E357" s="124"/>
      <c r="F357" s="124"/>
      <c r="G357" s="124"/>
      <c r="H357" s="124"/>
      <c r="I357" s="124"/>
      <c r="J357" s="124"/>
      <c r="K357" s="124"/>
    </row>
    <row r="358" ht="15.75" customHeight="1">
      <c r="E358" s="124"/>
      <c r="F358" s="124"/>
      <c r="G358" s="124"/>
      <c r="H358" s="124"/>
      <c r="I358" s="124"/>
      <c r="J358" s="124"/>
      <c r="K358" s="124"/>
    </row>
    <row r="359" ht="15.75" customHeight="1">
      <c r="E359" s="124"/>
      <c r="F359" s="124"/>
      <c r="G359" s="124"/>
      <c r="H359" s="124"/>
      <c r="I359" s="124"/>
      <c r="J359" s="124"/>
      <c r="K359" s="124"/>
    </row>
    <row r="360" ht="15.75" customHeight="1">
      <c r="E360" s="124"/>
      <c r="F360" s="124"/>
      <c r="G360" s="124"/>
      <c r="H360" s="124"/>
      <c r="I360" s="124"/>
      <c r="J360" s="124"/>
      <c r="K360" s="124"/>
    </row>
    <row r="361" ht="15.75" customHeight="1">
      <c r="E361" s="124"/>
      <c r="F361" s="124"/>
      <c r="G361" s="124"/>
      <c r="H361" s="124"/>
      <c r="I361" s="124"/>
      <c r="J361" s="124"/>
      <c r="K361" s="124"/>
    </row>
    <row r="362" ht="15.75" customHeight="1">
      <c r="E362" s="124"/>
      <c r="F362" s="124"/>
      <c r="G362" s="124"/>
      <c r="H362" s="124"/>
      <c r="I362" s="124"/>
      <c r="J362" s="124"/>
      <c r="K362" s="124"/>
    </row>
    <row r="363" ht="15.75" customHeight="1">
      <c r="E363" s="124"/>
      <c r="F363" s="124"/>
      <c r="G363" s="124"/>
      <c r="H363" s="124"/>
      <c r="I363" s="124"/>
      <c r="J363" s="124"/>
      <c r="K363" s="124"/>
    </row>
    <row r="364" ht="15.75" customHeight="1">
      <c r="E364" s="124"/>
      <c r="F364" s="124"/>
      <c r="G364" s="124"/>
      <c r="H364" s="124"/>
      <c r="I364" s="124"/>
      <c r="J364" s="124"/>
      <c r="K364" s="124"/>
    </row>
    <row r="365" ht="15.75" customHeight="1">
      <c r="E365" s="124"/>
      <c r="F365" s="124"/>
      <c r="G365" s="124"/>
      <c r="H365" s="124"/>
      <c r="I365" s="124"/>
      <c r="J365" s="124"/>
      <c r="K365" s="124"/>
    </row>
    <row r="366" ht="15.75" customHeight="1">
      <c r="E366" s="124"/>
      <c r="F366" s="124"/>
      <c r="G366" s="124"/>
      <c r="H366" s="124"/>
      <c r="I366" s="124"/>
      <c r="J366" s="124"/>
      <c r="K366" s="124"/>
    </row>
    <row r="367" ht="15.75" customHeight="1">
      <c r="E367" s="124"/>
      <c r="F367" s="124"/>
      <c r="G367" s="124"/>
      <c r="H367" s="124"/>
      <c r="I367" s="124"/>
      <c r="J367" s="124"/>
      <c r="K367" s="124"/>
    </row>
    <row r="368" ht="15.75" customHeight="1">
      <c r="E368" s="124"/>
      <c r="F368" s="124"/>
      <c r="G368" s="124"/>
      <c r="H368" s="124"/>
      <c r="I368" s="124"/>
      <c r="J368" s="124"/>
      <c r="K368" s="124"/>
    </row>
    <row r="369" ht="15.75" customHeight="1">
      <c r="E369" s="124"/>
      <c r="F369" s="124"/>
      <c r="G369" s="124"/>
      <c r="H369" s="124"/>
      <c r="I369" s="124"/>
      <c r="J369" s="124"/>
      <c r="K369" s="124"/>
    </row>
    <row r="370" ht="15.75" customHeight="1">
      <c r="E370" s="124"/>
      <c r="F370" s="124"/>
      <c r="G370" s="124"/>
      <c r="H370" s="124"/>
      <c r="I370" s="124"/>
      <c r="J370" s="124"/>
      <c r="K370" s="124"/>
    </row>
    <row r="371" ht="15.75" customHeight="1">
      <c r="E371" s="124"/>
      <c r="F371" s="124"/>
      <c r="G371" s="124"/>
      <c r="H371" s="124"/>
      <c r="I371" s="124"/>
      <c r="J371" s="124"/>
      <c r="K371" s="124"/>
    </row>
    <row r="372" ht="15.75" customHeight="1">
      <c r="E372" s="124"/>
      <c r="F372" s="124"/>
      <c r="G372" s="124"/>
      <c r="H372" s="124"/>
      <c r="I372" s="124"/>
      <c r="J372" s="124"/>
      <c r="K372" s="124"/>
    </row>
    <row r="373" ht="15.75" customHeight="1">
      <c r="E373" s="124"/>
      <c r="F373" s="124"/>
      <c r="G373" s="124"/>
      <c r="H373" s="124"/>
      <c r="I373" s="124"/>
      <c r="J373" s="124"/>
      <c r="K373" s="124"/>
    </row>
    <row r="374" ht="15.75" customHeight="1">
      <c r="E374" s="124"/>
      <c r="F374" s="124"/>
      <c r="G374" s="124"/>
      <c r="H374" s="124"/>
      <c r="I374" s="124"/>
      <c r="J374" s="124"/>
      <c r="K374" s="124"/>
    </row>
    <row r="375" ht="15.75" customHeight="1">
      <c r="E375" s="124"/>
      <c r="F375" s="124"/>
      <c r="G375" s="124"/>
      <c r="H375" s="124"/>
      <c r="I375" s="124"/>
      <c r="J375" s="124"/>
      <c r="K375" s="124"/>
    </row>
    <row r="376" ht="15.75" customHeight="1">
      <c r="E376" s="124"/>
      <c r="F376" s="124"/>
      <c r="G376" s="124"/>
      <c r="H376" s="124"/>
      <c r="I376" s="124"/>
      <c r="J376" s="124"/>
      <c r="K376" s="124"/>
    </row>
    <row r="377" ht="15.75" customHeight="1">
      <c r="E377" s="124"/>
      <c r="F377" s="124"/>
      <c r="G377" s="124"/>
      <c r="H377" s="124"/>
      <c r="I377" s="124"/>
      <c r="J377" s="124"/>
      <c r="K377" s="124"/>
    </row>
    <row r="378" ht="15.75" customHeight="1">
      <c r="E378" s="124"/>
      <c r="F378" s="124"/>
      <c r="G378" s="124"/>
      <c r="H378" s="124"/>
      <c r="I378" s="124"/>
      <c r="J378" s="124"/>
      <c r="K378" s="124"/>
    </row>
    <row r="379" ht="15.75" customHeight="1">
      <c r="E379" s="124"/>
      <c r="F379" s="124"/>
      <c r="G379" s="124"/>
      <c r="H379" s="124"/>
      <c r="I379" s="124"/>
      <c r="J379" s="124"/>
      <c r="K379" s="124"/>
    </row>
    <row r="380" ht="15.75" customHeight="1">
      <c r="E380" s="124"/>
      <c r="F380" s="124"/>
      <c r="G380" s="124"/>
      <c r="H380" s="124"/>
      <c r="I380" s="124"/>
      <c r="J380" s="124"/>
      <c r="K380" s="124"/>
    </row>
    <row r="381" ht="15.75" customHeight="1">
      <c r="E381" s="124"/>
      <c r="F381" s="124"/>
      <c r="G381" s="124"/>
      <c r="H381" s="124"/>
      <c r="I381" s="124"/>
      <c r="J381" s="124"/>
      <c r="K381" s="124"/>
    </row>
    <row r="382" ht="15.75" customHeight="1">
      <c r="E382" s="124"/>
      <c r="F382" s="124"/>
      <c r="G382" s="124"/>
      <c r="H382" s="124"/>
      <c r="I382" s="124"/>
      <c r="J382" s="124"/>
      <c r="K382" s="124"/>
    </row>
    <row r="383" ht="15.75" customHeight="1">
      <c r="E383" s="124"/>
      <c r="F383" s="124"/>
      <c r="G383" s="124"/>
      <c r="H383" s="124"/>
      <c r="I383" s="124"/>
      <c r="J383" s="124"/>
      <c r="K383" s="124"/>
    </row>
    <row r="384" ht="15.75" customHeight="1">
      <c r="E384" s="124"/>
      <c r="F384" s="124"/>
      <c r="G384" s="124"/>
      <c r="H384" s="124"/>
      <c r="I384" s="124"/>
      <c r="J384" s="124"/>
      <c r="K384" s="124"/>
    </row>
    <row r="385" ht="15.75" customHeight="1">
      <c r="E385" s="124"/>
      <c r="F385" s="124"/>
      <c r="G385" s="124"/>
      <c r="H385" s="124"/>
      <c r="I385" s="124"/>
      <c r="J385" s="124"/>
      <c r="K385" s="124"/>
    </row>
    <row r="386" ht="15.75" customHeight="1">
      <c r="E386" s="124"/>
      <c r="F386" s="124"/>
      <c r="G386" s="124"/>
      <c r="H386" s="124"/>
      <c r="I386" s="124"/>
      <c r="J386" s="124"/>
      <c r="K386" s="124"/>
    </row>
    <row r="387" ht="15.75" customHeight="1">
      <c r="E387" s="124"/>
      <c r="F387" s="124"/>
      <c r="G387" s="124"/>
      <c r="H387" s="124"/>
      <c r="I387" s="124"/>
      <c r="J387" s="124"/>
      <c r="K387" s="124"/>
    </row>
    <row r="388" ht="15.75" customHeight="1">
      <c r="E388" s="124"/>
      <c r="F388" s="124"/>
      <c r="G388" s="124"/>
      <c r="H388" s="124"/>
      <c r="I388" s="124"/>
      <c r="J388" s="124"/>
      <c r="K388" s="124"/>
    </row>
    <row r="389" ht="15.75" customHeight="1">
      <c r="E389" s="124"/>
      <c r="F389" s="124"/>
      <c r="G389" s="124"/>
      <c r="H389" s="124"/>
      <c r="I389" s="124"/>
      <c r="J389" s="124"/>
      <c r="K389" s="124"/>
    </row>
    <row r="390" ht="15.75" customHeight="1">
      <c r="E390" s="124"/>
      <c r="F390" s="124"/>
      <c r="G390" s="124"/>
      <c r="H390" s="124"/>
      <c r="I390" s="124"/>
      <c r="J390" s="124"/>
      <c r="K390" s="124"/>
    </row>
    <row r="391" ht="15.75" customHeight="1">
      <c r="E391" s="124"/>
      <c r="F391" s="124"/>
      <c r="G391" s="124"/>
      <c r="H391" s="124"/>
      <c r="I391" s="124"/>
      <c r="J391" s="124"/>
      <c r="K391" s="124"/>
    </row>
    <row r="392" ht="15.75" customHeight="1">
      <c r="E392" s="124"/>
      <c r="F392" s="124"/>
      <c r="G392" s="124"/>
      <c r="H392" s="124"/>
      <c r="I392" s="124"/>
      <c r="J392" s="124"/>
      <c r="K392" s="124"/>
    </row>
    <row r="393" ht="15.75" customHeight="1">
      <c r="E393" s="124"/>
      <c r="F393" s="124"/>
      <c r="G393" s="124"/>
      <c r="H393" s="124"/>
      <c r="I393" s="124"/>
      <c r="J393" s="124"/>
      <c r="K393" s="124"/>
    </row>
    <row r="394" ht="15.75" customHeight="1">
      <c r="E394" s="124"/>
      <c r="F394" s="124"/>
      <c r="G394" s="124"/>
      <c r="H394" s="124"/>
      <c r="I394" s="124"/>
      <c r="J394" s="124"/>
      <c r="K394" s="124"/>
    </row>
    <row r="395" ht="15.75" customHeight="1">
      <c r="E395" s="124"/>
      <c r="F395" s="124"/>
      <c r="G395" s="124"/>
      <c r="H395" s="124"/>
      <c r="I395" s="124"/>
      <c r="J395" s="124"/>
      <c r="K395" s="124"/>
    </row>
    <row r="396" ht="15.75" customHeight="1">
      <c r="E396" s="124"/>
      <c r="F396" s="124"/>
      <c r="G396" s="124"/>
      <c r="H396" s="124"/>
      <c r="I396" s="124"/>
      <c r="J396" s="124"/>
      <c r="K396" s="124"/>
    </row>
    <row r="397" ht="15.75" customHeight="1">
      <c r="E397" s="124"/>
      <c r="F397" s="124"/>
      <c r="G397" s="124"/>
      <c r="H397" s="124"/>
      <c r="I397" s="124"/>
      <c r="J397" s="124"/>
      <c r="K397" s="124"/>
    </row>
    <row r="398" ht="15.75" customHeight="1">
      <c r="E398" s="124"/>
      <c r="F398" s="124"/>
      <c r="G398" s="124"/>
      <c r="H398" s="124"/>
      <c r="I398" s="124"/>
      <c r="J398" s="124"/>
      <c r="K398" s="124"/>
    </row>
    <row r="399" ht="15.75" customHeight="1">
      <c r="E399" s="124"/>
      <c r="F399" s="124"/>
      <c r="G399" s="124"/>
      <c r="H399" s="124"/>
      <c r="I399" s="124"/>
      <c r="J399" s="124"/>
      <c r="K399" s="124"/>
    </row>
    <row r="400" ht="15.75" customHeight="1">
      <c r="E400" s="124"/>
      <c r="F400" s="124"/>
      <c r="G400" s="124"/>
      <c r="H400" s="124"/>
      <c r="I400" s="124"/>
      <c r="J400" s="124"/>
      <c r="K400" s="124"/>
    </row>
    <row r="401" ht="15.75" customHeight="1">
      <c r="E401" s="124"/>
      <c r="F401" s="124"/>
      <c r="G401" s="124"/>
      <c r="H401" s="124"/>
      <c r="I401" s="124"/>
      <c r="J401" s="124"/>
      <c r="K401" s="124"/>
    </row>
    <row r="402" ht="15.75" customHeight="1">
      <c r="E402" s="124"/>
      <c r="F402" s="124"/>
      <c r="G402" s="124"/>
      <c r="H402" s="124"/>
      <c r="I402" s="124"/>
      <c r="J402" s="124"/>
      <c r="K402" s="124"/>
    </row>
    <row r="403" ht="15.75" customHeight="1">
      <c r="E403" s="124"/>
      <c r="F403" s="124"/>
      <c r="G403" s="124"/>
      <c r="H403" s="124"/>
      <c r="I403" s="124"/>
      <c r="J403" s="124"/>
      <c r="K403" s="124"/>
    </row>
    <row r="404" ht="15.75" customHeight="1">
      <c r="E404" s="124"/>
      <c r="F404" s="124"/>
      <c r="G404" s="124"/>
      <c r="H404" s="124"/>
      <c r="I404" s="124"/>
      <c r="J404" s="124"/>
      <c r="K404" s="124"/>
    </row>
    <row r="405" ht="15.75" customHeight="1">
      <c r="E405" s="124"/>
      <c r="F405" s="124"/>
      <c r="G405" s="124"/>
      <c r="H405" s="124"/>
      <c r="I405" s="124"/>
      <c r="J405" s="124"/>
      <c r="K405" s="124"/>
    </row>
    <row r="406" ht="15.75" customHeight="1">
      <c r="E406" s="124"/>
      <c r="F406" s="124"/>
      <c r="G406" s="124"/>
      <c r="H406" s="124"/>
      <c r="I406" s="124"/>
      <c r="J406" s="124"/>
      <c r="K406" s="124"/>
    </row>
    <row r="407" ht="15.75" customHeight="1">
      <c r="E407" s="124"/>
      <c r="F407" s="124"/>
      <c r="G407" s="124"/>
      <c r="H407" s="124"/>
      <c r="I407" s="124"/>
      <c r="J407" s="124"/>
      <c r="K407" s="124"/>
    </row>
    <row r="408" ht="15.75" customHeight="1">
      <c r="E408" s="124"/>
      <c r="F408" s="124"/>
      <c r="G408" s="124"/>
      <c r="H408" s="124"/>
      <c r="I408" s="124"/>
      <c r="J408" s="124"/>
      <c r="K408" s="124"/>
    </row>
    <row r="409" ht="15.75" customHeight="1">
      <c r="E409" s="124"/>
      <c r="F409" s="124"/>
      <c r="G409" s="124"/>
      <c r="H409" s="124"/>
      <c r="I409" s="124"/>
      <c r="J409" s="124"/>
      <c r="K409" s="124"/>
    </row>
    <row r="410" ht="15.75" customHeight="1">
      <c r="E410" s="124"/>
      <c r="F410" s="124"/>
      <c r="G410" s="124"/>
      <c r="H410" s="124"/>
      <c r="I410" s="124"/>
      <c r="J410" s="124"/>
      <c r="K410" s="124"/>
    </row>
    <row r="411" ht="15.75" customHeight="1">
      <c r="E411" s="124"/>
      <c r="F411" s="124"/>
      <c r="G411" s="124"/>
      <c r="H411" s="124"/>
      <c r="I411" s="124"/>
      <c r="J411" s="124"/>
      <c r="K411" s="124"/>
    </row>
    <row r="412" ht="15.75" customHeight="1">
      <c r="E412" s="124"/>
      <c r="F412" s="124"/>
      <c r="G412" s="124"/>
      <c r="H412" s="124"/>
      <c r="I412" s="124"/>
      <c r="J412" s="124"/>
      <c r="K412" s="124"/>
    </row>
    <row r="413" ht="15.75" customHeight="1">
      <c r="E413" s="124"/>
      <c r="F413" s="124"/>
      <c r="G413" s="124"/>
      <c r="H413" s="124"/>
      <c r="I413" s="124"/>
      <c r="J413" s="124"/>
      <c r="K413" s="124"/>
    </row>
    <row r="414" ht="15.75" customHeight="1">
      <c r="E414" s="124"/>
      <c r="F414" s="124"/>
      <c r="G414" s="124"/>
      <c r="H414" s="124"/>
      <c r="I414" s="124"/>
      <c r="J414" s="124"/>
      <c r="K414" s="124"/>
    </row>
    <row r="415" ht="15.75" customHeight="1">
      <c r="E415" s="124"/>
      <c r="F415" s="124"/>
      <c r="G415" s="124"/>
      <c r="H415" s="124"/>
      <c r="I415" s="124"/>
      <c r="J415" s="124"/>
      <c r="K415" s="124"/>
    </row>
    <row r="416" ht="15.75" customHeight="1">
      <c r="E416" s="124"/>
      <c r="F416" s="124"/>
      <c r="G416" s="124"/>
      <c r="H416" s="124"/>
      <c r="I416" s="124"/>
      <c r="J416" s="124"/>
      <c r="K416" s="124"/>
    </row>
    <row r="417" ht="15.75" customHeight="1">
      <c r="E417" s="124"/>
      <c r="F417" s="124"/>
      <c r="G417" s="124"/>
      <c r="H417" s="124"/>
      <c r="I417" s="124"/>
      <c r="J417" s="124"/>
      <c r="K417" s="124"/>
    </row>
    <row r="418" ht="15.75" customHeight="1">
      <c r="E418" s="124"/>
      <c r="F418" s="124"/>
      <c r="G418" s="124"/>
      <c r="H418" s="124"/>
      <c r="I418" s="124"/>
      <c r="J418" s="124"/>
      <c r="K418" s="124"/>
    </row>
    <row r="419" ht="15.75" customHeight="1">
      <c r="E419" s="124"/>
      <c r="F419" s="124"/>
      <c r="G419" s="124"/>
      <c r="H419" s="124"/>
      <c r="I419" s="124"/>
      <c r="J419" s="124"/>
      <c r="K419" s="124"/>
    </row>
    <row r="420" ht="15.75" customHeight="1">
      <c r="E420" s="124"/>
      <c r="F420" s="124"/>
      <c r="G420" s="124"/>
      <c r="H420" s="124"/>
      <c r="I420" s="124"/>
      <c r="J420" s="124"/>
      <c r="K420" s="124"/>
    </row>
    <row r="421" ht="15.75" customHeight="1">
      <c r="E421" s="124"/>
      <c r="F421" s="124"/>
      <c r="G421" s="124"/>
      <c r="H421" s="124"/>
      <c r="I421" s="124"/>
      <c r="J421" s="124"/>
      <c r="K421" s="124"/>
    </row>
    <row r="422" ht="15.75" customHeight="1">
      <c r="E422" s="124"/>
      <c r="F422" s="124"/>
      <c r="G422" s="124"/>
      <c r="H422" s="124"/>
      <c r="I422" s="124"/>
      <c r="J422" s="124"/>
      <c r="K422" s="124"/>
    </row>
    <row r="423" ht="15.75" customHeight="1">
      <c r="E423" s="124"/>
      <c r="F423" s="124"/>
      <c r="G423" s="124"/>
      <c r="H423" s="124"/>
      <c r="I423" s="124"/>
      <c r="J423" s="124"/>
      <c r="K423" s="124"/>
    </row>
    <row r="424" ht="15.75" customHeight="1">
      <c r="E424" s="124"/>
      <c r="F424" s="124"/>
      <c r="G424" s="124"/>
      <c r="H424" s="124"/>
      <c r="I424" s="124"/>
      <c r="J424" s="124"/>
      <c r="K424" s="124"/>
    </row>
    <row r="425" ht="15.75" customHeight="1">
      <c r="E425" s="124"/>
      <c r="F425" s="124"/>
      <c r="G425" s="124"/>
      <c r="H425" s="124"/>
      <c r="I425" s="124"/>
      <c r="J425" s="124"/>
      <c r="K425" s="124"/>
    </row>
    <row r="426" ht="15.75" customHeight="1">
      <c r="E426" s="124"/>
      <c r="F426" s="124"/>
      <c r="G426" s="124"/>
      <c r="H426" s="124"/>
      <c r="I426" s="124"/>
      <c r="J426" s="124"/>
      <c r="K426" s="124"/>
    </row>
    <row r="427" ht="15.75" customHeight="1">
      <c r="E427" s="124"/>
      <c r="F427" s="124"/>
      <c r="G427" s="124"/>
      <c r="H427" s="124"/>
      <c r="I427" s="124"/>
      <c r="J427" s="124"/>
      <c r="K427" s="124"/>
    </row>
    <row r="428" ht="15.75" customHeight="1">
      <c r="E428" s="124"/>
      <c r="F428" s="124"/>
      <c r="G428" s="124"/>
      <c r="H428" s="124"/>
      <c r="I428" s="124"/>
      <c r="J428" s="124"/>
      <c r="K428" s="124"/>
    </row>
    <row r="429" ht="15.75" customHeight="1">
      <c r="E429" s="124"/>
      <c r="F429" s="124"/>
      <c r="G429" s="124"/>
      <c r="H429" s="124"/>
      <c r="I429" s="124"/>
      <c r="J429" s="124"/>
      <c r="K429" s="124"/>
    </row>
    <row r="430" ht="15.75" customHeight="1">
      <c r="E430" s="124"/>
      <c r="F430" s="124"/>
      <c r="G430" s="124"/>
      <c r="H430" s="124"/>
      <c r="I430" s="124"/>
      <c r="J430" s="124"/>
      <c r="K430" s="124"/>
    </row>
    <row r="431" ht="15.75" customHeight="1">
      <c r="E431" s="124"/>
      <c r="F431" s="124"/>
      <c r="G431" s="124"/>
      <c r="H431" s="124"/>
      <c r="I431" s="124"/>
      <c r="J431" s="124"/>
      <c r="K431" s="124"/>
    </row>
    <row r="432" ht="15.75" customHeight="1">
      <c r="E432" s="124"/>
      <c r="F432" s="124"/>
      <c r="G432" s="124"/>
      <c r="H432" s="124"/>
      <c r="I432" s="124"/>
      <c r="J432" s="124"/>
      <c r="K432" s="124"/>
    </row>
    <row r="433" ht="15.75" customHeight="1">
      <c r="E433" s="124"/>
      <c r="F433" s="124"/>
      <c r="G433" s="124"/>
      <c r="H433" s="124"/>
      <c r="I433" s="124"/>
      <c r="J433" s="124"/>
      <c r="K433" s="124"/>
    </row>
    <row r="434" ht="15.75" customHeight="1">
      <c r="E434" s="124"/>
      <c r="F434" s="124"/>
      <c r="G434" s="124"/>
      <c r="H434" s="124"/>
      <c r="I434" s="124"/>
      <c r="J434" s="124"/>
      <c r="K434" s="124"/>
    </row>
    <row r="435" ht="15.75" customHeight="1">
      <c r="E435" s="124"/>
      <c r="F435" s="124"/>
      <c r="G435" s="124"/>
      <c r="H435" s="124"/>
      <c r="I435" s="124"/>
      <c r="J435" s="124"/>
      <c r="K435" s="124"/>
    </row>
    <row r="436" ht="15.75" customHeight="1">
      <c r="E436" s="124"/>
      <c r="F436" s="124"/>
      <c r="G436" s="124"/>
      <c r="H436" s="124"/>
      <c r="I436" s="124"/>
      <c r="J436" s="124"/>
      <c r="K436" s="124"/>
    </row>
    <row r="437" ht="15.75" customHeight="1">
      <c r="E437" s="124"/>
      <c r="F437" s="124"/>
      <c r="G437" s="124"/>
      <c r="H437" s="124"/>
      <c r="I437" s="124"/>
      <c r="J437" s="124"/>
      <c r="K437" s="124"/>
    </row>
    <row r="438" ht="15.75" customHeight="1">
      <c r="E438" s="124"/>
      <c r="F438" s="124"/>
      <c r="G438" s="124"/>
      <c r="H438" s="124"/>
      <c r="I438" s="124"/>
      <c r="J438" s="124"/>
      <c r="K438" s="124"/>
    </row>
    <row r="439" ht="15.75" customHeight="1">
      <c r="E439" s="124"/>
      <c r="F439" s="124"/>
      <c r="G439" s="124"/>
      <c r="H439" s="124"/>
      <c r="I439" s="124"/>
      <c r="J439" s="124"/>
      <c r="K439" s="124"/>
    </row>
    <row r="440" ht="15.75" customHeight="1">
      <c r="E440" s="124"/>
      <c r="F440" s="124"/>
      <c r="G440" s="124"/>
      <c r="H440" s="124"/>
      <c r="I440" s="124"/>
      <c r="J440" s="124"/>
      <c r="K440" s="124"/>
    </row>
    <row r="441" ht="15.75" customHeight="1">
      <c r="E441" s="124"/>
      <c r="F441" s="124"/>
      <c r="G441" s="124"/>
      <c r="H441" s="124"/>
      <c r="I441" s="124"/>
      <c r="J441" s="124"/>
      <c r="K441" s="124"/>
    </row>
    <row r="442" ht="15.75" customHeight="1">
      <c r="E442" s="124"/>
      <c r="F442" s="124"/>
      <c r="G442" s="124"/>
      <c r="H442" s="124"/>
      <c r="I442" s="124"/>
      <c r="J442" s="124"/>
      <c r="K442" s="124"/>
    </row>
    <row r="443" ht="15.75" customHeight="1">
      <c r="E443" s="124"/>
      <c r="F443" s="124"/>
      <c r="G443" s="124"/>
      <c r="H443" s="124"/>
      <c r="I443" s="124"/>
      <c r="J443" s="124"/>
      <c r="K443" s="124"/>
    </row>
    <row r="444" ht="15.75" customHeight="1">
      <c r="E444" s="124"/>
      <c r="F444" s="124"/>
      <c r="G444" s="124"/>
      <c r="H444" s="124"/>
      <c r="I444" s="124"/>
      <c r="J444" s="124"/>
      <c r="K444" s="124"/>
    </row>
    <row r="445" ht="15.75" customHeight="1">
      <c r="E445" s="124"/>
      <c r="F445" s="124"/>
      <c r="G445" s="124"/>
      <c r="H445" s="124"/>
      <c r="I445" s="124"/>
      <c r="J445" s="124"/>
      <c r="K445" s="124"/>
    </row>
    <row r="446" ht="15.75" customHeight="1">
      <c r="E446" s="124"/>
      <c r="F446" s="124"/>
      <c r="G446" s="124"/>
      <c r="H446" s="124"/>
      <c r="I446" s="124"/>
      <c r="J446" s="124"/>
      <c r="K446" s="124"/>
    </row>
    <row r="447" ht="15.75" customHeight="1">
      <c r="E447" s="124"/>
      <c r="F447" s="124"/>
      <c r="G447" s="124"/>
      <c r="H447" s="124"/>
      <c r="I447" s="124"/>
      <c r="J447" s="124"/>
      <c r="K447" s="124"/>
    </row>
    <row r="448" ht="15.75" customHeight="1">
      <c r="E448" s="124"/>
      <c r="F448" s="124"/>
      <c r="G448" s="124"/>
      <c r="H448" s="124"/>
      <c r="I448" s="124"/>
      <c r="J448" s="124"/>
      <c r="K448" s="124"/>
    </row>
    <row r="449" ht="15.75" customHeight="1">
      <c r="E449" s="124"/>
      <c r="F449" s="124"/>
      <c r="G449" s="124"/>
      <c r="H449" s="124"/>
      <c r="I449" s="124"/>
      <c r="J449" s="124"/>
      <c r="K449" s="124"/>
    </row>
    <row r="450" ht="15.75" customHeight="1">
      <c r="E450" s="124"/>
      <c r="F450" s="124"/>
      <c r="G450" s="124"/>
      <c r="H450" s="124"/>
      <c r="I450" s="124"/>
      <c r="J450" s="124"/>
      <c r="K450" s="124"/>
    </row>
    <row r="451" ht="15.75" customHeight="1">
      <c r="E451" s="124"/>
      <c r="F451" s="124"/>
      <c r="G451" s="124"/>
      <c r="H451" s="124"/>
      <c r="I451" s="124"/>
      <c r="J451" s="124"/>
      <c r="K451" s="124"/>
    </row>
    <row r="452" ht="15.75" customHeight="1">
      <c r="E452" s="124"/>
      <c r="F452" s="124"/>
      <c r="G452" s="124"/>
      <c r="H452" s="124"/>
      <c r="I452" s="124"/>
      <c r="J452" s="124"/>
      <c r="K452" s="124"/>
    </row>
    <row r="453" ht="15.75" customHeight="1">
      <c r="E453" s="124"/>
      <c r="F453" s="124"/>
      <c r="G453" s="124"/>
      <c r="H453" s="124"/>
      <c r="I453" s="124"/>
      <c r="J453" s="124"/>
      <c r="K453" s="124"/>
    </row>
    <row r="454" ht="15.75" customHeight="1">
      <c r="E454" s="124"/>
      <c r="F454" s="124"/>
      <c r="G454" s="124"/>
      <c r="H454" s="124"/>
      <c r="I454" s="124"/>
      <c r="J454" s="124"/>
      <c r="K454" s="124"/>
    </row>
    <row r="455" ht="15.75" customHeight="1">
      <c r="E455" s="124"/>
      <c r="F455" s="124"/>
      <c r="G455" s="124"/>
      <c r="H455" s="124"/>
      <c r="I455" s="124"/>
      <c r="J455" s="124"/>
      <c r="K455" s="124"/>
    </row>
    <row r="456" ht="15.75" customHeight="1">
      <c r="E456" s="124"/>
      <c r="F456" s="124"/>
      <c r="G456" s="124"/>
      <c r="H456" s="124"/>
      <c r="I456" s="124"/>
      <c r="J456" s="124"/>
      <c r="K456" s="124"/>
    </row>
    <row r="457" ht="15.75" customHeight="1">
      <c r="E457" s="124"/>
      <c r="F457" s="124"/>
      <c r="G457" s="124"/>
      <c r="H457" s="124"/>
      <c r="I457" s="124"/>
      <c r="J457" s="124"/>
      <c r="K457" s="124"/>
    </row>
    <row r="458" ht="15.75" customHeight="1">
      <c r="E458" s="124"/>
      <c r="F458" s="124"/>
      <c r="G458" s="124"/>
      <c r="H458" s="124"/>
      <c r="I458" s="124"/>
      <c r="J458" s="124"/>
      <c r="K458" s="124"/>
    </row>
    <row r="459" ht="15.75" customHeight="1">
      <c r="E459" s="124"/>
      <c r="F459" s="124"/>
      <c r="G459" s="124"/>
      <c r="H459" s="124"/>
      <c r="I459" s="124"/>
      <c r="J459" s="124"/>
      <c r="K459" s="124"/>
    </row>
    <row r="460" ht="15.75" customHeight="1">
      <c r="E460" s="124"/>
      <c r="F460" s="124"/>
      <c r="G460" s="124"/>
      <c r="H460" s="124"/>
      <c r="I460" s="124"/>
      <c r="J460" s="124"/>
      <c r="K460" s="124"/>
    </row>
    <row r="461" ht="15.75" customHeight="1">
      <c r="E461" s="124"/>
      <c r="F461" s="124"/>
      <c r="G461" s="124"/>
      <c r="H461" s="124"/>
      <c r="I461" s="124"/>
      <c r="J461" s="124"/>
      <c r="K461" s="124"/>
    </row>
    <row r="462" ht="15.75" customHeight="1">
      <c r="E462" s="124"/>
      <c r="F462" s="124"/>
      <c r="G462" s="124"/>
      <c r="H462" s="124"/>
      <c r="I462" s="124"/>
      <c r="J462" s="124"/>
      <c r="K462" s="124"/>
    </row>
    <row r="463" ht="15.75" customHeight="1">
      <c r="E463" s="124"/>
      <c r="F463" s="124"/>
      <c r="G463" s="124"/>
      <c r="H463" s="124"/>
      <c r="I463" s="124"/>
      <c r="J463" s="124"/>
      <c r="K463" s="124"/>
    </row>
    <row r="464" ht="15.75" customHeight="1">
      <c r="E464" s="124"/>
      <c r="F464" s="124"/>
      <c r="G464" s="124"/>
      <c r="H464" s="124"/>
      <c r="I464" s="124"/>
      <c r="J464" s="124"/>
      <c r="K464" s="124"/>
    </row>
    <row r="465" ht="15.75" customHeight="1">
      <c r="E465" s="124"/>
      <c r="F465" s="124"/>
      <c r="G465" s="124"/>
      <c r="H465" s="124"/>
      <c r="I465" s="124"/>
      <c r="J465" s="124"/>
      <c r="K465" s="124"/>
    </row>
    <row r="466" ht="15.75" customHeight="1">
      <c r="E466" s="124"/>
      <c r="F466" s="124"/>
      <c r="G466" s="124"/>
      <c r="H466" s="124"/>
      <c r="I466" s="124"/>
      <c r="J466" s="124"/>
      <c r="K466" s="124"/>
    </row>
    <row r="467" ht="15.75" customHeight="1">
      <c r="E467" s="124"/>
      <c r="F467" s="124"/>
      <c r="G467" s="124"/>
      <c r="H467" s="124"/>
      <c r="I467" s="124"/>
      <c r="J467" s="124"/>
      <c r="K467" s="124"/>
    </row>
    <row r="468" ht="15.75" customHeight="1">
      <c r="E468" s="124"/>
      <c r="F468" s="124"/>
      <c r="G468" s="124"/>
      <c r="H468" s="124"/>
      <c r="I468" s="124"/>
      <c r="J468" s="124"/>
      <c r="K468" s="124"/>
    </row>
    <row r="469" ht="15.75" customHeight="1">
      <c r="E469" s="124"/>
      <c r="F469" s="124"/>
      <c r="G469" s="124"/>
      <c r="H469" s="124"/>
      <c r="I469" s="124"/>
      <c r="J469" s="124"/>
      <c r="K469" s="124"/>
    </row>
    <row r="470" ht="15.75" customHeight="1">
      <c r="E470" s="124"/>
      <c r="F470" s="124"/>
      <c r="G470" s="124"/>
      <c r="H470" s="124"/>
      <c r="I470" s="124"/>
      <c r="J470" s="124"/>
      <c r="K470" s="124"/>
    </row>
    <row r="471" ht="15.75" customHeight="1">
      <c r="E471" s="124"/>
      <c r="F471" s="124"/>
      <c r="G471" s="124"/>
      <c r="H471" s="124"/>
      <c r="I471" s="124"/>
      <c r="J471" s="124"/>
      <c r="K471" s="124"/>
    </row>
    <row r="472" ht="15.75" customHeight="1">
      <c r="E472" s="124"/>
      <c r="F472" s="124"/>
      <c r="G472" s="124"/>
      <c r="H472" s="124"/>
      <c r="I472" s="124"/>
      <c r="J472" s="124"/>
      <c r="K472" s="124"/>
    </row>
    <row r="473" ht="15.75" customHeight="1">
      <c r="E473" s="124"/>
      <c r="F473" s="124"/>
      <c r="G473" s="124"/>
      <c r="H473" s="124"/>
      <c r="I473" s="124"/>
      <c r="J473" s="124"/>
      <c r="K473" s="124"/>
    </row>
    <row r="474" ht="15.75" customHeight="1">
      <c r="E474" s="124"/>
      <c r="F474" s="124"/>
      <c r="G474" s="124"/>
      <c r="H474" s="124"/>
      <c r="I474" s="124"/>
      <c r="J474" s="124"/>
      <c r="K474" s="124"/>
    </row>
    <row r="475" ht="15.75" customHeight="1">
      <c r="E475" s="124"/>
      <c r="F475" s="124"/>
      <c r="G475" s="124"/>
      <c r="H475" s="124"/>
      <c r="I475" s="124"/>
      <c r="J475" s="124"/>
      <c r="K475" s="124"/>
    </row>
    <row r="476" ht="15.75" customHeight="1">
      <c r="E476" s="124"/>
      <c r="F476" s="124"/>
      <c r="G476" s="124"/>
      <c r="H476" s="124"/>
      <c r="I476" s="124"/>
      <c r="J476" s="124"/>
      <c r="K476" s="124"/>
    </row>
    <row r="477" ht="15.75" customHeight="1">
      <c r="E477" s="124"/>
      <c r="F477" s="124"/>
      <c r="G477" s="124"/>
      <c r="H477" s="124"/>
      <c r="I477" s="124"/>
      <c r="J477" s="124"/>
      <c r="K477" s="124"/>
    </row>
    <row r="478" ht="15.75" customHeight="1">
      <c r="E478" s="124"/>
      <c r="F478" s="124"/>
      <c r="G478" s="124"/>
      <c r="H478" s="124"/>
      <c r="I478" s="124"/>
      <c r="J478" s="124"/>
      <c r="K478" s="124"/>
    </row>
    <row r="479" ht="15.75" customHeight="1">
      <c r="E479" s="124"/>
      <c r="F479" s="124"/>
      <c r="G479" s="124"/>
      <c r="H479" s="124"/>
      <c r="I479" s="124"/>
      <c r="J479" s="124"/>
      <c r="K479" s="124"/>
    </row>
    <row r="480" ht="15.75" customHeight="1">
      <c r="E480" s="124"/>
      <c r="F480" s="124"/>
      <c r="G480" s="124"/>
      <c r="H480" s="124"/>
      <c r="I480" s="124"/>
      <c r="J480" s="124"/>
      <c r="K480" s="124"/>
    </row>
    <row r="481" ht="15.75" customHeight="1">
      <c r="E481" s="124"/>
      <c r="F481" s="124"/>
      <c r="G481" s="124"/>
      <c r="H481" s="124"/>
      <c r="I481" s="124"/>
      <c r="J481" s="124"/>
      <c r="K481" s="124"/>
    </row>
    <row r="482" ht="15.75" customHeight="1">
      <c r="E482" s="124"/>
      <c r="F482" s="124"/>
      <c r="G482" s="124"/>
      <c r="H482" s="124"/>
      <c r="I482" s="124"/>
      <c r="J482" s="124"/>
      <c r="K482" s="124"/>
    </row>
    <row r="483" ht="15.75" customHeight="1">
      <c r="E483" s="124"/>
      <c r="F483" s="124"/>
      <c r="G483" s="124"/>
      <c r="H483" s="124"/>
      <c r="I483" s="124"/>
      <c r="J483" s="124"/>
      <c r="K483" s="124"/>
    </row>
    <row r="484" ht="15.75" customHeight="1">
      <c r="E484" s="124"/>
      <c r="F484" s="124"/>
      <c r="G484" s="124"/>
      <c r="H484" s="124"/>
      <c r="I484" s="124"/>
      <c r="J484" s="124"/>
      <c r="K484" s="124"/>
    </row>
    <row r="485" ht="15.75" customHeight="1">
      <c r="E485" s="124"/>
      <c r="F485" s="124"/>
      <c r="G485" s="124"/>
      <c r="H485" s="124"/>
      <c r="I485" s="124"/>
      <c r="J485" s="124"/>
      <c r="K485" s="124"/>
    </row>
    <row r="486" ht="15.75" customHeight="1">
      <c r="E486" s="124"/>
      <c r="F486" s="124"/>
      <c r="G486" s="124"/>
      <c r="H486" s="124"/>
      <c r="I486" s="124"/>
      <c r="J486" s="124"/>
      <c r="K486" s="124"/>
    </row>
    <row r="487" ht="15.75" customHeight="1">
      <c r="E487" s="124"/>
      <c r="F487" s="124"/>
      <c r="G487" s="124"/>
      <c r="H487" s="124"/>
      <c r="I487" s="124"/>
      <c r="J487" s="124"/>
      <c r="K487" s="124"/>
    </row>
    <row r="488" ht="15.75" customHeight="1">
      <c r="E488" s="124"/>
      <c r="F488" s="124"/>
      <c r="G488" s="124"/>
      <c r="H488" s="124"/>
      <c r="I488" s="124"/>
      <c r="J488" s="124"/>
      <c r="K488" s="124"/>
    </row>
    <row r="489" ht="15.75" customHeight="1">
      <c r="E489" s="124"/>
      <c r="F489" s="124"/>
      <c r="G489" s="124"/>
      <c r="H489" s="124"/>
      <c r="I489" s="124"/>
      <c r="J489" s="124"/>
      <c r="K489" s="124"/>
    </row>
    <row r="490" ht="15.75" customHeight="1">
      <c r="E490" s="124"/>
      <c r="F490" s="124"/>
      <c r="G490" s="124"/>
      <c r="H490" s="124"/>
      <c r="I490" s="124"/>
      <c r="J490" s="124"/>
      <c r="K490" s="124"/>
    </row>
    <row r="491" ht="15.75" customHeight="1">
      <c r="E491" s="124"/>
      <c r="F491" s="124"/>
      <c r="G491" s="124"/>
      <c r="H491" s="124"/>
      <c r="I491" s="124"/>
      <c r="J491" s="124"/>
      <c r="K491" s="124"/>
    </row>
    <row r="492" ht="15.75" customHeight="1">
      <c r="E492" s="124"/>
      <c r="F492" s="124"/>
      <c r="G492" s="124"/>
      <c r="H492" s="124"/>
      <c r="I492" s="124"/>
      <c r="J492" s="124"/>
      <c r="K492" s="124"/>
    </row>
    <row r="493" ht="15.75" customHeight="1">
      <c r="E493" s="124"/>
      <c r="F493" s="124"/>
      <c r="G493" s="124"/>
      <c r="H493" s="124"/>
      <c r="I493" s="124"/>
      <c r="J493" s="124"/>
      <c r="K493" s="124"/>
    </row>
    <row r="494" ht="15.75" customHeight="1">
      <c r="E494" s="124"/>
      <c r="F494" s="124"/>
      <c r="G494" s="124"/>
      <c r="H494" s="124"/>
      <c r="I494" s="124"/>
      <c r="J494" s="124"/>
      <c r="K494" s="124"/>
    </row>
    <row r="495" ht="15.75" customHeight="1">
      <c r="E495" s="124"/>
      <c r="F495" s="124"/>
      <c r="G495" s="124"/>
      <c r="H495" s="124"/>
      <c r="I495" s="124"/>
      <c r="J495" s="124"/>
      <c r="K495" s="124"/>
    </row>
    <row r="496" ht="15.75" customHeight="1">
      <c r="E496" s="124"/>
      <c r="F496" s="124"/>
      <c r="G496" s="124"/>
      <c r="H496" s="124"/>
      <c r="I496" s="124"/>
      <c r="J496" s="124"/>
      <c r="K496" s="124"/>
    </row>
    <row r="497" ht="15.75" customHeight="1">
      <c r="E497" s="124"/>
      <c r="F497" s="124"/>
      <c r="G497" s="124"/>
      <c r="H497" s="124"/>
      <c r="I497" s="124"/>
      <c r="J497" s="124"/>
      <c r="K497" s="124"/>
    </row>
    <row r="498" ht="15.75" customHeight="1">
      <c r="E498" s="124"/>
      <c r="F498" s="124"/>
      <c r="G498" s="124"/>
      <c r="H498" s="124"/>
      <c r="I498" s="124"/>
      <c r="J498" s="124"/>
      <c r="K498" s="124"/>
    </row>
    <row r="499" ht="15.75" customHeight="1">
      <c r="E499" s="124"/>
      <c r="F499" s="124"/>
      <c r="G499" s="124"/>
      <c r="H499" s="124"/>
      <c r="I499" s="124"/>
      <c r="J499" s="124"/>
      <c r="K499" s="124"/>
    </row>
    <row r="500" ht="15.75" customHeight="1">
      <c r="E500" s="124"/>
      <c r="F500" s="124"/>
      <c r="G500" s="124"/>
      <c r="H500" s="124"/>
      <c r="I500" s="124"/>
      <c r="J500" s="124"/>
      <c r="K500" s="124"/>
    </row>
    <row r="501" ht="15.75" customHeight="1">
      <c r="E501" s="124"/>
      <c r="F501" s="124"/>
      <c r="G501" s="124"/>
      <c r="H501" s="124"/>
      <c r="I501" s="124"/>
      <c r="J501" s="124"/>
      <c r="K501" s="124"/>
    </row>
    <row r="502" ht="15.75" customHeight="1">
      <c r="E502" s="124"/>
      <c r="F502" s="124"/>
      <c r="G502" s="124"/>
      <c r="H502" s="124"/>
      <c r="I502" s="124"/>
      <c r="J502" s="124"/>
      <c r="K502" s="124"/>
    </row>
    <row r="503" ht="15.75" customHeight="1">
      <c r="E503" s="124"/>
      <c r="F503" s="124"/>
      <c r="G503" s="124"/>
      <c r="H503" s="124"/>
      <c r="I503" s="124"/>
      <c r="J503" s="124"/>
      <c r="K503" s="124"/>
    </row>
    <row r="504" ht="15.75" customHeight="1">
      <c r="E504" s="124"/>
      <c r="F504" s="124"/>
      <c r="G504" s="124"/>
      <c r="H504" s="124"/>
      <c r="I504" s="124"/>
      <c r="J504" s="124"/>
      <c r="K504" s="124"/>
    </row>
    <row r="505" ht="15.75" customHeight="1">
      <c r="E505" s="124"/>
      <c r="F505" s="124"/>
      <c r="G505" s="124"/>
      <c r="H505" s="124"/>
      <c r="I505" s="124"/>
      <c r="J505" s="124"/>
      <c r="K505" s="124"/>
    </row>
    <row r="506" ht="15.75" customHeight="1">
      <c r="E506" s="124"/>
      <c r="F506" s="124"/>
      <c r="G506" s="124"/>
      <c r="H506" s="124"/>
      <c r="I506" s="124"/>
      <c r="J506" s="124"/>
      <c r="K506" s="124"/>
    </row>
    <row r="507" ht="15.75" customHeight="1">
      <c r="E507" s="124"/>
      <c r="F507" s="124"/>
      <c r="G507" s="124"/>
      <c r="H507" s="124"/>
      <c r="I507" s="124"/>
      <c r="J507" s="124"/>
      <c r="K507" s="124"/>
    </row>
    <row r="508" ht="15.75" customHeight="1">
      <c r="E508" s="124"/>
      <c r="F508" s="124"/>
      <c r="G508" s="124"/>
      <c r="H508" s="124"/>
      <c r="I508" s="124"/>
      <c r="J508" s="124"/>
      <c r="K508" s="124"/>
    </row>
    <row r="509" ht="15.75" customHeight="1">
      <c r="E509" s="124"/>
      <c r="F509" s="124"/>
      <c r="G509" s="124"/>
      <c r="H509" s="124"/>
      <c r="I509" s="124"/>
      <c r="J509" s="124"/>
      <c r="K509" s="124"/>
    </row>
    <row r="510" ht="15.75" customHeight="1">
      <c r="E510" s="124"/>
      <c r="F510" s="124"/>
      <c r="G510" s="124"/>
      <c r="H510" s="124"/>
      <c r="I510" s="124"/>
      <c r="J510" s="124"/>
      <c r="K510" s="124"/>
    </row>
    <row r="511" ht="15.75" customHeight="1">
      <c r="E511" s="124"/>
      <c r="F511" s="124"/>
      <c r="G511" s="124"/>
      <c r="H511" s="124"/>
      <c r="I511" s="124"/>
      <c r="J511" s="124"/>
      <c r="K511" s="124"/>
    </row>
    <row r="512" ht="15.75" customHeight="1">
      <c r="E512" s="124"/>
      <c r="F512" s="124"/>
      <c r="G512" s="124"/>
      <c r="H512" s="124"/>
      <c r="I512" s="124"/>
      <c r="J512" s="124"/>
      <c r="K512" s="124"/>
    </row>
    <row r="513" ht="15.75" customHeight="1">
      <c r="E513" s="124"/>
      <c r="F513" s="124"/>
      <c r="G513" s="124"/>
      <c r="H513" s="124"/>
      <c r="I513" s="124"/>
      <c r="J513" s="124"/>
      <c r="K513" s="124"/>
    </row>
    <row r="514" ht="15.75" customHeight="1">
      <c r="E514" s="124"/>
      <c r="F514" s="124"/>
      <c r="G514" s="124"/>
      <c r="H514" s="124"/>
      <c r="I514" s="124"/>
      <c r="J514" s="124"/>
      <c r="K514" s="124"/>
    </row>
    <row r="515" ht="15.75" customHeight="1">
      <c r="E515" s="124"/>
      <c r="F515" s="124"/>
      <c r="G515" s="124"/>
      <c r="H515" s="124"/>
      <c r="I515" s="124"/>
      <c r="J515" s="124"/>
      <c r="K515" s="124"/>
    </row>
    <row r="516" ht="15.75" customHeight="1">
      <c r="E516" s="124"/>
      <c r="F516" s="124"/>
      <c r="G516" s="124"/>
      <c r="H516" s="124"/>
      <c r="I516" s="124"/>
      <c r="J516" s="124"/>
      <c r="K516" s="124"/>
    </row>
    <row r="517" ht="15.75" customHeight="1">
      <c r="E517" s="124"/>
      <c r="F517" s="124"/>
      <c r="G517" s="124"/>
      <c r="H517" s="124"/>
      <c r="I517" s="124"/>
      <c r="J517" s="124"/>
      <c r="K517" s="124"/>
    </row>
    <row r="518" ht="15.75" customHeight="1">
      <c r="E518" s="124"/>
      <c r="F518" s="124"/>
      <c r="G518" s="124"/>
      <c r="H518" s="124"/>
      <c r="I518" s="124"/>
      <c r="J518" s="124"/>
      <c r="K518" s="124"/>
    </row>
    <row r="519" ht="15.75" customHeight="1">
      <c r="E519" s="124"/>
      <c r="F519" s="124"/>
      <c r="G519" s="124"/>
      <c r="H519" s="124"/>
      <c r="I519" s="124"/>
      <c r="J519" s="124"/>
      <c r="K519" s="124"/>
    </row>
    <row r="520" ht="15.75" customHeight="1">
      <c r="E520" s="124"/>
      <c r="F520" s="124"/>
      <c r="G520" s="124"/>
      <c r="H520" s="124"/>
      <c r="I520" s="124"/>
      <c r="J520" s="124"/>
      <c r="K520" s="124"/>
    </row>
    <row r="521" ht="15.75" customHeight="1">
      <c r="E521" s="124"/>
      <c r="F521" s="124"/>
      <c r="G521" s="124"/>
      <c r="H521" s="124"/>
      <c r="I521" s="124"/>
      <c r="J521" s="124"/>
      <c r="K521" s="124"/>
    </row>
    <row r="522" ht="15.75" customHeight="1">
      <c r="E522" s="124"/>
      <c r="F522" s="124"/>
      <c r="G522" s="124"/>
      <c r="H522" s="124"/>
      <c r="I522" s="124"/>
      <c r="J522" s="124"/>
      <c r="K522" s="124"/>
    </row>
    <row r="523" ht="15.75" customHeight="1">
      <c r="E523" s="124"/>
      <c r="F523" s="124"/>
      <c r="G523" s="124"/>
      <c r="H523" s="124"/>
      <c r="I523" s="124"/>
      <c r="J523" s="124"/>
      <c r="K523" s="124"/>
    </row>
    <row r="524" ht="15.75" customHeight="1">
      <c r="E524" s="124"/>
      <c r="F524" s="124"/>
      <c r="G524" s="124"/>
      <c r="H524" s="124"/>
      <c r="I524" s="124"/>
      <c r="J524" s="124"/>
      <c r="K524" s="124"/>
    </row>
    <row r="525" ht="15.75" customHeight="1">
      <c r="E525" s="124"/>
      <c r="F525" s="124"/>
      <c r="G525" s="124"/>
      <c r="H525" s="124"/>
      <c r="I525" s="124"/>
      <c r="J525" s="124"/>
      <c r="K525" s="124"/>
    </row>
    <row r="526" ht="15.75" customHeight="1">
      <c r="E526" s="124"/>
      <c r="F526" s="124"/>
      <c r="G526" s="124"/>
      <c r="H526" s="124"/>
      <c r="I526" s="124"/>
      <c r="J526" s="124"/>
      <c r="K526" s="124"/>
    </row>
    <row r="527" ht="15.75" customHeight="1">
      <c r="E527" s="124"/>
      <c r="F527" s="124"/>
      <c r="G527" s="124"/>
      <c r="H527" s="124"/>
      <c r="I527" s="124"/>
      <c r="J527" s="124"/>
      <c r="K527" s="124"/>
    </row>
    <row r="528" ht="15.75" customHeight="1">
      <c r="E528" s="124"/>
      <c r="F528" s="124"/>
      <c r="G528" s="124"/>
      <c r="H528" s="124"/>
      <c r="I528" s="124"/>
      <c r="J528" s="124"/>
      <c r="K528" s="124"/>
    </row>
    <row r="529" ht="15.75" customHeight="1">
      <c r="E529" s="124"/>
      <c r="F529" s="124"/>
      <c r="G529" s="124"/>
      <c r="H529" s="124"/>
      <c r="I529" s="124"/>
      <c r="J529" s="124"/>
      <c r="K529" s="124"/>
    </row>
    <row r="530" ht="15.75" customHeight="1">
      <c r="E530" s="124"/>
      <c r="F530" s="124"/>
      <c r="G530" s="124"/>
      <c r="H530" s="124"/>
      <c r="I530" s="124"/>
      <c r="J530" s="124"/>
      <c r="K530" s="124"/>
    </row>
    <row r="531" ht="15.75" customHeight="1">
      <c r="E531" s="124"/>
      <c r="F531" s="124"/>
      <c r="G531" s="124"/>
      <c r="H531" s="124"/>
      <c r="I531" s="124"/>
      <c r="J531" s="124"/>
      <c r="K531" s="124"/>
    </row>
    <row r="532" ht="15.75" customHeight="1">
      <c r="E532" s="124"/>
      <c r="F532" s="124"/>
      <c r="G532" s="124"/>
      <c r="H532" s="124"/>
      <c r="I532" s="124"/>
      <c r="J532" s="124"/>
      <c r="K532" s="124"/>
    </row>
    <row r="533" ht="15.75" customHeight="1">
      <c r="E533" s="124"/>
      <c r="F533" s="124"/>
      <c r="G533" s="124"/>
      <c r="H533" s="124"/>
      <c r="I533" s="124"/>
      <c r="J533" s="124"/>
      <c r="K533" s="124"/>
    </row>
    <row r="534" ht="15.75" customHeight="1">
      <c r="E534" s="124"/>
      <c r="F534" s="124"/>
      <c r="G534" s="124"/>
      <c r="H534" s="124"/>
      <c r="I534" s="124"/>
      <c r="J534" s="124"/>
      <c r="K534" s="124"/>
    </row>
    <row r="535" ht="15.75" customHeight="1">
      <c r="E535" s="124"/>
      <c r="F535" s="124"/>
      <c r="G535" s="124"/>
      <c r="H535" s="124"/>
      <c r="I535" s="124"/>
      <c r="J535" s="124"/>
      <c r="K535" s="124"/>
    </row>
    <row r="536" ht="15.75" customHeight="1">
      <c r="E536" s="124"/>
      <c r="F536" s="124"/>
      <c r="G536" s="124"/>
      <c r="H536" s="124"/>
      <c r="I536" s="124"/>
      <c r="J536" s="124"/>
      <c r="K536" s="124"/>
    </row>
    <row r="537" ht="15.75" customHeight="1">
      <c r="E537" s="124"/>
      <c r="F537" s="124"/>
      <c r="G537" s="124"/>
      <c r="H537" s="124"/>
      <c r="I537" s="124"/>
      <c r="J537" s="124"/>
      <c r="K537" s="124"/>
    </row>
    <row r="538" ht="15.75" customHeight="1">
      <c r="E538" s="124"/>
      <c r="F538" s="124"/>
      <c r="G538" s="124"/>
      <c r="H538" s="124"/>
      <c r="I538" s="124"/>
      <c r="J538" s="124"/>
      <c r="K538" s="124"/>
    </row>
    <row r="539" ht="15.75" customHeight="1">
      <c r="E539" s="124"/>
      <c r="F539" s="124"/>
      <c r="G539" s="124"/>
      <c r="H539" s="124"/>
      <c r="I539" s="124"/>
      <c r="J539" s="124"/>
      <c r="K539" s="124"/>
    </row>
    <row r="540" ht="15.75" customHeight="1">
      <c r="E540" s="124"/>
      <c r="F540" s="124"/>
      <c r="G540" s="124"/>
      <c r="H540" s="124"/>
      <c r="I540" s="124"/>
      <c r="J540" s="124"/>
      <c r="K540" s="124"/>
    </row>
    <row r="541" ht="15.75" customHeight="1">
      <c r="E541" s="124"/>
      <c r="F541" s="124"/>
      <c r="G541" s="124"/>
      <c r="H541" s="124"/>
      <c r="I541" s="124"/>
      <c r="J541" s="124"/>
      <c r="K541" s="124"/>
    </row>
    <row r="542" ht="15.75" customHeight="1">
      <c r="E542" s="124"/>
      <c r="F542" s="124"/>
      <c r="G542" s="124"/>
      <c r="H542" s="124"/>
      <c r="I542" s="124"/>
      <c r="J542" s="124"/>
      <c r="K542" s="124"/>
    </row>
    <row r="543" ht="15.75" customHeight="1">
      <c r="E543" s="124"/>
      <c r="F543" s="124"/>
      <c r="G543" s="124"/>
      <c r="H543" s="124"/>
      <c r="I543" s="124"/>
      <c r="J543" s="124"/>
      <c r="K543" s="124"/>
    </row>
    <row r="544" ht="15.75" customHeight="1">
      <c r="E544" s="124"/>
      <c r="F544" s="124"/>
      <c r="G544" s="124"/>
      <c r="H544" s="124"/>
      <c r="I544" s="124"/>
      <c r="J544" s="124"/>
      <c r="K544" s="124"/>
    </row>
    <row r="545" ht="15.75" customHeight="1">
      <c r="E545" s="124"/>
      <c r="F545" s="124"/>
      <c r="G545" s="124"/>
      <c r="H545" s="124"/>
      <c r="I545" s="124"/>
      <c r="J545" s="124"/>
      <c r="K545" s="124"/>
    </row>
    <row r="546" ht="15.75" customHeight="1">
      <c r="E546" s="124"/>
      <c r="F546" s="124"/>
      <c r="G546" s="124"/>
      <c r="H546" s="124"/>
      <c r="I546" s="124"/>
      <c r="J546" s="124"/>
      <c r="K546" s="124"/>
    </row>
    <row r="547" ht="15.75" customHeight="1">
      <c r="E547" s="124"/>
      <c r="F547" s="124"/>
      <c r="G547" s="124"/>
      <c r="H547" s="124"/>
      <c r="I547" s="124"/>
      <c r="J547" s="124"/>
      <c r="K547" s="124"/>
    </row>
    <row r="548" ht="15.75" customHeight="1">
      <c r="E548" s="124"/>
      <c r="F548" s="124"/>
      <c r="G548" s="124"/>
      <c r="H548" s="124"/>
      <c r="I548" s="124"/>
      <c r="J548" s="124"/>
      <c r="K548" s="124"/>
    </row>
    <row r="549" ht="15.75" customHeight="1">
      <c r="E549" s="124"/>
      <c r="F549" s="124"/>
      <c r="G549" s="124"/>
      <c r="H549" s="124"/>
      <c r="I549" s="124"/>
      <c r="J549" s="124"/>
      <c r="K549" s="124"/>
    </row>
    <row r="550" ht="15.75" customHeight="1">
      <c r="E550" s="124"/>
      <c r="F550" s="124"/>
      <c r="G550" s="124"/>
      <c r="H550" s="124"/>
      <c r="I550" s="124"/>
      <c r="J550" s="124"/>
      <c r="K550" s="124"/>
    </row>
    <row r="551" ht="15.75" customHeight="1">
      <c r="E551" s="124"/>
      <c r="F551" s="124"/>
      <c r="G551" s="124"/>
      <c r="H551" s="124"/>
      <c r="I551" s="124"/>
      <c r="J551" s="124"/>
      <c r="K551" s="124"/>
    </row>
    <row r="552" ht="15.75" customHeight="1">
      <c r="E552" s="124"/>
      <c r="F552" s="124"/>
      <c r="G552" s="124"/>
      <c r="H552" s="124"/>
      <c r="I552" s="124"/>
      <c r="J552" s="124"/>
      <c r="K552" s="124"/>
    </row>
    <row r="553" ht="15.75" customHeight="1">
      <c r="E553" s="124"/>
      <c r="F553" s="124"/>
      <c r="G553" s="124"/>
      <c r="H553" s="124"/>
      <c r="I553" s="124"/>
      <c r="J553" s="124"/>
      <c r="K553" s="124"/>
    </row>
    <row r="554" ht="15.75" customHeight="1">
      <c r="E554" s="124"/>
      <c r="F554" s="124"/>
      <c r="G554" s="124"/>
      <c r="H554" s="124"/>
      <c r="I554" s="124"/>
      <c r="J554" s="124"/>
      <c r="K554" s="124"/>
    </row>
    <row r="555" ht="15.75" customHeight="1">
      <c r="E555" s="124"/>
      <c r="F555" s="124"/>
      <c r="G555" s="124"/>
      <c r="H555" s="124"/>
      <c r="I555" s="124"/>
      <c r="J555" s="124"/>
      <c r="K555" s="124"/>
    </row>
    <row r="556" ht="15.75" customHeight="1">
      <c r="E556" s="124"/>
      <c r="F556" s="124"/>
      <c r="G556" s="124"/>
      <c r="H556" s="124"/>
      <c r="I556" s="124"/>
      <c r="J556" s="124"/>
      <c r="K556" s="124"/>
    </row>
    <row r="557" ht="15.75" customHeight="1">
      <c r="E557" s="124"/>
      <c r="F557" s="124"/>
      <c r="G557" s="124"/>
      <c r="H557" s="124"/>
      <c r="I557" s="124"/>
      <c r="J557" s="124"/>
      <c r="K557" s="124"/>
    </row>
    <row r="558" ht="15.75" customHeight="1">
      <c r="E558" s="124"/>
      <c r="F558" s="124"/>
      <c r="G558" s="124"/>
      <c r="H558" s="124"/>
      <c r="I558" s="124"/>
      <c r="J558" s="124"/>
      <c r="K558" s="124"/>
    </row>
    <row r="559" ht="15.75" customHeight="1">
      <c r="E559" s="124"/>
      <c r="F559" s="124"/>
      <c r="G559" s="124"/>
      <c r="H559" s="124"/>
      <c r="I559" s="124"/>
      <c r="J559" s="124"/>
      <c r="K559" s="124"/>
    </row>
    <row r="560" ht="15.75" customHeight="1">
      <c r="E560" s="124"/>
      <c r="F560" s="124"/>
      <c r="G560" s="124"/>
      <c r="H560" s="124"/>
      <c r="I560" s="124"/>
      <c r="J560" s="124"/>
      <c r="K560" s="124"/>
    </row>
    <row r="561" ht="15.75" customHeight="1">
      <c r="E561" s="124"/>
      <c r="F561" s="124"/>
      <c r="G561" s="124"/>
      <c r="H561" s="124"/>
      <c r="I561" s="124"/>
      <c r="J561" s="124"/>
      <c r="K561" s="124"/>
    </row>
    <row r="562" ht="15.75" customHeight="1">
      <c r="E562" s="124"/>
      <c r="F562" s="124"/>
      <c r="G562" s="124"/>
      <c r="H562" s="124"/>
      <c r="I562" s="124"/>
      <c r="J562" s="124"/>
      <c r="K562" s="124"/>
    </row>
    <row r="563" ht="15.75" customHeight="1">
      <c r="E563" s="124"/>
      <c r="F563" s="124"/>
      <c r="G563" s="124"/>
      <c r="H563" s="124"/>
      <c r="I563" s="124"/>
      <c r="J563" s="124"/>
      <c r="K563" s="124"/>
    </row>
    <row r="564" ht="15.75" customHeight="1">
      <c r="E564" s="124"/>
      <c r="F564" s="124"/>
      <c r="G564" s="124"/>
      <c r="H564" s="124"/>
      <c r="I564" s="124"/>
      <c r="J564" s="124"/>
      <c r="K564" s="124"/>
    </row>
    <row r="565" ht="15.75" customHeight="1">
      <c r="E565" s="124"/>
      <c r="F565" s="124"/>
      <c r="G565" s="124"/>
      <c r="H565" s="124"/>
      <c r="I565" s="124"/>
      <c r="J565" s="124"/>
      <c r="K565" s="124"/>
    </row>
    <row r="566" ht="15.75" customHeight="1">
      <c r="E566" s="124"/>
      <c r="F566" s="124"/>
      <c r="G566" s="124"/>
      <c r="H566" s="124"/>
      <c r="I566" s="124"/>
      <c r="J566" s="124"/>
      <c r="K566" s="124"/>
    </row>
    <row r="567" ht="15.75" customHeight="1">
      <c r="E567" s="124"/>
      <c r="F567" s="124"/>
      <c r="G567" s="124"/>
      <c r="H567" s="124"/>
      <c r="I567" s="124"/>
      <c r="J567" s="124"/>
      <c r="K567" s="124"/>
    </row>
    <row r="568" ht="15.75" customHeight="1">
      <c r="E568" s="124"/>
      <c r="F568" s="124"/>
      <c r="G568" s="124"/>
      <c r="H568" s="124"/>
      <c r="I568" s="124"/>
      <c r="J568" s="124"/>
      <c r="K568" s="124"/>
    </row>
    <row r="569" ht="15.75" customHeight="1">
      <c r="E569" s="124"/>
      <c r="F569" s="124"/>
      <c r="G569" s="124"/>
      <c r="H569" s="124"/>
      <c r="I569" s="124"/>
      <c r="J569" s="124"/>
      <c r="K569" s="124"/>
    </row>
    <row r="570" ht="15.75" customHeight="1">
      <c r="E570" s="124"/>
      <c r="F570" s="124"/>
      <c r="G570" s="124"/>
      <c r="H570" s="124"/>
      <c r="I570" s="124"/>
      <c r="J570" s="124"/>
      <c r="K570" s="124"/>
    </row>
    <row r="571" ht="15.75" customHeight="1">
      <c r="E571" s="124"/>
      <c r="F571" s="124"/>
      <c r="G571" s="124"/>
      <c r="H571" s="124"/>
      <c r="I571" s="124"/>
      <c r="J571" s="124"/>
      <c r="K571" s="124"/>
    </row>
    <row r="572" ht="15.75" customHeight="1">
      <c r="E572" s="124"/>
      <c r="F572" s="124"/>
      <c r="G572" s="124"/>
      <c r="H572" s="124"/>
      <c r="I572" s="124"/>
      <c r="J572" s="124"/>
      <c r="K572" s="124"/>
    </row>
    <row r="573" ht="15.75" customHeight="1">
      <c r="E573" s="124"/>
      <c r="F573" s="124"/>
      <c r="G573" s="124"/>
      <c r="H573" s="124"/>
      <c r="I573" s="124"/>
      <c r="J573" s="124"/>
      <c r="K573" s="124"/>
    </row>
    <row r="574" ht="15.75" customHeight="1">
      <c r="E574" s="124"/>
      <c r="F574" s="124"/>
      <c r="G574" s="124"/>
      <c r="H574" s="124"/>
      <c r="I574" s="124"/>
      <c r="J574" s="124"/>
      <c r="K574" s="124"/>
    </row>
    <row r="575" ht="15.75" customHeight="1">
      <c r="E575" s="124"/>
      <c r="F575" s="124"/>
      <c r="G575" s="124"/>
      <c r="H575" s="124"/>
      <c r="I575" s="124"/>
      <c r="J575" s="124"/>
      <c r="K575" s="124"/>
    </row>
    <row r="576" ht="15.75" customHeight="1">
      <c r="E576" s="124"/>
      <c r="F576" s="124"/>
      <c r="G576" s="124"/>
      <c r="H576" s="124"/>
      <c r="I576" s="124"/>
      <c r="J576" s="124"/>
      <c r="K576" s="124"/>
    </row>
    <row r="577" ht="15.75" customHeight="1">
      <c r="E577" s="124"/>
      <c r="F577" s="124"/>
      <c r="G577" s="124"/>
      <c r="H577" s="124"/>
      <c r="I577" s="124"/>
      <c r="J577" s="124"/>
      <c r="K577" s="124"/>
    </row>
    <row r="578" ht="15.75" customHeight="1">
      <c r="E578" s="124"/>
      <c r="F578" s="124"/>
      <c r="G578" s="124"/>
      <c r="H578" s="124"/>
      <c r="I578" s="124"/>
      <c r="J578" s="124"/>
      <c r="K578" s="124"/>
    </row>
    <row r="579" ht="15.75" customHeight="1">
      <c r="E579" s="124"/>
      <c r="F579" s="124"/>
      <c r="G579" s="124"/>
      <c r="H579" s="124"/>
      <c r="I579" s="124"/>
      <c r="J579" s="124"/>
      <c r="K579" s="124"/>
    </row>
    <row r="580" ht="15.75" customHeight="1">
      <c r="E580" s="124"/>
      <c r="F580" s="124"/>
      <c r="G580" s="124"/>
      <c r="H580" s="124"/>
      <c r="I580" s="124"/>
      <c r="J580" s="124"/>
      <c r="K580" s="124"/>
    </row>
    <row r="581" ht="15.75" customHeight="1">
      <c r="E581" s="124"/>
      <c r="F581" s="124"/>
      <c r="G581" s="124"/>
      <c r="H581" s="124"/>
      <c r="I581" s="124"/>
      <c r="J581" s="124"/>
      <c r="K581" s="124"/>
    </row>
    <row r="582" ht="15.75" customHeight="1">
      <c r="E582" s="124"/>
      <c r="F582" s="124"/>
      <c r="G582" s="124"/>
      <c r="H582" s="124"/>
      <c r="I582" s="124"/>
      <c r="J582" s="124"/>
      <c r="K582" s="124"/>
    </row>
    <row r="583" ht="15.75" customHeight="1">
      <c r="E583" s="124"/>
      <c r="F583" s="124"/>
      <c r="G583" s="124"/>
      <c r="H583" s="124"/>
      <c r="I583" s="124"/>
      <c r="J583" s="124"/>
      <c r="K583" s="124"/>
    </row>
    <row r="584" ht="15.75" customHeight="1">
      <c r="E584" s="124"/>
      <c r="F584" s="124"/>
      <c r="G584" s="124"/>
      <c r="H584" s="124"/>
      <c r="I584" s="124"/>
      <c r="J584" s="124"/>
      <c r="K584" s="124"/>
    </row>
    <row r="585" ht="15.75" customHeight="1">
      <c r="E585" s="124"/>
      <c r="F585" s="124"/>
      <c r="G585" s="124"/>
      <c r="H585" s="124"/>
      <c r="I585" s="124"/>
      <c r="J585" s="124"/>
      <c r="K585" s="124"/>
    </row>
    <row r="586" ht="15.75" customHeight="1">
      <c r="E586" s="124"/>
      <c r="F586" s="124"/>
      <c r="G586" s="124"/>
      <c r="H586" s="124"/>
      <c r="I586" s="124"/>
      <c r="J586" s="124"/>
      <c r="K586" s="124"/>
    </row>
    <row r="587" ht="15.75" customHeight="1">
      <c r="E587" s="124"/>
      <c r="F587" s="124"/>
      <c r="G587" s="124"/>
      <c r="H587" s="124"/>
      <c r="I587" s="124"/>
      <c r="J587" s="124"/>
      <c r="K587" s="124"/>
    </row>
    <row r="588" ht="15.75" customHeight="1">
      <c r="E588" s="124"/>
      <c r="F588" s="124"/>
      <c r="G588" s="124"/>
      <c r="H588" s="124"/>
      <c r="I588" s="124"/>
      <c r="J588" s="124"/>
      <c r="K588" s="124"/>
    </row>
    <row r="589" ht="15.75" customHeight="1">
      <c r="E589" s="124"/>
      <c r="F589" s="124"/>
      <c r="G589" s="124"/>
      <c r="H589" s="124"/>
      <c r="I589" s="124"/>
      <c r="J589" s="124"/>
      <c r="K589" s="124"/>
    </row>
    <row r="590" ht="15.75" customHeight="1">
      <c r="E590" s="124"/>
      <c r="F590" s="124"/>
      <c r="G590" s="124"/>
      <c r="H590" s="124"/>
      <c r="I590" s="124"/>
      <c r="J590" s="124"/>
      <c r="K590" s="124"/>
    </row>
    <row r="591" ht="15.75" customHeight="1">
      <c r="E591" s="124"/>
      <c r="F591" s="124"/>
      <c r="G591" s="124"/>
      <c r="H591" s="124"/>
      <c r="I591" s="124"/>
      <c r="J591" s="124"/>
      <c r="K591" s="124"/>
    </row>
    <row r="592" ht="15.75" customHeight="1">
      <c r="E592" s="124"/>
      <c r="F592" s="124"/>
      <c r="G592" s="124"/>
      <c r="H592" s="124"/>
      <c r="I592" s="124"/>
      <c r="J592" s="124"/>
      <c r="K592" s="124"/>
    </row>
    <row r="593" ht="15.75" customHeight="1">
      <c r="E593" s="124"/>
      <c r="F593" s="124"/>
      <c r="G593" s="124"/>
      <c r="H593" s="124"/>
      <c r="I593" s="124"/>
      <c r="J593" s="124"/>
      <c r="K593" s="124"/>
    </row>
    <row r="594" ht="15.75" customHeight="1">
      <c r="E594" s="124"/>
      <c r="F594" s="124"/>
      <c r="G594" s="124"/>
      <c r="H594" s="124"/>
      <c r="I594" s="124"/>
      <c r="J594" s="124"/>
      <c r="K594" s="124"/>
    </row>
    <row r="595" ht="15.75" customHeight="1">
      <c r="E595" s="124"/>
      <c r="F595" s="124"/>
      <c r="G595" s="124"/>
      <c r="H595" s="124"/>
      <c r="I595" s="124"/>
      <c r="J595" s="124"/>
      <c r="K595" s="124"/>
    </row>
    <row r="596" ht="15.75" customHeight="1">
      <c r="E596" s="124"/>
      <c r="F596" s="124"/>
      <c r="G596" s="124"/>
      <c r="H596" s="124"/>
      <c r="I596" s="124"/>
      <c r="J596" s="124"/>
      <c r="K596" s="124"/>
    </row>
    <row r="597" ht="15.75" customHeight="1">
      <c r="E597" s="124"/>
      <c r="F597" s="124"/>
      <c r="G597" s="124"/>
      <c r="H597" s="124"/>
      <c r="I597" s="124"/>
      <c r="J597" s="124"/>
      <c r="K597" s="124"/>
    </row>
    <row r="598" ht="15.75" customHeight="1">
      <c r="E598" s="124"/>
      <c r="F598" s="124"/>
      <c r="G598" s="124"/>
      <c r="H598" s="124"/>
      <c r="I598" s="124"/>
      <c r="J598" s="124"/>
      <c r="K598" s="124"/>
    </row>
    <row r="599" ht="15.75" customHeight="1">
      <c r="E599" s="124"/>
      <c r="F599" s="124"/>
      <c r="G599" s="124"/>
      <c r="H599" s="124"/>
      <c r="I599" s="124"/>
      <c r="J599" s="124"/>
      <c r="K599" s="124"/>
    </row>
    <row r="600" ht="15.75" customHeight="1">
      <c r="E600" s="124"/>
      <c r="F600" s="124"/>
      <c r="G600" s="124"/>
      <c r="H600" s="124"/>
      <c r="I600" s="124"/>
      <c r="J600" s="124"/>
      <c r="K600" s="124"/>
    </row>
    <row r="601" ht="15.75" customHeight="1">
      <c r="E601" s="124"/>
      <c r="F601" s="124"/>
      <c r="G601" s="124"/>
      <c r="H601" s="124"/>
      <c r="I601" s="124"/>
      <c r="J601" s="124"/>
      <c r="K601" s="124"/>
    </row>
    <row r="602" ht="15.75" customHeight="1">
      <c r="E602" s="124"/>
      <c r="F602" s="124"/>
      <c r="G602" s="124"/>
      <c r="H602" s="124"/>
      <c r="I602" s="124"/>
      <c r="J602" s="124"/>
      <c r="K602" s="124"/>
    </row>
    <row r="603" ht="15.75" customHeight="1">
      <c r="E603" s="124"/>
      <c r="F603" s="124"/>
      <c r="G603" s="124"/>
      <c r="H603" s="124"/>
      <c r="I603" s="124"/>
      <c r="J603" s="124"/>
      <c r="K603" s="124"/>
    </row>
    <row r="604" ht="15.75" customHeight="1">
      <c r="E604" s="124"/>
      <c r="F604" s="124"/>
      <c r="G604" s="124"/>
      <c r="H604" s="124"/>
      <c r="I604" s="124"/>
      <c r="J604" s="124"/>
      <c r="K604" s="124"/>
    </row>
    <row r="605" ht="15.75" customHeight="1">
      <c r="E605" s="124"/>
      <c r="F605" s="124"/>
      <c r="G605" s="124"/>
      <c r="H605" s="124"/>
      <c r="I605" s="124"/>
      <c r="J605" s="124"/>
      <c r="K605" s="124"/>
    </row>
    <row r="606" ht="15.75" customHeight="1">
      <c r="E606" s="124"/>
      <c r="F606" s="124"/>
      <c r="G606" s="124"/>
      <c r="H606" s="124"/>
      <c r="I606" s="124"/>
      <c r="J606" s="124"/>
      <c r="K606" s="124"/>
    </row>
    <row r="607" ht="15.75" customHeight="1">
      <c r="E607" s="124"/>
      <c r="F607" s="124"/>
      <c r="G607" s="124"/>
      <c r="H607" s="124"/>
      <c r="I607" s="124"/>
      <c r="J607" s="124"/>
      <c r="K607" s="124"/>
    </row>
    <row r="608" ht="15.75" customHeight="1">
      <c r="E608" s="124"/>
      <c r="F608" s="124"/>
      <c r="G608" s="124"/>
      <c r="H608" s="124"/>
      <c r="I608" s="124"/>
      <c r="J608" s="124"/>
      <c r="K608" s="124"/>
    </row>
    <row r="609" ht="15.75" customHeight="1">
      <c r="E609" s="124"/>
      <c r="F609" s="124"/>
      <c r="G609" s="124"/>
      <c r="H609" s="124"/>
      <c r="I609" s="124"/>
      <c r="J609" s="124"/>
      <c r="K609" s="124"/>
    </row>
    <row r="610" ht="15.75" customHeight="1">
      <c r="E610" s="124"/>
      <c r="F610" s="124"/>
      <c r="G610" s="124"/>
      <c r="H610" s="124"/>
      <c r="I610" s="124"/>
      <c r="J610" s="124"/>
      <c r="K610" s="124"/>
    </row>
    <row r="611" ht="15.75" customHeight="1">
      <c r="E611" s="124"/>
      <c r="F611" s="124"/>
      <c r="G611" s="124"/>
      <c r="H611" s="124"/>
      <c r="I611" s="124"/>
      <c r="J611" s="124"/>
      <c r="K611" s="124"/>
    </row>
    <row r="612" ht="15.75" customHeight="1">
      <c r="E612" s="124"/>
      <c r="F612" s="124"/>
      <c r="G612" s="124"/>
      <c r="H612" s="124"/>
      <c r="I612" s="124"/>
      <c r="J612" s="124"/>
      <c r="K612" s="124"/>
    </row>
    <row r="613" ht="15.75" customHeight="1">
      <c r="E613" s="124"/>
      <c r="F613" s="124"/>
      <c r="G613" s="124"/>
      <c r="H613" s="124"/>
      <c r="I613" s="124"/>
      <c r="J613" s="124"/>
      <c r="K613" s="124"/>
    </row>
    <row r="614" ht="15.75" customHeight="1">
      <c r="E614" s="124"/>
      <c r="F614" s="124"/>
      <c r="G614" s="124"/>
      <c r="H614" s="124"/>
      <c r="I614" s="124"/>
      <c r="J614" s="124"/>
      <c r="K614" s="124"/>
    </row>
    <row r="615" ht="15.75" customHeight="1">
      <c r="E615" s="124"/>
      <c r="F615" s="124"/>
      <c r="G615" s="124"/>
      <c r="H615" s="124"/>
      <c r="I615" s="124"/>
      <c r="J615" s="124"/>
      <c r="K615" s="124"/>
    </row>
    <row r="616" ht="15.75" customHeight="1">
      <c r="E616" s="124"/>
      <c r="F616" s="124"/>
      <c r="G616" s="124"/>
      <c r="H616" s="124"/>
      <c r="I616" s="124"/>
      <c r="J616" s="124"/>
      <c r="K616" s="124"/>
    </row>
    <row r="617" ht="15.75" customHeight="1">
      <c r="E617" s="124"/>
      <c r="F617" s="124"/>
      <c r="G617" s="124"/>
      <c r="H617" s="124"/>
      <c r="I617" s="124"/>
      <c r="J617" s="124"/>
      <c r="K617" s="124"/>
    </row>
    <row r="618" ht="15.75" customHeight="1">
      <c r="E618" s="124"/>
      <c r="F618" s="124"/>
      <c r="G618" s="124"/>
      <c r="H618" s="124"/>
      <c r="I618" s="124"/>
      <c r="J618" s="124"/>
      <c r="K618" s="124"/>
    </row>
    <row r="619" ht="15.75" customHeight="1">
      <c r="E619" s="124"/>
      <c r="F619" s="124"/>
      <c r="G619" s="124"/>
      <c r="H619" s="124"/>
      <c r="I619" s="124"/>
      <c r="J619" s="124"/>
      <c r="K619" s="124"/>
    </row>
    <row r="620" ht="15.75" customHeight="1">
      <c r="E620" s="124"/>
      <c r="F620" s="124"/>
      <c r="G620" s="124"/>
      <c r="H620" s="124"/>
      <c r="I620" s="124"/>
      <c r="J620" s="124"/>
      <c r="K620" s="124"/>
    </row>
    <row r="621" ht="15.75" customHeight="1">
      <c r="E621" s="124"/>
      <c r="F621" s="124"/>
      <c r="G621" s="124"/>
      <c r="H621" s="124"/>
      <c r="I621" s="124"/>
      <c r="J621" s="124"/>
      <c r="K621" s="124"/>
    </row>
    <row r="622" ht="15.75" customHeight="1">
      <c r="E622" s="124"/>
      <c r="F622" s="124"/>
      <c r="G622" s="124"/>
      <c r="H622" s="124"/>
      <c r="I622" s="124"/>
      <c r="J622" s="124"/>
      <c r="K622" s="124"/>
    </row>
    <row r="623" ht="15.75" customHeight="1">
      <c r="E623" s="124"/>
      <c r="F623" s="124"/>
      <c r="G623" s="124"/>
      <c r="H623" s="124"/>
      <c r="I623" s="124"/>
      <c r="J623" s="124"/>
      <c r="K623" s="124"/>
    </row>
    <row r="624" ht="15.75" customHeight="1">
      <c r="E624" s="124"/>
      <c r="F624" s="124"/>
      <c r="G624" s="124"/>
      <c r="H624" s="124"/>
      <c r="I624" s="124"/>
      <c r="J624" s="124"/>
      <c r="K624" s="124"/>
    </row>
    <row r="625" ht="15.75" customHeight="1">
      <c r="E625" s="124"/>
      <c r="F625" s="124"/>
      <c r="G625" s="124"/>
      <c r="H625" s="124"/>
      <c r="I625" s="124"/>
      <c r="J625" s="124"/>
      <c r="K625" s="124"/>
    </row>
    <row r="626" ht="15.75" customHeight="1">
      <c r="E626" s="124"/>
      <c r="F626" s="124"/>
      <c r="G626" s="124"/>
      <c r="H626" s="124"/>
      <c r="I626" s="124"/>
      <c r="J626" s="124"/>
      <c r="K626" s="124"/>
    </row>
    <row r="627" ht="15.75" customHeight="1">
      <c r="E627" s="124"/>
      <c r="F627" s="124"/>
      <c r="G627" s="124"/>
      <c r="H627" s="124"/>
      <c r="I627" s="124"/>
      <c r="J627" s="124"/>
      <c r="K627" s="124"/>
    </row>
    <row r="628" ht="15.75" customHeight="1">
      <c r="E628" s="124"/>
      <c r="F628" s="124"/>
      <c r="G628" s="124"/>
      <c r="H628" s="124"/>
      <c r="I628" s="124"/>
      <c r="J628" s="124"/>
      <c r="K628" s="124"/>
    </row>
    <row r="629" ht="15.75" customHeight="1">
      <c r="E629" s="124"/>
      <c r="F629" s="124"/>
      <c r="G629" s="124"/>
      <c r="H629" s="124"/>
      <c r="I629" s="124"/>
      <c r="J629" s="124"/>
      <c r="K629" s="124"/>
    </row>
    <row r="630" ht="15.75" customHeight="1">
      <c r="E630" s="124"/>
      <c r="F630" s="124"/>
      <c r="G630" s="124"/>
      <c r="H630" s="124"/>
      <c r="I630" s="124"/>
      <c r="J630" s="124"/>
      <c r="K630" s="124"/>
    </row>
    <row r="631" ht="15.75" customHeight="1">
      <c r="E631" s="124"/>
      <c r="F631" s="124"/>
      <c r="G631" s="124"/>
      <c r="H631" s="124"/>
      <c r="I631" s="124"/>
      <c r="J631" s="124"/>
      <c r="K631" s="124"/>
    </row>
    <row r="632" ht="15.75" customHeight="1">
      <c r="E632" s="124"/>
      <c r="F632" s="124"/>
      <c r="G632" s="124"/>
      <c r="H632" s="124"/>
      <c r="I632" s="124"/>
      <c r="J632" s="124"/>
      <c r="K632" s="124"/>
    </row>
    <row r="633" ht="15.75" customHeight="1">
      <c r="E633" s="124"/>
      <c r="F633" s="124"/>
      <c r="G633" s="124"/>
      <c r="H633" s="124"/>
      <c r="I633" s="124"/>
      <c r="J633" s="124"/>
      <c r="K633" s="124"/>
    </row>
    <row r="634" ht="15.75" customHeight="1">
      <c r="E634" s="124"/>
      <c r="F634" s="124"/>
      <c r="G634" s="124"/>
      <c r="H634" s="124"/>
      <c r="I634" s="124"/>
      <c r="J634" s="124"/>
      <c r="K634" s="124"/>
    </row>
    <row r="635" ht="15.75" customHeight="1">
      <c r="E635" s="124"/>
      <c r="F635" s="124"/>
      <c r="G635" s="124"/>
      <c r="H635" s="124"/>
      <c r="I635" s="124"/>
      <c r="J635" s="124"/>
      <c r="K635" s="124"/>
    </row>
    <row r="636" ht="15.75" customHeight="1">
      <c r="E636" s="124"/>
      <c r="F636" s="124"/>
      <c r="G636" s="124"/>
      <c r="H636" s="124"/>
      <c r="I636" s="124"/>
      <c r="J636" s="124"/>
      <c r="K636" s="124"/>
    </row>
    <row r="637" ht="15.75" customHeight="1">
      <c r="E637" s="124"/>
      <c r="F637" s="124"/>
      <c r="G637" s="124"/>
      <c r="H637" s="124"/>
      <c r="I637" s="124"/>
      <c r="J637" s="124"/>
      <c r="K637" s="124"/>
    </row>
    <row r="638" ht="15.75" customHeight="1">
      <c r="E638" s="124"/>
      <c r="F638" s="124"/>
      <c r="G638" s="124"/>
      <c r="H638" s="124"/>
      <c r="I638" s="124"/>
      <c r="J638" s="124"/>
      <c r="K638" s="124"/>
    </row>
    <row r="639" ht="15.75" customHeight="1">
      <c r="E639" s="124"/>
      <c r="F639" s="124"/>
      <c r="G639" s="124"/>
      <c r="H639" s="124"/>
      <c r="I639" s="124"/>
      <c r="J639" s="124"/>
      <c r="K639" s="124"/>
    </row>
    <row r="640" ht="15.75" customHeight="1">
      <c r="E640" s="124"/>
      <c r="F640" s="124"/>
      <c r="G640" s="124"/>
      <c r="H640" s="124"/>
      <c r="I640" s="124"/>
      <c r="J640" s="124"/>
      <c r="K640" s="124"/>
    </row>
    <row r="641" ht="15.75" customHeight="1">
      <c r="E641" s="124"/>
      <c r="F641" s="124"/>
      <c r="G641" s="124"/>
      <c r="H641" s="124"/>
      <c r="I641" s="124"/>
      <c r="J641" s="124"/>
      <c r="K641" s="124"/>
    </row>
    <row r="642" ht="15.75" customHeight="1">
      <c r="E642" s="124"/>
      <c r="F642" s="124"/>
      <c r="G642" s="124"/>
      <c r="H642" s="124"/>
      <c r="I642" s="124"/>
      <c r="J642" s="124"/>
      <c r="K642" s="124"/>
    </row>
    <row r="643" ht="15.75" customHeight="1">
      <c r="E643" s="124"/>
      <c r="F643" s="124"/>
      <c r="G643" s="124"/>
      <c r="H643" s="124"/>
      <c r="I643" s="124"/>
      <c r="J643" s="124"/>
      <c r="K643" s="124"/>
    </row>
    <row r="644" ht="15.75" customHeight="1">
      <c r="E644" s="124"/>
      <c r="F644" s="124"/>
      <c r="G644" s="124"/>
      <c r="H644" s="124"/>
      <c r="I644" s="124"/>
      <c r="J644" s="124"/>
      <c r="K644" s="124"/>
    </row>
    <row r="645" ht="15.75" customHeight="1">
      <c r="E645" s="124"/>
      <c r="F645" s="124"/>
      <c r="G645" s="124"/>
      <c r="H645" s="124"/>
      <c r="I645" s="124"/>
      <c r="J645" s="124"/>
      <c r="K645" s="124"/>
    </row>
    <row r="646" ht="15.75" customHeight="1">
      <c r="E646" s="124"/>
      <c r="F646" s="124"/>
      <c r="G646" s="124"/>
      <c r="H646" s="124"/>
      <c r="I646" s="124"/>
      <c r="J646" s="124"/>
      <c r="K646" s="124"/>
    </row>
    <row r="647" ht="15.75" customHeight="1">
      <c r="E647" s="124"/>
      <c r="F647" s="124"/>
      <c r="G647" s="124"/>
      <c r="H647" s="124"/>
      <c r="I647" s="124"/>
      <c r="J647" s="124"/>
      <c r="K647" s="124"/>
    </row>
    <row r="648" ht="15.75" customHeight="1">
      <c r="E648" s="124"/>
      <c r="F648" s="124"/>
      <c r="G648" s="124"/>
      <c r="H648" s="124"/>
      <c r="I648" s="124"/>
      <c r="J648" s="124"/>
      <c r="K648" s="124"/>
    </row>
    <row r="649" ht="15.75" customHeight="1">
      <c r="E649" s="124"/>
      <c r="F649" s="124"/>
      <c r="G649" s="124"/>
      <c r="H649" s="124"/>
      <c r="I649" s="124"/>
      <c r="J649" s="124"/>
      <c r="K649" s="124"/>
    </row>
    <row r="650" ht="15.75" customHeight="1">
      <c r="E650" s="124"/>
      <c r="F650" s="124"/>
      <c r="G650" s="124"/>
      <c r="H650" s="124"/>
      <c r="I650" s="124"/>
      <c r="J650" s="124"/>
      <c r="K650" s="124"/>
    </row>
    <row r="651" ht="15.75" customHeight="1">
      <c r="E651" s="124"/>
      <c r="F651" s="124"/>
      <c r="G651" s="124"/>
      <c r="H651" s="124"/>
      <c r="I651" s="124"/>
      <c r="J651" s="124"/>
      <c r="K651" s="124"/>
    </row>
    <row r="652" ht="15.75" customHeight="1">
      <c r="E652" s="124"/>
      <c r="F652" s="124"/>
      <c r="G652" s="124"/>
      <c r="H652" s="124"/>
      <c r="I652" s="124"/>
      <c r="J652" s="124"/>
      <c r="K652" s="124"/>
    </row>
    <row r="653" ht="15.75" customHeight="1">
      <c r="E653" s="124"/>
      <c r="F653" s="124"/>
      <c r="G653" s="124"/>
      <c r="H653" s="124"/>
      <c r="I653" s="124"/>
      <c r="J653" s="124"/>
      <c r="K653" s="124"/>
    </row>
    <row r="654" ht="15.75" customHeight="1">
      <c r="E654" s="124"/>
      <c r="F654" s="124"/>
      <c r="G654" s="124"/>
      <c r="H654" s="124"/>
      <c r="I654" s="124"/>
      <c r="J654" s="124"/>
      <c r="K654" s="124"/>
    </row>
    <row r="655" ht="15.75" customHeight="1">
      <c r="E655" s="124"/>
      <c r="F655" s="124"/>
      <c r="G655" s="124"/>
      <c r="H655" s="124"/>
      <c r="I655" s="124"/>
      <c r="J655" s="124"/>
      <c r="K655" s="124"/>
    </row>
    <row r="656" ht="15.75" customHeight="1">
      <c r="E656" s="124"/>
      <c r="F656" s="124"/>
      <c r="G656" s="124"/>
      <c r="H656" s="124"/>
      <c r="I656" s="124"/>
      <c r="J656" s="124"/>
      <c r="K656" s="124"/>
    </row>
    <row r="657" ht="15.75" customHeight="1">
      <c r="E657" s="124"/>
      <c r="F657" s="124"/>
      <c r="G657" s="124"/>
      <c r="H657" s="124"/>
      <c r="I657" s="124"/>
      <c r="J657" s="124"/>
      <c r="K657" s="124"/>
    </row>
    <row r="658" ht="15.75" customHeight="1">
      <c r="E658" s="124"/>
      <c r="F658" s="124"/>
      <c r="G658" s="124"/>
      <c r="H658" s="124"/>
      <c r="I658" s="124"/>
      <c r="J658" s="124"/>
      <c r="K658" s="124"/>
    </row>
    <row r="659" ht="15.75" customHeight="1">
      <c r="E659" s="124"/>
      <c r="F659" s="124"/>
      <c r="G659" s="124"/>
      <c r="H659" s="124"/>
      <c r="I659" s="124"/>
      <c r="J659" s="124"/>
      <c r="K659" s="124"/>
    </row>
    <row r="660" ht="15.75" customHeight="1">
      <c r="E660" s="124"/>
      <c r="F660" s="124"/>
      <c r="G660" s="124"/>
      <c r="H660" s="124"/>
      <c r="I660" s="124"/>
      <c r="J660" s="124"/>
      <c r="K660" s="124"/>
    </row>
    <row r="661" ht="15.75" customHeight="1">
      <c r="E661" s="124"/>
      <c r="F661" s="124"/>
      <c r="G661" s="124"/>
      <c r="H661" s="124"/>
      <c r="I661" s="124"/>
      <c r="J661" s="124"/>
      <c r="K661" s="124"/>
    </row>
    <row r="662" ht="15.75" customHeight="1">
      <c r="E662" s="124"/>
      <c r="F662" s="124"/>
      <c r="G662" s="124"/>
      <c r="H662" s="124"/>
      <c r="I662" s="124"/>
      <c r="J662" s="124"/>
      <c r="K662" s="124"/>
    </row>
    <row r="663" ht="15.75" customHeight="1">
      <c r="E663" s="124"/>
      <c r="F663" s="124"/>
      <c r="G663" s="124"/>
      <c r="H663" s="124"/>
      <c r="I663" s="124"/>
      <c r="J663" s="124"/>
      <c r="K663" s="124"/>
    </row>
    <row r="664" ht="15.75" customHeight="1">
      <c r="E664" s="124"/>
      <c r="F664" s="124"/>
      <c r="G664" s="124"/>
      <c r="H664" s="124"/>
      <c r="I664" s="124"/>
      <c r="J664" s="124"/>
      <c r="K664" s="124"/>
    </row>
    <row r="665" ht="15.75" customHeight="1">
      <c r="E665" s="124"/>
      <c r="F665" s="124"/>
      <c r="G665" s="124"/>
      <c r="H665" s="124"/>
      <c r="I665" s="124"/>
      <c r="J665" s="124"/>
      <c r="K665" s="124"/>
    </row>
    <row r="666" ht="15.75" customHeight="1">
      <c r="E666" s="124"/>
      <c r="F666" s="124"/>
      <c r="G666" s="124"/>
      <c r="H666" s="124"/>
      <c r="I666" s="124"/>
      <c r="J666" s="124"/>
      <c r="K666" s="124"/>
    </row>
    <row r="667" ht="15.75" customHeight="1">
      <c r="E667" s="124"/>
      <c r="F667" s="124"/>
      <c r="G667" s="124"/>
      <c r="H667" s="124"/>
      <c r="I667" s="124"/>
      <c r="J667" s="124"/>
      <c r="K667" s="124"/>
    </row>
    <row r="668" ht="15.75" customHeight="1">
      <c r="E668" s="124"/>
      <c r="F668" s="124"/>
      <c r="G668" s="124"/>
      <c r="H668" s="124"/>
      <c r="I668" s="124"/>
      <c r="J668" s="124"/>
      <c r="K668" s="124"/>
    </row>
    <row r="669" ht="15.75" customHeight="1">
      <c r="E669" s="124"/>
      <c r="F669" s="124"/>
      <c r="G669" s="124"/>
      <c r="H669" s="124"/>
      <c r="I669" s="124"/>
      <c r="J669" s="124"/>
      <c r="K669" s="124"/>
    </row>
    <row r="670" ht="15.75" customHeight="1">
      <c r="E670" s="124"/>
      <c r="F670" s="124"/>
      <c r="G670" s="124"/>
      <c r="H670" s="124"/>
      <c r="I670" s="124"/>
      <c r="J670" s="124"/>
      <c r="K670" s="124"/>
    </row>
    <row r="671" ht="15.75" customHeight="1">
      <c r="E671" s="124"/>
      <c r="F671" s="124"/>
      <c r="G671" s="124"/>
      <c r="H671" s="124"/>
      <c r="I671" s="124"/>
      <c r="J671" s="124"/>
      <c r="K671" s="124"/>
    </row>
    <row r="672" ht="15.75" customHeight="1">
      <c r="E672" s="124"/>
      <c r="F672" s="124"/>
      <c r="G672" s="124"/>
      <c r="H672" s="124"/>
      <c r="I672" s="124"/>
      <c r="J672" s="124"/>
      <c r="K672" s="124"/>
    </row>
    <row r="673" ht="15.75" customHeight="1">
      <c r="E673" s="124"/>
      <c r="F673" s="124"/>
      <c r="G673" s="124"/>
      <c r="H673" s="124"/>
      <c r="I673" s="124"/>
      <c r="J673" s="124"/>
      <c r="K673" s="124"/>
    </row>
    <row r="674" ht="15.75" customHeight="1">
      <c r="E674" s="124"/>
      <c r="F674" s="124"/>
      <c r="G674" s="124"/>
      <c r="H674" s="124"/>
      <c r="I674" s="124"/>
      <c r="J674" s="124"/>
      <c r="K674" s="124"/>
    </row>
    <row r="675" ht="15.75" customHeight="1">
      <c r="E675" s="124"/>
      <c r="F675" s="124"/>
      <c r="G675" s="124"/>
      <c r="H675" s="124"/>
      <c r="I675" s="124"/>
      <c r="J675" s="124"/>
      <c r="K675" s="124"/>
    </row>
    <row r="676" ht="15.75" customHeight="1">
      <c r="E676" s="124"/>
      <c r="F676" s="124"/>
      <c r="G676" s="124"/>
      <c r="H676" s="124"/>
      <c r="I676" s="124"/>
      <c r="J676" s="124"/>
      <c r="K676" s="124"/>
    </row>
    <row r="677" ht="15.75" customHeight="1">
      <c r="E677" s="124"/>
      <c r="F677" s="124"/>
      <c r="G677" s="124"/>
      <c r="H677" s="124"/>
      <c r="I677" s="124"/>
      <c r="J677" s="124"/>
      <c r="K677" s="124"/>
    </row>
    <row r="678" ht="15.75" customHeight="1">
      <c r="E678" s="124"/>
      <c r="F678" s="124"/>
      <c r="G678" s="124"/>
      <c r="H678" s="124"/>
      <c r="I678" s="124"/>
      <c r="J678" s="124"/>
      <c r="K678" s="124"/>
    </row>
    <row r="679" ht="15.75" customHeight="1">
      <c r="E679" s="124"/>
      <c r="F679" s="124"/>
      <c r="G679" s="124"/>
      <c r="H679" s="124"/>
      <c r="I679" s="124"/>
      <c r="J679" s="124"/>
      <c r="K679" s="124"/>
    </row>
    <row r="680" ht="15.75" customHeight="1">
      <c r="E680" s="124"/>
      <c r="F680" s="124"/>
      <c r="G680" s="124"/>
      <c r="H680" s="124"/>
      <c r="I680" s="124"/>
      <c r="J680" s="124"/>
      <c r="K680" s="124"/>
    </row>
    <row r="681" ht="15.75" customHeight="1">
      <c r="E681" s="124"/>
      <c r="F681" s="124"/>
      <c r="G681" s="124"/>
      <c r="H681" s="124"/>
      <c r="I681" s="124"/>
      <c r="J681" s="124"/>
      <c r="K681" s="124"/>
    </row>
    <row r="682" ht="15.75" customHeight="1">
      <c r="E682" s="124"/>
      <c r="F682" s="124"/>
      <c r="G682" s="124"/>
      <c r="H682" s="124"/>
      <c r="I682" s="124"/>
      <c r="J682" s="124"/>
      <c r="K682" s="124"/>
    </row>
    <row r="683" ht="15.75" customHeight="1">
      <c r="E683" s="124"/>
      <c r="F683" s="124"/>
      <c r="G683" s="124"/>
      <c r="H683" s="124"/>
      <c r="I683" s="124"/>
      <c r="J683" s="124"/>
      <c r="K683" s="124"/>
    </row>
    <row r="684" ht="15.75" customHeight="1">
      <c r="E684" s="124"/>
      <c r="F684" s="124"/>
      <c r="G684" s="124"/>
      <c r="H684" s="124"/>
      <c r="I684" s="124"/>
      <c r="J684" s="124"/>
      <c r="K684" s="124"/>
    </row>
    <row r="685" ht="15.75" customHeight="1">
      <c r="E685" s="124"/>
      <c r="F685" s="124"/>
      <c r="G685" s="124"/>
      <c r="H685" s="124"/>
      <c r="I685" s="124"/>
      <c r="J685" s="124"/>
      <c r="K685" s="124"/>
    </row>
    <row r="686" ht="15.75" customHeight="1">
      <c r="E686" s="124"/>
      <c r="F686" s="124"/>
      <c r="G686" s="124"/>
      <c r="H686" s="124"/>
      <c r="I686" s="124"/>
      <c r="J686" s="124"/>
      <c r="K686" s="124"/>
    </row>
    <row r="687" ht="15.75" customHeight="1">
      <c r="E687" s="124"/>
      <c r="F687" s="124"/>
      <c r="G687" s="124"/>
      <c r="H687" s="124"/>
      <c r="I687" s="124"/>
      <c r="J687" s="124"/>
      <c r="K687" s="124"/>
    </row>
    <row r="688" ht="15.75" customHeight="1">
      <c r="E688" s="124"/>
      <c r="F688" s="124"/>
      <c r="G688" s="124"/>
      <c r="H688" s="124"/>
      <c r="I688" s="124"/>
      <c r="J688" s="124"/>
      <c r="K688" s="124"/>
    </row>
    <row r="689" ht="15.75" customHeight="1">
      <c r="E689" s="124"/>
      <c r="F689" s="124"/>
      <c r="G689" s="124"/>
      <c r="H689" s="124"/>
      <c r="I689" s="124"/>
      <c r="J689" s="124"/>
      <c r="K689" s="124"/>
    </row>
    <row r="690" ht="15.75" customHeight="1">
      <c r="E690" s="124"/>
      <c r="F690" s="124"/>
      <c r="G690" s="124"/>
      <c r="H690" s="124"/>
      <c r="I690" s="124"/>
      <c r="J690" s="124"/>
      <c r="K690" s="124"/>
    </row>
    <row r="691" ht="15.75" customHeight="1">
      <c r="E691" s="124"/>
      <c r="F691" s="124"/>
      <c r="G691" s="124"/>
      <c r="H691" s="124"/>
      <c r="I691" s="124"/>
      <c r="J691" s="124"/>
      <c r="K691" s="124"/>
    </row>
    <row r="692" ht="15.75" customHeight="1">
      <c r="E692" s="124"/>
      <c r="F692" s="124"/>
      <c r="G692" s="124"/>
      <c r="H692" s="124"/>
      <c r="I692" s="124"/>
      <c r="J692" s="124"/>
      <c r="K692" s="124"/>
    </row>
    <row r="693" ht="15.75" customHeight="1">
      <c r="E693" s="124"/>
      <c r="F693" s="124"/>
      <c r="G693" s="124"/>
      <c r="H693" s="124"/>
      <c r="I693" s="124"/>
      <c r="J693" s="124"/>
      <c r="K693" s="124"/>
    </row>
    <row r="694" ht="15.75" customHeight="1">
      <c r="E694" s="124"/>
      <c r="F694" s="124"/>
      <c r="G694" s="124"/>
      <c r="H694" s="124"/>
      <c r="I694" s="124"/>
      <c r="J694" s="124"/>
      <c r="K694" s="124"/>
    </row>
    <row r="695" ht="15.75" customHeight="1">
      <c r="E695" s="124"/>
      <c r="F695" s="124"/>
      <c r="G695" s="124"/>
      <c r="H695" s="124"/>
      <c r="I695" s="124"/>
      <c r="J695" s="124"/>
      <c r="K695" s="124"/>
    </row>
    <row r="696" ht="15.75" customHeight="1">
      <c r="E696" s="124"/>
      <c r="F696" s="124"/>
      <c r="G696" s="124"/>
      <c r="H696" s="124"/>
      <c r="I696" s="124"/>
      <c r="J696" s="124"/>
      <c r="K696" s="124"/>
    </row>
    <row r="697" ht="15.75" customHeight="1">
      <c r="E697" s="124"/>
      <c r="F697" s="124"/>
      <c r="G697" s="124"/>
      <c r="H697" s="124"/>
      <c r="I697" s="124"/>
      <c r="J697" s="124"/>
      <c r="K697" s="124"/>
    </row>
    <row r="698" ht="15.75" customHeight="1">
      <c r="E698" s="124"/>
      <c r="F698" s="124"/>
      <c r="G698" s="124"/>
      <c r="H698" s="124"/>
      <c r="I698" s="124"/>
      <c r="J698" s="124"/>
      <c r="K698" s="124"/>
    </row>
    <row r="699" ht="15.75" customHeight="1">
      <c r="E699" s="124"/>
      <c r="F699" s="124"/>
      <c r="G699" s="124"/>
      <c r="H699" s="124"/>
      <c r="I699" s="124"/>
      <c r="J699" s="124"/>
      <c r="K699" s="124"/>
    </row>
    <row r="700" ht="15.75" customHeight="1">
      <c r="E700" s="124"/>
      <c r="F700" s="124"/>
      <c r="G700" s="124"/>
      <c r="H700" s="124"/>
      <c r="I700" s="124"/>
      <c r="J700" s="124"/>
      <c r="K700" s="124"/>
    </row>
    <row r="701" ht="15.75" customHeight="1">
      <c r="E701" s="124"/>
      <c r="F701" s="124"/>
      <c r="G701" s="124"/>
      <c r="H701" s="124"/>
      <c r="I701" s="124"/>
      <c r="J701" s="124"/>
      <c r="K701" s="124"/>
    </row>
    <row r="702" ht="15.75" customHeight="1">
      <c r="E702" s="124"/>
      <c r="F702" s="124"/>
      <c r="G702" s="124"/>
      <c r="H702" s="124"/>
      <c r="I702" s="124"/>
      <c r="J702" s="124"/>
      <c r="K702" s="124"/>
    </row>
    <row r="703" ht="15.75" customHeight="1">
      <c r="E703" s="124"/>
      <c r="F703" s="124"/>
      <c r="G703" s="124"/>
      <c r="H703" s="124"/>
      <c r="I703" s="124"/>
      <c r="J703" s="124"/>
      <c r="K703" s="124"/>
    </row>
    <row r="704" ht="15.75" customHeight="1">
      <c r="E704" s="124"/>
      <c r="F704" s="124"/>
      <c r="G704" s="124"/>
      <c r="H704" s="124"/>
      <c r="I704" s="124"/>
      <c r="J704" s="124"/>
      <c r="K704" s="124"/>
    </row>
    <row r="705" ht="15.75" customHeight="1">
      <c r="E705" s="124"/>
      <c r="F705" s="124"/>
      <c r="G705" s="124"/>
      <c r="H705" s="124"/>
      <c r="I705" s="124"/>
      <c r="J705" s="124"/>
      <c r="K705" s="124"/>
    </row>
    <row r="706" ht="15.75" customHeight="1">
      <c r="E706" s="124"/>
      <c r="F706" s="124"/>
      <c r="G706" s="124"/>
      <c r="H706" s="124"/>
      <c r="I706" s="124"/>
      <c r="J706" s="124"/>
      <c r="K706" s="124"/>
    </row>
    <row r="707" ht="15.75" customHeight="1">
      <c r="E707" s="124"/>
      <c r="F707" s="124"/>
      <c r="G707" s="124"/>
      <c r="H707" s="124"/>
      <c r="I707" s="124"/>
      <c r="J707" s="124"/>
      <c r="K707" s="124"/>
    </row>
    <row r="708" ht="15.75" customHeight="1">
      <c r="E708" s="124"/>
      <c r="F708" s="124"/>
      <c r="G708" s="124"/>
      <c r="H708" s="124"/>
      <c r="I708" s="124"/>
      <c r="J708" s="124"/>
      <c r="K708" s="124"/>
    </row>
    <row r="709" ht="15.75" customHeight="1">
      <c r="E709" s="124"/>
      <c r="F709" s="124"/>
      <c r="G709" s="124"/>
      <c r="H709" s="124"/>
      <c r="I709" s="124"/>
      <c r="J709" s="124"/>
      <c r="K709" s="124"/>
    </row>
    <row r="710" ht="15.75" customHeight="1">
      <c r="E710" s="124"/>
      <c r="F710" s="124"/>
      <c r="G710" s="124"/>
      <c r="H710" s="124"/>
      <c r="I710" s="124"/>
      <c r="J710" s="124"/>
      <c r="K710" s="124"/>
    </row>
    <row r="711" ht="15.75" customHeight="1">
      <c r="E711" s="124"/>
      <c r="F711" s="124"/>
      <c r="G711" s="124"/>
      <c r="H711" s="124"/>
      <c r="I711" s="124"/>
      <c r="J711" s="124"/>
      <c r="K711" s="124"/>
    </row>
    <row r="712" ht="15.75" customHeight="1">
      <c r="E712" s="124"/>
      <c r="F712" s="124"/>
      <c r="G712" s="124"/>
      <c r="H712" s="124"/>
      <c r="I712" s="124"/>
      <c r="J712" s="124"/>
      <c r="K712" s="124"/>
    </row>
    <row r="713" ht="15.75" customHeight="1">
      <c r="E713" s="124"/>
      <c r="F713" s="124"/>
      <c r="G713" s="124"/>
      <c r="H713" s="124"/>
      <c r="I713" s="124"/>
      <c r="J713" s="124"/>
      <c r="K713" s="124"/>
    </row>
    <row r="714" ht="15.75" customHeight="1">
      <c r="E714" s="124"/>
      <c r="F714" s="124"/>
      <c r="G714" s="124"/>
      <c r="H714" s="124"/>
      <c r="I714" s="124"/>
      <c r="J714" s="124"/>
      <c r="K714" s="124"/>
    </row>
    <row r="715" ht="15.75" customHeight="1">
      <c r="E715" s="124"/>
      <c r="F715" s="124"/>
      <c r="G715" s="124"/>
      <c r="H715" s="124"/>
      <c r="I715" s="124"/>
      <c r="J715" s="124"/>
      <c r="K715" s="124"/>
    </row>
    <row r="716" ht="15.75" customHeight="1">
      <c r="E716" s="124"/>
      <c r="F716" s="124"/>
      <c r="G716" s="124"/>
      <c r="H716" s="124"/>
      <c r="I716" s="124"/>
      <c r="J716" s="124"/>
      <c r="K716" s="124"/>
    </row>
    <row r="717" ht="15.75" customHeight="1">
      <c r="E717" s="124"/>
      <c r="F717" s="124"/>
      <c r="G717" s="124"/>
      <c r="H717" s="124"/>
      <c r="I717" s="124"/>
      <c r="J717" s="124"/>
      <c r="K717" s="124"/>
    </row>
    <row r="718" ht="15.75" customHeight="1">
      <c r="E718" s="124"/>
      <c r="F718" s="124"/>
      <c r="G718" s="124"/>
      <c r="H718" s="124"/>
      <c r="I718" s="124"/>
      <c r="J718" s="124"/>
      <c r="K718" s="124"/>
    </row>
    <row r="719" ht="15.75" customHeight="1">
      <c r="E719" s="124"/>
      <c r="F719" s="124"/>
      <c r="G719" s="124"/>
      <c r="H719" s="124"/>
      <c r="I719" s="124"/>
      <c r="J719" s="124"/>
      <c r="K719" s="124"/>
    </row>
    <row r="720" ht="15.75" customHeight="1">
      <c r="E720" s="124"/>
      <c r="F720" s="124"/>
      <c r="G720" s="124"/>
      <c r="H720" s="124"/>
      <c r="I720" s="124"/>
      <c r="J720" s="124"/>
      <c r="K720" s="124"/>
    </row>
    <row r="721" ht="15.75" customHeight="1">
      <c r="E721" s="124"/>
      <c r="F721" s="124"/>
      <c r="G721" s="124"/>
      <c r="H721" s="124"/>
      <c r="I721" s="124"/>
      <c r="J721" s="124"/>
      <c r="K721" s="124"/>
    </row>
    <row r="722" ht="15.75" customHeight="1">
      <c r="E722" s="124"/>
      <c r="F722" s="124"/>
      <c r="G722" s="124"/>
      <c r="H722" s="124"/>
      <c r="I722" s="124"/>
      <c r="J722" s="124"/>
      <c r="K722" s="124"/>
    </row>
    <row r="723" ht="15.75" customHeight="1">
      <c r="E723" s="124"/>
      <c r="F723" s="124"/>
      <c r="G723" s="124"/>
      <c r="H723" s="124"/>
      <c r="I723" s="124"/>
      <c r="J723" s="124"/>
      <c r="K723" s="124"/>
    </row>
    <row r="724" ht="15.75" customHeight="1">
      <c r="E724" s="124"/>
      <c r="F724" s="124"/>
      <c r="G724" s="124"/>
      <c r="H724" s="124"/>
      <c r="I724" s="124"/>
      <c r="J724" s="124"/>
      <c r="K724" s="124"/>
    </row>
    <row r="725" ht="15.75" customHeight="1">
      <c r="E725" s="124"/>
      <c r="F725" s="124"/>
      <c r="G725" s="124"/>
      <c r="H725" s="124"/>
      <c r="I725" s="124"/>
      <c r="J725" s="124"/>
      <c r="K725" s="124"/>
    </row>
    <row r="726" ht="15.75" customHeight="1">
      <c r="E726" s="124"/>
      <c r="F726" s="124"/>
      <c r="G726" s="124"/>
      <c r="H726" s="124"/>
      <c r="I726" s="124"/>
      <c r="J726" s="124"/>
      <c r="K726" s="124"/>
    </row>
    <row r="727" ht="15.75" customHeight="1">
      <c r="E727" s="124"/>
      <c r="F727" s="124"/>
      <c r="G727" s="124"/>
      <c r="H727" s="124"/>
      <c r="I727" s="124"/>
      <c r="J727" s="124"/>
      <c r="K727" s="124"/>
    </row>
    <row r="728" ht="15.75" customHeight="1">
      <c r="E728" s="124"/>
      <c r="F728" s="124"/>
      <c r="G728" s="124"/>
      <c r="H728" s="124"/>
      <c r="I728" s="124"/>
      <c r="J728" s="124"/>
      <c r="K728" s="124"/>
    </row>
    <row r="729" ht="15.75" customHeight="1">
      <c r="E729" s="124"/>
      <c r="F729" s="124"/>
      <c r="G729" s="124"/>
      <c r="H729" s="124"/>
      <c r="I729" s="124"/>
      <c r="J729" s="124"/>
      <c r="K729" s="124"/>
    </row>
    <row r="730" ht="15.75" customHeight="1">
      <c r="E730" s="124"/>
      <c r="F730" s="124"/>
      <c r="G730" s="124"/>
      <c r="H730" s="124"/>
      <c r="I730" s="124"/>
      <c r="J730" s="124"/>
      <c r="K730" s="124"/>
    </row>
    <row r="731" ht="15.75" customHeight="1">
      <c r="E731" s="124"/>
      <c r="F731" s="124"/>
      <c r="G731" s="124"/>
      <c r="H731" s="124"/>
      <c r="I731" s="124"/>
      <c r="J731" s="124"/>
      <c r="K731" s="124"/>
    </row>
    <row r="732" ht="15.75" customHeight="1">
      <c r="E732" s="124"/>
      <c r="F732" s="124"/>
      <c r="G732" s="124"/>
      <c r="H732" s="124"/>
      <c r="I732" s="124"/>
      <c r="J732" s="124"/>
      <c r="K732" s="124"/>
    </row>
    <row r="733" ht="15.75" customHeight="1">
      <c r="E733" s="124"/>
      <c r="F733" s="124"/>
      <c r="G733" s="124"/>
      <c r="H733" s="124"/>
      <c r="I733" s="124"/>
      <c r="J733" s="124"/>
      <c r="K733" s="124"/>
    </row>
    <row r="734" ht="15.75" customHeight="1">
      <c r="E734" s="124"/>
      <c r="F734" s="124"/>
      <c r="G734" s="124"/>
      <c r="H734" s="124"/>
      <c r="I734" s="124"/>
      <c r="J734" s="124"/>
      <c r="K734" s="124"/>
    </row>
    <row r="735" ht="15.75" customHeight="1">
      <c r="E735" s="124"/>
      <c r="F735" s="124"/>
      <c r="G735" s="124"/>
      <c r="H735" s="124"/>
      <c r="I735" s="124"/>
      <c r="J735" s="124"/>
      <c r="K735" s="124"/>
    </row>
    <row r="736" ht="15.75" customHeight="1">
      <c r="E736" s="124"/>
      <c r="F736" s="124"/>
      <c r="G736" s="124"/>
      <c r="H736" s="124"/>
      <c r="I736" s="124"/>
      <c r="J736" s="124"/>
      <c r="K736" s="124"/>
    </row>
    <row r="737" ht="15.75" customHeight="1">
      <c r="E737" s="124"/>
      <c r="F737" s="124"/>
      <c r="G737" s="124"/>
      <c r="H737" s="124"/>
      <c r="I737" s="124"/>
      <c r="J737" s="124"/>
      <c r="K737" s="124"/>
    </row>
    <row r="738" ht="15.75" customHeight="1">
      <c r="E738" s="124"/>
      <c r="F738" s="124"/>
      <c r="G738" s="124"/>
      <c r="H738" s="124"/>
      <c r="I738" s="124"/>
      <c r="J738" s="124"/>
      <c r="K738" s="124"/>
    </row>
    <row r="739" ht="15.75" customHeight="1">
      <c r="E739" s="124"/>
      <c r="F739" s="124"/>
      <c r="G739" s="124"/>
      <c r="H739" s="124"/>
      <c r="I739" s="124"/>
      <c r="J739" s="124"/>
      <c r="K739" s="124"/>
    </row>
    <row r="740" ht="15.75" customHeight="1">
      <c r="E740" s="124"/>
      <c r="F740" s="124"/>
      <c r="G740" s="124"/>
      <c r="H740" s="124"/>
      <c r="I740" s="124"/>
      <c r="J740" s="124"/>
      <c r="K740" s="124"/>
    </row>
    <row r="741" ht="15.75" customHeight="1">
      <c r="E741" s="124"/>
      <c r="F741" s="124"/>
      <c r="G741" s="124"/>
      <c r="H741" s="124"/>
      <c r="I741" s="124"/>
      <c r="J741" s="124"/>
      <c r="K741" s="124"/>
    </row>
    <row r="742" ht="15.75" customHeight="1">
      <c r="E742" s="124"/>
      <c r="F742" s="124"/>
      <c r="G742" s="124"/>
      <c r="H742" s="124"/>
      <c r="I742" s="124"/>
      <c r="J742" s="124"/>
      <c r="K742" s="124"/>
    </row>
    <row r="743" ht="15.75" customHeight="1">
      <c r="E743" s="124"/>
      <c r="F743" s="124"/>
      <c r="G743" s="124"/>
      <c r="H743" s="124"/>
      <c r="I743" s="124"/>
      <c r="J743" s="124"/>
      <c r="K743" s="124"/>
    </row>
    <row r="744" ht="15.75" customHeight="1">
      <c r="E744" s="124"/>
      <c r="F744" s="124"/>
      <c r="G744" s="124"/>
      <c r="H744" s="124"/>
      <c r="I744" s="124"/>
      <c r="J744" s="124"/>
      <c r="K744" s="124"/>
    </row>
    <row r="745" ht="15.75" customHeight="1">
      <c r="E745" s="124"/>
      <c r="F745" s="124"/>
      <c r="G745" s="124"/>
      <c r="H745" s="124"/>
      <c r="I745" s="124"/>
      <c r="J745" s="124"/>
      <c r="K745" s="124"/>
    </row>
    <row r="746" ht="15.75" customHeight="1">
      <c r="E746" s="124"/>
      <c r="F746" s="124"/>
      <c r="G746" s="124"/>
      <c r="H746" s="124"/>
      <c r="I746" s="124"/>
      <c r="J746" s="124"/>
      <c r="K746" s="124"/>
    </row>
    <row r="747" ht="15.75" customHeight="1">
      <c r="E747" s="124"/>
      <c r="F747" s="124"/>
      <c r="G747" s="124"/>
      <c r="H747" s="124"/>
      <c r="I747" s="124"/>
      <c r="J747" s="124"/>
      <c r="K747" s="124"/>
    </row>
    <row r="748" ht="15.75" customHeight="1">
      <c r="E748" s="124"/>
      <c r="F748" s="124"/>
      <c r="G748" s="124"/>
      <c r="H748" s="124"/>
      <c r="I748" s="124"/>
      <c r="J748" s="124"/>
      <c r="K748" s="124"/>
    </row>
    <row r="749" ht="15.75" customHeight="1">
      <c r="E749" s="124"/>
      <c r="F749" s="124"/>
      <c r="G749" s="124"/>
      <c r="H749" s="124"/>
      <c r="I749" s="124"/>
      <c r="J749" s="124"/>
      <c r="K749" s="124"/>
    </row>
    <row r="750" ht="15.75" customHeight="1">
      <c r="E750" s="124"/>
      <c r="F750" s="124"/>
      <c r="G750" s="124"/>
      <c r="H750" s="124"/>
      <c r="I750" s="124"/>
      <c r="J750" s="124"/>
      <c r="K750" s="124"/>
    </row>
    <row r="751" ht="15.75" customHeight="1">
      <c r="E751" s="124"/>
      <c r="F751" s="124"/>
      <c r="G751" s="124"/>
      <c r="H751" s="124"/>
      <c r="I751" s="124"/>
      <c r="J751" s="124"/>
      <c r="K751" s="124"/>
    </row>
    <row r="752" ht="15.75" customHeight="1">
      <c r="E752" s="124"/>
      <c r="F752" s="124"/>
      <c r="G752" s="124"/>
      <c r="H752" s="124"/>
      <c r="I752" s="124"/>
      <c r="J752" s="124"/>
      <c r="K752" s="124"/>
    </row>
    <row r="753" ht="15.75" customHeight="1">
      <c r="E753" s="124"/>
      <c r="F753" s="124"/>
      <c r="G753" s="124"/>
      <c r="H753" s="124"/>
      <c r="I753" s="124"/>
      <c r="J753" s="124"/>
      <c r="K753" s="124"/>
    </row>
    <row r="754" ht="15.75" customHeight="1">
      <c r="E754" s="124"/>
      <c r="F754" s="124"/>
      <c r="G754" s="124"/>
      <c r="H754" s="124"/>
      <c r="I754" s="124"/>
      <c r="J754" s="124"/>
      <c r="K754" s="124"/>
    </row>
    <row r="755" ht="15.75" customHeight="1">
      <c r="E755" s="124"/>
      <c r="F755" s="124"/>
      <c r="G755" s="124"/>
      <c r="H755" s="124"/>
      <c r="I755" s="124"/>
      <c r="J755" s="124"/>
      <c r="K755" s="124"/>
    </row>
    <row r="756" ht="15.75" customHeight="1">
      <c r="E756" s="124"/>
      <c r="F756" s="124"/>
      <c r="G756" s="124"/>
      <c r="H756" s="124"/>
      <c r="I756" s="124"/>
      <c r="J756" s="124"/>
      <c r="K756" s="124"/>
    </row>
    <row r="757" ht="15.75" customHeight="1">
      <c r="E757" s="124"/>
      <c r="F757" s="124"/>
      <c r="G757" s="124"/>
      <c r="H757" s="124"/>
      <c r="I757" s="124"/>
      <c r="J757" s="124"/>
      <c r="K757" s="124"/>
    </row>
    <row r="758" ht="15.75" customHeight="1">
      <c r="E758" s="124"/>
      <c r="F758" s="124"/>
      <c r="G758" s="124"/>
      <c r="H758" s="124"/>
      <c r="I758" s="124"/>
      <c r="J758" s="124"/>
      <c r="K758" s="124"/>
    </row>
    <row r="759" ht="15.75" customHeight="1">
      <c r="E759" s="124"/>
      <c r="F759" s="124"/>
      <c r="G759" s="124"/>
      <c r="H759" s="124"/>
      <c r="I759" s="124"/>
      <c r="J759" s="124"/>
      <c r="K759" s="124"/>
    </row>
    <row r="760" ht="15.75" customHeight="1">
      <c r="E760" s="124"/>
      <c r="F760" s="124"/>
      <c r="G760" s="124"/>
      <c r="H760" s="124"/>
      <c r="I760" s="124"/>
      <c r="J760" s="124"/>
      <c r="K760" s="124"/>
    </row>
    <row r="761" ht="15.75" customHeight="1">
      <c r="E761" s="124"/>
      <c r="F761" s="124"/>
      <c r="G761" s="124"/>
      <c r="H761" s="124"/>
      <c r="I761" s="124"/>
      <c r="J761" s="124"/>
      <c r="K761" s="124"/>
    </row>
    <row r="762" ht="15.75" customHeight="1">
      <c r="E762" s="124"/>
      <c r="F762" s="124"/>
      <c r="G762" s="124"/>
      <c r="H762" s="124"/>
      <c r="I762" s="124"/>
      <c r="J762" s="124"/>
      <c r="K762" s="124"/>
    </row>
    <row r="763" ht="15.75" customHeight="1">
      <c r="E763" s="124"/>
      <c r="F763" s="124"/>
      <c r="G763" s="124"/>
      <c r="H763" s="124"/>
      <c r="I763" s="124"/>
      <c r="J763" s="124"/>
      <c r="K763" s="124"/>
    </row>
    <row r="764" ht="15.75" customHeight="1">
      <c r="E764" s="124"/>
      <c r="F764" s="124"/>
      <c r="G764" s="124"/>
      <c r="H764" s="124"/>
      <c r="I764" s="124"/>
      <c r="J764" s="124"/>
      <c r="K764" s="124"/>
    </row>
    <row r="765" ht="15.75" customHeight="1">
      <c r="E765" s="124"/>
      <c r="F765" s="124"/>
      <c r="G765" s="124"/>
      <c r="H765" s="124"/>
      <c r="I765" s="124"/>
      <c r="J765" s="124"/>
      <c r="K765" s="124"/>
    </row>
    <row r="766" ht="15.75" customHeight="1">
      <c r="E766" s="124"/>
      <c r="F766" s="124"/>
      <c r="G766" s="124"/>
      <c r="H766" s="124"/>
      <c r="I766" s="124"/>
      <c r="J766" s="124"/>
      <c r="K766" s="124"/>
    </row>
    <row r="767" ht="15.75" customHeight="1">
      <c r="E767" s="124"/>
      <c r="F767" s="124"/>
      <c r="G767" s="124"/>
      <c r="H767" s="124"/>
      <c r="I767" s="124"/>
      <c r="J767" s="124"/>
      <c r="K767" s="124"/>
    </row>
    <row r="768" ht="15.75" customHeight="1">
      <c r="E768" s="124"/>
      <c r="F768" s="124"/>
      <c r="G768" s="124"/>
      <c r="H768" s="124"/>
      <c r="I768" s="124"/>
      <c r="J768" s="124"/>
      <c r="K768" s="124"/>
    </row>
    <row r="769" ht="15.75" customHeight="1">
      <c r="E769" s="124"/>
      <c r="F769" s="124"/>
      <c r="G769" s="124"/>
      <c r="H769" s="124"/>
      <c r="I769" s="124"/>
      <c r="J769" s="124"/>
      <c r="K769" s="124"/>
    </row>
    <row r="770" ht="15.75" customHeight="1">
      <c r="E770" s="124"/>
      <c r="F770" s="124"/>
      <c r="G770" s="124"/>
      <c r="H770" s="124"/>
      <c r="I770" s="124"/>
      <c r="J770" s="124"/>
      <c r="K770" s="124"/>
    </row>
    <row r="771" ht="15.75" customHeight="1">
      <c r="E771" s="124"/>
      <c r="F771" s="124"/>
      <c r="G771" s="124"/>
      <c r="H771" s="124"/>
      <c r="I771" s="124"/>
      <c r="J771" s="124"/>
      <c r="K771" s="124"/>
    </row>
    <row r="772" ht="15.75" customHeight="1">
      <c r="E772" s="124"/>
      <c r="F772" s="124"/>
      <c r="G772" s="124"/>
      <c r="H772" s="124"/>
      <c r="I772" s="124"/>
      <c r="J772" s="124"/>
      <c r="K772" s="124"/>
    </row>
    <row r="773" ht="15.75" customHeight="1">
      <c r="E773" s="124"/>
      <c r="F773" s="124"/>
      <c r="G773" s="124"/>
      <c r="H773" s="124"/>
      <c r="I773" s="124"/>
      <c r="J773" s="124"/>
      <c r="K773" s="124"/>
    </row>
    <row r="774" ht="15.75" customHeight="1">
      <c r="E774" s="124"/>
      <c r="F774" s="124"/>
      <c r="G774" s="124"/>
      <c r="H774" s="124"/>
      <c r="I774" s="124"/>
      <c r="J774" s="124"/>
      <c r="K774" s="124"/>
    </row>
    <row r="775" ht="15.75" customHeight="1">
      <c r="E775" s="124"/>
      <c r="F775" s="124"/>
      <c r="G775" s="124"/>
      <c r="H775" s="124"/>
      <c r="I775" s="124"/>
      <c r="J775" s="124"/>
      <c r="K775" s="124"/>
    </row>
    <row r="776" ht="15.75" customHeight="1">
      <c r="E776" s="124"/>
      <c r="F776" s="124"/>
      <c r="G776" s="124"/>
      <c r="H776" s="124"/>
      <c r="I776" s="124"/>
      <c r="J776" s="124"/>
      <c r="K776" s="124"/>
    </row>
    <row r="777" ht="15.75" customHeight="1">
      <c r="E777" s="124"/>
      <c r="F777" s="124"/>
      <c r="G777" s="124"/>
      <c r="H777" s="124"/>
      <c r="I777" s="124"/>
      <c r="J777" s="124"/>
      <c r="K777" s="124"/>
    </row>
    <row r="778" ht="15.75" customHeight="1">
      <c r="E778" s="124"/>
      <c r="F778" s="124"/>
      <c r="G778" s="124"/>
      <c r="H778" s="124"/>
      <c r="I778" s="124"/>
      <c r="J778" s="124"/>
      <c r="K778" s="124"/>
    </row>
    <row r="779" ht="15.75" customHeight="1">
      <c r="E779" s="124"/>
      <c r="F779" s="124"/>
      <c r="G779" s="124"/>
      <c r="H779" s="124"/>
      <c r="I779" s="124"/>
      <c r="J779" s="124"/>
      <c r="K779" s="124"/>
    </row>
    <row r="780" ht="15.75" customHeight="1">
      <c r="E780" s="124"/>
      <c r="F780" s="124"/>
      <c r="G780" s="124"/>
      <c r="H780" s="124"/>
      <c r="I780" s="124"/>
      <c r="J780" s="124"/>
      <c r="K780" s="124"/>
    </row>
    <row r="781" ht="15.75" customHeight="1">
      <c r="E781" s="124"/>
      <c r="F781" s="124"/>
      <c r="G781" s="124"/>
      <c r="H781" s="124"/>
      <c r="I781" s="124"/>
      <c r="J781" s="124"/>
      <c r="K781" s="124"/>
    </row>
    <row r="782" ht="15.75" customHeight="1">
      <c r="E782" s="124"/>
      <c r="F782" s="124"/>
      <c r="G782" s="124"/>
      <c r="H782" s="124"/>
      <c r="I782" s="124"/>
      <c r="J782" s="124"/>
      <c r="K782" s="124"/>
    </row>
    <row r="783" ht="15.75" customHeight="1">
      <c r="E783" s="124"/>
      <c r="F783" s="124"/>
      <c r="G783" s="124"/>
      <c r="H783" s="124"/>
      <c r="I783" s="124"/>
      <c r="J783" s="124"/>
      <c r="K783" s="124"/>
    </row>
    <row r="784" ht="15.75" customHeight="1">
      <c r="E784" s="124"/>
      <c r="F784" s="124"/>
      <c r="G784" s="124"/>
      <c r="H784" s="124"/>
      <c r="I784" s="124"/>
      <c r="J784" s="124"/>
      <c r="K784" s="124"/>
    </row>
    <row r="785" ht="15.75" customHeight="1">
      <c r="E785" s="124"/>
      <c r="F785" s="124"/>
      <c r="G785" s="124"/>
      <c r="H785" s="124"/>
      <c r="I785" s="124"/>
      <c r="J785" s="124"/>
      <c r="K785" s="124"/>
    </row>
    <row r="786" ht="15.75" customHeight="1">
      <c r="E786" s="124"/>
      <c r="F786" s="124"/>
      <c r="G786" s="124"/>
      <c r="H786" s="124"/>
      <c r="I786" s="124"/>
      <c r="J786" s="124"/>
      <c r="K786" s="124"/>
    </row>
    <row r="787" ht="15.75" customHeight="1">
      <c r="E787" s="124"/>
      <c r="F787" s="124"/>
      <c r="G787" s="124"/>
      <c r="H787" s="124"/>
      <c r="I787" s="124"/>
      <c r="J787" s="124"/>
      <c r="K787" s="124"/>
    </row>
    <row r="788" ht="15.75" customHeight="1">
      <c r="E788" s="124"/>
      <c r="F788" s="124"/>
      <c r="G788" s="124"/>
      <c r="H788" s="124"/>
      <c r="I788" s="124"/>
      <c r="J788" s="124"/>
      <c r="K788" s="124"/>
    </row>
    <row r="789" ht="15.75" customHeight="1">
      <c r="E789" s="124"/>
      <c r="F789" s="124"/>
      <c r="G789" s="124"/>
      <c r="H789" s="124"/>
      <c r="I789" s="124"/>
      <c r="J789" s="124"/>
      <c r="K789" s="124"/>
    </row>
    <row r="790" ht="15.75" customHeight="1">
      <c r="E790" s="124"/>
      <c r="F790" s="124"/>
      <c r="G790" s="124"/>
      <c r="H790" s="124"/>
      <c r="I790" s="124"/>
      <c r="J790" s="124"/>
      <c r="K790" s="124"/>
    </row>
    <row r="791" ht="15.75" customHeight="1">
      <c r="E791" s="124"/>
      <c r="F791" s="124"/>
      <c r="G791" s="124"/>
      <c r="H791" s="124"/>
      <c r="I791" s="124"/>
      <c r="J791" s="124"/>
      <c r="K791" s="124"/>
    </row>
    <row r="792" ht="15.75" customHeight="1">
      <c r="E792" s="124"/>
      <c r="F792" s="124"/>
      <c r="G792" s="124"/>
      <c r="H792" s="124"/>
      <c r="I792" s="124"/>
      <c r="J792" s="124"/>
      <c r="K792" s="124"/>
    </row>
    <row r="793" ht="15.75" customHeight="1">
      <c r="E793" s="124"/>
      <c r="F793" s="124"/>
      <c r="G793" s="124"/>
      <c r="H793" s="124"/>
      <c r="I793" s="124"/>
      <c r="J793" s="124"/>
      <c r="K793" s="124"/>
    </row>
    <row r="794" ht="15.75" customHeight="1">
      <c r="E794" s="124"/>
      <c r="F794" s="124"/>
      <c r="G794" s="124"/>
      <c r="H794" s="124"/>
      <c r="I794" s="124"/>
      <c r="J794" s="124"/>
      <c r="K794" s="124"/>
    </row>
    <row r="795" ht="15.75" customHeight="1">
      <c r="E795" s="124"/>
      <c r="F795" s="124"/>
      <c r="G795" s="124"/>
      <c r="H795" s="124"/>
      <c r="I795" s="124"/>
      <c r="J795" s="124"/>
      <c r="K795" s="124"/>
    </row>
    <row r="796" ht="15.75" customHeight="1">
      <c r="E796" s="124"/>
      <c r="F796" s="124"/>
      <c r="G796" s="124"/>
      <c r="H796" s="124"/>
      <c r="I796" s="124"/>
      <c r="J796" s="124"/>
      <c r="K796" s="124"/>
    </row>
    <row r="797" ht="15.75" customHeight="1">
      <c r="E797" s="124"/>
      <c r="F797" s="124"/>
      <c r="G797" s="124"/>
      <c r="H797" s="124"/>
      <c r="I797" s="124"/>
      <c r="J797" s="124"/>
      <c r="K797" s="124"/>
    </row>
    <row r="798" ht="15.75" customHeight="1">
      <c r="E798" s="124"/>
      <c r="F798" s="124"/>
      <c r="G798" s="124"/>
      <c r="H798" s="124"/>
      <c r="I798" s="124"/>
      <c r="J798" s="124"/>
      <c r="K798" s="124"/>
    </row>
    <row r="799" ht="15.75" customHeight="1">
      <c r="E799" s="124"/>
      <c r="F799" s="124"/>
      <c r="G799" s="124"/>
      <c r="H799" s="124"/>
      <c r="I799" s="124"/>
      <c r="J799" s="124"/>
      <c r="K799" s="124"/>
    </row>
    <row r="800" ht="15.75" customHeight="1">
      <c r="E800" s="124"/>
      <c r="F800" s="124"/>
      <c r="G800" s="124"/>
      <c r="H800" s="124"/>
      <c r="I800" s="124"/>
      <c r="J800" s="124"/>
      <c r="K800" s="124"/>
    </row>
    <row r="801" ht="15.75" customHeight="1">
      <c r="E801" s="124"/>
      <c r="F801" s="124"/>
      <c r="G801" s="124"/>
      <c r="H801" s="124"/>
      <c r="I801" s="124"/>
      <c r="J801" s="124"/>
      <c r="K801" s="124"/>
    </row>
    <row r="802" ht="15.75" customHeight="1">
      <c r="E802" s="124"/>
      <c r="F802" s="124"/>
      <c r="G802" s="124"/>
      <c r="H802" s="124"/>
      <c r="I802" s="124"/>
      <c r="J802" s="124"/>
      <c r="K802" s="124"/>
    </row>
    <row r="803" ht="15.75" customHeight="1">
      <c r="E803" s="124"/>
      <c r="F803" s="124"/>
      <c r="G803" s="124"/>
      <c r="H803" s="124"/>
      <c r="I803" s="124"/>
      <c r="J803" s="124"/>
      <c r="K803" s="124"/>
    </row>
    <row r="804" ht="15.75" customHeight="1">
      <c r="E804" s="124"/>
      <c r="F804" s="124"/>
      <c r="G804" s="124"/>
      <c r="H804" s="124"/>
      <c r="I804" s="124"/>
      <c r="J804" s="124"/>
      <c r="K804" s="124"/>
    </row>
    <row r="805" ht="15.75" customHeight="1">
      <c r="E805" s="124"/>
      <c r="F805" s="124"/>
      <c r="G805" s="124"/>
      <c r="H805" s="124"/>
      <c r="I805" s="124"/>
      <c r="J805" s="124"/>
      <c r="K805" s="124"/>
    </row>
    <row r="806" ht="15.75" customHeight="1">
      <c r="E806" s="124"/>
      <c r="F806" s="124"/>
      <c r="G806" s="124"/>
      <c r="H806" s="124"/>
      <c r="I806" s="124"/>
      <c r="J806" s="124"/>
      <c r="K806" s="124"/>
    </row>
    <row r="807" ht="15.75" customHeight="1">
      <c r="E807" s="124"/>
      <c r="F807" s="124"/>
      <c r="G807" s="124"/>
      <c r="H807" s="124"/>
      <c r="I807" s="124"/>
      <c r="J807" s="124"/>
      <c r="K807" s="124"/>
    </row>
    <row r="808" ht="15.75" customHeight="1">
      <c r="E808" s="124"/>
      <c r="F808" s="124"/>
      <c r="G808" s="124"/>
      <c r="H808" s="124"/>
      <c r="I808" s="124"/>
      <c r="J808" s="124"/>
      <c r="K808" s="124"/>
    </row>
    <row r="809" ht="15.75" customHeight="1">
      <c r="E809" s="124"/>
      <c r="F809" s="124"/>
      <c r="G809" s="124"/>
      <c r="H809" s="124"/>
      <c r="I809" s="124"/>
      <c r="J809" s="124"/>
      <c r="K809" s="124"/>
    </row>
    <row r="810" ht="15.75" customHeight="1">
      <c r="E810" s="124"/>
      <c r="F810" s="124"/>
      <c r="G810" s="124"/>
      <c r="H810" s="124"/>
      <c r="I810" s="124"/>
      <c r="J810" s="124"/>
      <c r="K810" s="124"/>
    </row>
    <row r="811" ht="15.75" customHeight="1">
      <c r="E811" s="124"/>
      <c r="F811" s="124"/>
      <c r="G811" s="124"/>
      <c r="H811" s="124"/>
      <c r="I811" s="124"/>
      <c r="J811" s="124"/>
      <c r="K811" s="124"/>
    </row>
    <row r="812" ht="15.75" customHeight="1">
      <c r="E812" s="124"/>
      <c r="F812" s="124"/>
      <c r="G812" s="124"/>
      <c r="H812" s="124"/>
      <c r="I812" s="124"/>
      <c r="J812" s="124"/>
      <c r="K812" s="124"/>
    </row>
    <row r="813" ht="15.75" customHeight="1">
      <c r="E813" s="124"/>
      <c r="F813" s="124"/>
      <c r="G813" s="124"/>
      <c r="H813" s="124"/>
      <c r="I813" s="124"/>
      <c r="J813" s="124"/>
      <c r="K813" s="124"/>
    </row>
    <row r="814" ht="15.75" customHeight="1">
      <c r="E814" s="124"/>
      <c r="F814" s="124"/>
      <c r="G814" s="124"/>
      <c r="H814" s="124"/>
      <c r="I814" s="124"/>
      <c r="J814" s="124"/>
      <c r="K814" s="124"/>
    </row>
    <row r="815" ht="15.75" customHeight="1">
      <c r="E815" s="124"/>
      <c r="F815" s="124"/>
      <c r="G815" s="124"/>
      <c r="H815" s="124"/>
      <c r="I815" s="124"/>
      <c r="J815" s="124"/>
      <c r="K815" s="124"/>
    </row>
    <row r="816" ht="15.75" customHeight="1">
      <c r="E816" s="124"/>
      <c r="F816" s="124"/>
      <c r="G816" s="124"/>
      <c r="H816" s="124"/>
      <c r="I816" s="124"/>
      <c r="J816" s="124"/>
      <c r="K816" s="124"/>
    </row>
    <row r="817" ht="15.75" customHeight="1">
      <c r="E817" s="124"/>
      <c r="F817" s="124"/>
      <c r="G817" s="124"/>
      <c r="H817" s="124"/>
      <c r="I817" s="124"/>
      <c r="J817" s="124"/>
      <c r="K817" s="124"/>
    </row>
    <row r="818" ht="15.75" customHeight="1">
      <c r="E818" s="124"/>
      <c r="F818" s="124"/>
      <c r="G818" s="124"/>
      <c r="H818" s="124"/>
      <c r="I818" s="124"/>
      <c r="J818" s="124"/>
      <c r="K818" s="124"/>
    </row>
    <row r="819" ht="15.75" customHeight="1">
      <c r="E819" s="124"/>
      <c r="F819" s="124"/>
      <c r="G819" s="124"/>
      <c r="H819" s="124"/>
      <c r="I819" s="124"/>
      <c r="J819" s="124"/>
      <c r="K819" s="124"/>
    </row>
    <row r="820" ht="15.75" customHeight="1">
      <c r="E820" s="124"/>
      <c r="F820" s="124"/>
      <c r="G820" s="124"/>
      <c r="H820" s="124"/>
      <c r="I820" s="124"/>
      <c r="J820" s="124"/>
      <c r="K820" s="124"/>
    </row>
    <row r="821" ht="15.75" customHeight="1">
      <c r="E821" s="124"/>
      <c r="F821" s="124"/>
      <c r="G821" s="124"/>
      <c r="H821" s="124"/>
      <c r="I821" s="124"/>
      <c r="J821" s="124"/>
      <c r="K821" s="124"/>
    </row>
    <row r="822" ht="15.75" customHeight="1">
      <c r="E822" s="124"/>
      <c r="F822" s="124"/>
      <c r="G822" s="124"/>
      <c r="H822" s="124"/>
      <c r="I822" s="124"/>
      <c r="J822" s="124"/>
      <c r="K822" s="124"/>
    </row>
    <row r="823" ht="15.75" customHeight="1">
      <c r="E823" s="124"/>
      <c r="F823" s="124"/>
      <c r="G823" s="124"/>
      <c r="H823" s="124"/>
      <c r="I823" s="124"/>
      <c r="J823" s="124"/>
      <c r="K823" s="124"/>
    </row>
    <row r="824" ht="15.75" customHeight="1">
      <c r="E824" s="124"/>
      <c r="F824" s="124"/>
      <c r="G824" s="124"/>
      <c r="H824" s="124"/>
      <c r="I824" s="124"/>
      <c r="J824" s="124"/>
      <c r="K824" s="124"/>
    </row>
    <row r="825" ht="15.75" customHeight="1">
      <c r="E825" s="124"/>
      <c r="F825" s="124"/>
      <c r="G825" s="124"/>
      <c r="H825" s="124"/>
      <c r="I825" s="124"/>
      <c r="J825" s="124"/>
      <c r="K825" s="124"/>
    </row>
    <row r="826" ht="15.75" customHeight="1">
      <c r="E826" s="124"/>
      <c r="F826" s="124"/>
      <c r="G826" s="124"/>
      <c r="H826" s="124"/>
      <c r="I826" s="124"/>
      <c r="J826" s="124"/>
      <c r="K826" s="124"/>
    </row>
    <row r="827" ht="15.75" customHeight="1">
      <c r="E827" s="124"/>
      <c r="F827" s="124"/>
      <c r="G827" s="124"/>
      <c r="H827" s="124"/>
      <c r="I827" s="124"/>
      <c r="J827" s="124"/>
      <c r="K827" s="124"/>
    </row>
    <row r="828" ht="15.75" customHeight="1">
      <c r="E828" s="124"/>
      <c r="F828" s="124"/>
      <c r="G828" s="124"/>
      <c r="H828" s="124"/>
      <c r="I828" s="124"/>
      <c r="J828" s="124"/>
      <c r="K828" s="124"/>
    </row>
    <row r="829" ht="15.75" customHeight="1">
      <c r="E829" s="124"/>
      <c r="F829" s="124"/>
      <c r="G829" s="124"/>
      <c r="H829" s="124"/>
      <c r="I829" s="124"/>
      <c r="J829" s="124"/>
      <c r="K829" s="124"/>
    </row>
    <row r="830" ht="15.75" customHeight="1">
      <c r="E830" s="124"/>
      <c r="F830" s="124"/>
      <c r="G830" s="124"/>
      <c r="H830" s="124"/>
      <c r="I830" s="124"/>
      <c r="J830" s="124"/>
      <c r="K830" s="124"/>
    </row>
    <row r="831" ht="15.75" customHeight="1">
      <c r="E831" s="124"/>
      <c r="F831" s="124"/>
      <c r="G831" s="124"/>
      <c r="H831" s="124"/>
      <c r="I831" s="124"/>
      <c r="J831" s="124"/>
      <c r="K831" s="124"/>
    </row>
    <row r="832" ht="15.75" customHeight="1">
      <c r="E832" s="124"/>
      <c r="F832" s="124"/>
      <c r="G832" s="124"/>
      <c r="H832" s="124"/>
      <c r="I832" s="124"/>
      <c r="J832" s="124"/>
      <c r="K832" s="124"/>
    </row>
    <row r="833" ht="15.75" customHeight="1">
      <c r="E833" s="124"/>
      <c r="F833" s="124"/>
      <c r="G833" s="124"/>
      <c r="H833" s="124"/>
      <c r="I833" s="124"/>
      <c r="J833" s="124"/>
      <c r="K833" s="124"/>
    </row>
    <row r="834" ht="15.75" customHeight="1">
      <c r="E834" s="124"/>
      <c r="F834" s="124"/>
      <c r="G834" s="124"/>
      <c r="H834" s="124"/>
      <c r="I834" s="124"/>
      <c r="J834" s="124"/>
      <c r="K834" s="124"/>
    </row>
    <row r="835" ht="15.75" customHeight="1">
      <c r="E835" s="124"/>
      <c r="F835" s="124"/>
      <c r="G835" s="124"/>
      <c r="H835" s="124"/>
      <c r="I835" s="124"/>
      <c r="J835" s="124"/>
      <c r="K835" s="124"/>
    </row>
    <row r="836" ht="15.75" customHeight="1">
      <c r="E836" s="124"/>
      <c r="F836" s="124"/>
      <c r="G836" s="124"/>
      <c r="H836" s="124"/>
      <c r="I836" s="124"/>
      <c r="J836" s="124"/>
      <c r="K836" s="124"/>
    </row>
    <row r="837" ht="15.75" customHeight="1">
      <c r="E837" s="124"/>
      <c r="F837" s="124"/>
      <c r="G837" s="124"/>
      <c r="H837" s="124"/>
      <c r="I837" s="124"/>
      <c r="J837" s="124"/>
      <c r="K837" s="124"/>
    </row>
    <row r="838" ht="15.75" customHeight="1">
      <c r="E838" s="124"/>
      <c r="F838" s="124"/>
      <c r="G838" s="124"/>
      <c r="H838" s="124"/>
      <c r="I838" s="124"/>
      <c r="J838" s="124"/>
      <c r="K838" s="124"/>
    </row>
    <row r="839" ht="15.75" customHeight="1">
      <c r="E839" s="124"/>
      <c r="F839" s="124"/>
      <c r="G839" s="124"/>
      <c r="H839" s="124"/>
      <c r="I839" s="124"/>
      <c r="J839" s="124"/>
      <c r="K839" s="124"/>
    </row>
    <row r="840" ht="15.75" customHeight="1">
      <c r="E840" s="124"/>
      <c r="F840" s="124"/>
      <c r="G840" s="124"/>
      <c r="H840" s="124"/>
      <c r="I840" s="124"/>
      <c r="J840" s="124"/>
      <c r="K840" s="124"/>
    </row>
    <row r="841" ht="15.75" customHeight="1">
      <c r="E841" s="124"/>
      <c r="F841" s="124"/>
      <c r="G841" s="124"/>
      <c r="H841" s="124"/>
      <c r="I841" s="124"/>
      <c r="J841" s="124"/>
      <c r="K841" s="124"/>
    </row>
    <row r="842" ht="15.75" customHeight="1">
      <c r="E842" s="124"/>
      <c r="F842" s="124"/>
      <c r="G842" s="124"/>
      <c r="H842" s="124"/>
      <c r="I842" s="124"/>
      <c r="J842" s="124"/>
      <c r="K842" s="124"/>
    </row>
    <row r="843" ht="15.75" customHeight="1">
      <c r="E843" s="124"/>
      <c r="F843" s="124"/>
      <c r="G843" s="124"/>
      <c r="H843" s="124"/>
      <c r="I843" s="124"/>
      <c r="J843" s="124"/>
      <c r="K843" s="124"/>
    </row>
    <row r="844" ht="15.75" customHeight="1">
      <c r="E844" s="124"/>
      <c r="F844" s="124"/>
      <c r="G844" s="124"/>
      <c r="H844" s="124"/>
      <c r="I844" s="124"/>
      <c r="J844" s="124"/>
      <c r="K844" s="124"/>
    </row>
    <row r="845" ht="15.75" customHeight="1">
      <c r="E845" s="124"/>
      <c r="F845" s="124"/>
      <c r="G845" s="124"/>
      <c r="H845" s="124"/>
      <c r="I845" s="124"/>
      <c r="J845" s="124"/>
      <c r="K845" s="124"/>
    </row>
    <row r="846" ht="15.75" customHeight="1">
      <c r="E846" s="124"/>
      <c r="F846" s="124"/>
      <c r="G846" s="124"/>
      <c r="H846" s="124"/>
      <c r="I846" s="124"/>
      <c r="J846" s="124"/>
      <c r="K846" s="124"/>
    </row>
    <row r="847" ht="15.75" customHeight="1">
      <c r="E847" s="124"/>
      <c r="F847" s="124"/>
      <c r="G847" s="124"/>
      <c r="H847" s="124"/>
      <c r="I847" s="124"/>
      <c r="J847" s="124"/>
      <c r="K847" s="124"/>
    </row>
    <row r="848" ht="15.75" customHeight="1">
      <c r="E848" s="124"/>
      <c r="F848" s="124"/>
      <c r="G848" s="124"/>
      <c r="H848" s="124"/>
      <c r="I848" s="124"/>
      <c r="J848" s="124"/>
      <c r="K848" s="124"/>
    </row>
    <row r="849" ht="15.75" customHeight="1">
      <c r="E849" s="124"/>
      <c r="F849" s="124"/>
      <c r="G849" s="124"/>
      <c r="H849" s="124"/>
      <c r="I849" s="124"/>
      <c r="J849" s="124"/>
      <c r="K849" s="124"/>
    </row>
    <row r="850" ht="15.75" customHeight="1">
      <c r="E850" s="124"/>
      <c r="F850" s="124"/>
      <c r="G850" s="124"/>
      <c r="H850" s="124"/>
      <c r="I850" s="124"/>
      <c r="J850" s="124"/>
      <c r="K850" s="124"/>
    </row>
    <row r="851" ht="15.75" customHeight="1">
      <c r="E851" s="124"/>
      <c r="F851" s="124"/>
      <c r="G851" s="124"/>
      <c r="H851" s="124"/>
      <c r="I851" s="124"/>
      <c r="J851" s="124"/>
      <c r="K851" s="124"/>
    </row>
    <row r="852" ht="15.75" customHeight="1">
      <c r="E852" s="124"/>
      <c r="F852" s="124"/>
      <c r="G852" s="124"/>
      <c r="H852" s="124"/>
      <c r="I852" s="124"/>
      <c r="J852" s="124"/>
      <c r="K852" s="124"/>
    </row>
    <row r="853" ht="15.75" customHeight="1">
      <c r="E853" s="124"/>
      <c r="F853" s="124"/>
      <c r="G853" s="124"/>
      <c r="H853" s="124"/>
      <c r="I853" s="124"/>
      <c r="J853" s="124"/>
      <c r="K853" s="124"/>
    </row>
    <row r="854" ht="15.75" customHeight="1">
      <c r="E854" s="124"/>
      <c r="F854" s="124"/>
      <c r="G854" s="124"/>
      <c r="H854" s="124"/>
      <c r="I854" s="124"/>
      <c r="J854" s="124"/>
      <c r="K854" s="124"/>
    </row>
    <row r="855" ht="15.75" customHeight="1">
      <c r="E855" s="124"/>
      <c r="F855" s="124"/>
      <c r="G855" s="124"/>
      <c r="H855" s="124"/>
      <c r="I855" s="124"/>
      <c r="J855" s="124"/>
      <c r="K855" s="124"/>
    </row>
    <row r="856" ht="15.75" customHeight="1">
      <c r="E856" s="124"/>
      <c r="F856" s="124"/>
      <c r="G856" s="124"/>
      <c r="H856" s="124"/>
      <c r="I856" s="124"/>
      <c r="J856" s="124"/>
      <c r="K856" s="124"/>
    </row>
    <row r="857" ht="15.75" customHeight="1">
      <c r="E857" s="124"/>
      <c r="F857" s="124"/>
      <c r="G857" s="124"/>
      <c r="H857" s="124"/>
      <c r="I857" s="124"/>
      <c r="J857" s="124"/>
      <c r="K857" s="124"/>
    </row>
    <row r="858" ht="15.75" customHeight="1">
      <c r="E858" s="124"/>
      <c r="F858" s="124"/>
      <c r="G858" s="124"/>
      <c r="H858" s="124"/>
      <c r="I858" s="124"/>
      <c r="J858" s="124"/>
      <c r="K858" s="124"/>
    </row>
    <row r="859" ht="15.75" customHeight="1">
      <c r="E859" s="124"/>
      <c r="F859" s="124"/>
      <c r="G859" s="124"/>
      <c r="H859" s="124"/>
      <c r="I859" s="124"/>
      <c r="J859" s="124"/>
      <c r="K859" s="124"/>
    </row>
    <row r="860" ht="15.75" customHeight="1">
      <c r="E860" s="124"/>
      <c r="F860" s="124"/>
      <c r="G860" s="124"/>
      <c r="H860" s="124"/>
      <c r="I860" s="124"/>
      <c r="J860" s="124"/>
      <c r="K860" s="124"/>
    </row>
    <row r="861" ht="15.75" customHeight="1">
      <c r="E861" s="124"/>
      <c r="F861" s="124"/>
      <c r="G861" s="124"/>
      <c r="H861" s="124"/>
      <c r="I861" s="124"/>
      <c r="J861" s="124"/>
      <c r="K861" s="124"/>
    </row>
    <row r="862" ht="15.75" customHeight="1">
      <c r="E862" s="124"/>
      <c r="F862" s="124"/>
      <c r="G862" s="124"/>
      <c r="H862" s="124"/>
      <c r="I862" s="124"/>
      <c r="J862" s="124"/>
      <c r="K862" s="124"/>
    </row>
    <row r="863" ht="15.75" customHeight="1">
      <c r="E863" s="124"/>
      <c r="F863" s="124"/>
      <c r="G863" s="124"/>
      <c r="H863" s="124"/>
      <c r="I863" s="124"/>
      <c r="J863" s="124"/>
      <c r="K863" s="124"/>
    </row>
    <row r="864" ht="15.75" customHeight="1">
      <c r="E864" s="124"/>
      <c r="F864" s="124"/>
      <c r="G864" s="124"/>
      <c r="H864" s="124"/>
      <c r="I864" s="124"/>
      <c r="J864" s="124"/>
      <c r="K864" s="124"/>
    </row>
    <row r="865" ht="15.75" customHeight="1">
      <c r="E865" s="124"/>
      <c r="F865" s="124"/>
      <c r="G865" s="124"/>
      <c r="H865" s="124"/>
      <c r="I865" s="124"/>
      <c r="J865" s="124"/>
      <c r="K865" s="124"/>
    </row>
    <row r="866" ht="15.75" customHeight="1">
      <c r="E866" s="124"/>
      <c r="F866" s="124"/>
      <c r="G866" s="124"/>
      <c r="H866" s="124"/>
      <c r="I866" s="124"/>
      <c r="J866" s="124"/>
      <c r="K866" s="124"/>
    </row>
    <row r="867" ht="15.75" customHeight="1">
      <c r="E867" s="124"/>
      <c r="F867" s="124"/>
      <c r="G867" s="124"/>
      <c r="H867" s="124"/>
      <c r="I867" s="124"/>
      <c r="J867" s="124"/>
      <c r="K867" s="124"/>
    </row>
    <row r="868" ht="15.75" customHeight="1">
      <c r="E868" s="124"/>
      <c r="F868" s="124"/>
      <c r="G868" s="124"/>
      <c r="H868" s="124"/>
      <c r="I868" s="124"/>
      <c r="J868" s="124"/>
      <c r="K868" s="124"/>
    </row>
    <row r="869" ht="15.75" customHeight="1">
      <c r="E869" s="124"/>
      <c r="F869" s="124"/>
      <c r="G869" s="124"/>
      <c r="H869" s="124"/>
      <c r="I869" s="124"/>
      <c r="J869" s="124"/>
      <c r="K869" s="124"/>
    </row>
    <row r="870" ht="15.75" customHeight="1">
      <c r="E870" s="124"/>
      <c r="F870" s="124"/>
      <c r="G870" s="124"/>
      <c r="H870" s="124"/>
      <c r="I870" s="124"/>
      <c r="J870" s="124"/>
      <c r="K870" s="124"/>
    </row>
    <row r="871" ht="15.75" customHeight="1">
      <c r="E871" s="124"/>
      <c r="F871" s="124"/>
      <c r="G871" s="124"/>
      <c r="H871" s="124"/>
      <c r="I871" s="124"/>
      <c r="J871" s="124"/>
      <c r="K871" s="124"/>
    </row>
    <row r="872" ht="15.75" customHeight="1">
      <c r="E872" s="124"/>
      <c r="F872" s="124"/>
      <c r="G872" s="124"/>
      <c r="H872" s="124"/>
      <c r="I872" s="124"/>
      <c r="J872" s="124"/>
      <c r="K872" s="124"/>
    </row>
    <row r="873" ht="15.75" customHeight="1">
      <c r="E873" s="124"/>
      <c r="F873" s="124"/>
      <c r="G873" s="124"/>
      <c r="H873" s="124"/>
      <c r="I873" s="124"/>
      <c r="J873" s="124"/>
      <c r="K873" s="124"/>
    </row>
    <row r="874" ht="15.75" customHeight="1">
      <c r="E874" s="124"/>
      <c r="F874" s="124"/>
      <c r="G874" s="124"/>
      <c r="H874" s="124"/>
      <c r="I874" s="124"/>
      <c r="J874" s="124"/>
      <c r="K874" s="124"/>
    </row>
    <row r="875" ht="15.75" customHeight="1">
      <c r="E875" s="124"/>
      <c r="F875" s="124"/>
      <c r="G875" s="124"/>
      <c r="H875" s="124"/>
      <c r="I875" s="124"/>
      <c r="J875" s="124"/>
      <c r="K875" s="124"/>
    </row>
    <row r="876" ht="15.75" customHeight="1">
      <c r="E876" s="124"/>
      <c r="F876" s="124"/>
      <c r="G876" s="124"/>
      <c r="H876" s="124"/>
      <c r="I876" s="124"/>
      <c r="J876" s="124"/>
      <c r="K876" s="124"/>
    </row>
    <row r="877" ht="15.75" customHeight="1">
      <c r="E877" s="124"/>
      <c r="F877" s="124"/>
      <c r="G877" s="124"/>
      <c r="H877" s="124"/>
      <c r="I877" s="124"/>
      <c r="J877" s="124"/>
      <c r="K877" s="124"/>
    </row>
    <row r="878" ht="15.75" customHeight="1">
      <c r="E878" s="124"/>
      <c r="F878" s="124"/>
      <c r="G878" s="124"/>
      <c r="H878" s="124"/>
      <c r="I878" s="124"/>
      <c r="J878" s="124"/>
      <c r="K878" s="124"/>
    </row>
    <row r="879" ht="15.75" customHeight="1">
      <c r="E879" s="124"/>
      <c r="F879" s="124"/>
      <c r="G879" s="124"/>
      <c r="H879" s="124"/>
      <c r="I879" s="124"/>
      <c r="J879" s="124"/>
      <c r="K879" s="124"/>
    </row>
    <row r="880" ht="15.75" customHeight="1">
      <c r="E880" s="124"/>
      <c r="F880" s="124"/>
      <c r="G880" s="124"/>
      <c r="H880" s="124"/>
      <c r="I880" s="124"/>
      <c r="J880" s="124"/>
      <c r="K880" s="124"/>
    </row>
    <row r="881" ht="15.75" customHeight="1">
      <c r="E881" s="124"/>
      <c r="F881" s="124"/>
      <c r="G881" s="124"/>
      <c r="H881" s="124"/>
      <c r="I881" s="124"/>
      <c r="J881" s="124"/>
      <c r="K881" s="124"/>
    </row>
    <row r="882" ht="15.75" customHeight="1">
      <c r="E882" s="124"/>
      <c r="F882" s="124"/>
      <c r="G882" s="124"/>
      <c r="H882" s="124"/>
      <c r="I882" s="124"/>
      <c r="J882" s="124"/>
      <c r="K882" s="124"/>
    </row>
    <row r="883" ht="15.75" customHeight="1">
      <c r="E883" s="124"/>
      <c r="F883" s="124"/>
      <c r="G883" s="124"/>
      <c r="H883" s="124"/>
      <c r="I883" s="124"/>
      <c r="J883" s="124"/>
      <c r="K883" s="124"/>
    </row>
    <row r="884" ht="15.75" customHeight="1">
      <c r="E884" s="124"/>
      <c r="F884" s="124"/>
      <c r="G884" s="124"/>
      <c r="H884" s="124"/>
      <c r="I884" s="124"/>
      <c r="J884" s="124"/>
      <c r="K884" s="124"/>
    </row>
    <row r="885" ht="15.75" customHeight="1">
      <c r="E885" s="124"/>
      <c r="F885" s="124"/>
      <c r="G885" s="124"/>
      <c r="H885" s="124"/>
      <c r="I885" s="124"/>
      <c r="J885" s="124"/>
      <c r="K885" s="124"/>
    </row>
    <row r="886" ht="15.75" customHeight="1">
      <c r="E886" s="124"/>
      <c r="F886" s="124"/>
      <c r="G886" s="124"/>
      <c r="H886" s="124"/>
      <c r="I886" s="124"/>
      <c r="J886" s="124"/>
      <c r="K886" s="124"/>
    </row>
    <row r="887" ht="15.75" customHeight="1">
      <c r="E887" s="124"/>
      <c r="F887" s="124"/>
      <c r="G887" s="124"/>
      <c r="H887" s="124"/>
      <c r="I887" s="124"/>
      <c r="J887" s="124"/>
      <c r="K887" s="124"/>
    </row>
    <row r="888" ht="15.75" customHeight="1">
      <c r="E888" s="124"/>
      <c r="F888" s="124"/>
      <c r="G888" s="124"/>
      <c r="H888" s="124"/>
      <c r="I888" s="124"/>
      <c r="J888" s="124"/>
      <c r="K888" s="124"/>
    </row>
    <row r="889" ht="15.75" customHeight="1">
      <c r="E889" s="124"/>
      <c r="F889" s="124"/>
      <c r="G889" s="124"/>
      <c r="H889" s="124"/>
      <c r="I889" s="124"/>
      <c r="J889" s="124"/>
      <c r="K889" s="124"/>
    </row>
    <row r="890" ht="15.75" customHeight="1">
      <c r="E890" s="124"/>
      <c r="F890" s="124"/>
      <c r="G890" s="124"/>
      <c r="H890" s="124"/>
      <c r="I890" s="124"/>
      <c r="J890" s="124"/>
      <c r="K890" s="124"/>
    </row>
    <row r="891" ht="15.75" customHeight="1">
      <c r="E891" s="124"/>
      <c r="F891" s="124"/>
      <c r="G891" s="124"/>
      <c r="H891" s="124"/>
      <c r="I891" s="124"/>
      <c r="J891" s="124"/>
      <c r="K891" s="124"/>
    </row>
    <row r="892" ht="15.75" customHeight="1">
      <c r="E892" s="124"/>
      <c r="F892" s="124"/>
      <c r="G892" s="124"/>
      <c r="H892" s="124"/>
      <c r="I892" s="124"/>
      <c r="J892" s="124"/>
      <c r="K892" s="124"/>
    </row>
    <row r="893" ht="15.75" customHeight="1">
      <c r="E893" s="124"/>
      <c r="F893" s="124"/>
      <c r="G893" s="124"/>
      <c r="H893" s="124"/>
      <c r="I893" s="124"/>
      <c r="J893" s="124"/>
      <c r="K893" s="124"/>
    </row>
    <row r="894" ht="15.75" customHeight="1">
      <c r="E894" s="124"/>
      <c r="F894" s="124"/>
      <c r="G894" s="124"/>
      <c r="H894" s="124"/>
      <c r="I894" s="124"/>
      <c r="J894" s="124"/>
      <c r="K894" s="124"/>
    </row>
    <row r="895" ht="15.75" customHeight="1">
      <c r="E895" s="124"/>
      <c r="F895" s="124"/>
      <c r="G895" s="124"/>
      <c r="H895" s="124"/>
      <c r="I895" s="124"/>
      <c r="J895" s="124"/>
      <c r="K895" s="124"/>
    </row>
    <row r="896" ht="15.75" customHeight="1">
      <c r="E896" s="124"/>
      <c r="F896" s="124"/>
      <c r="G896" s="124"/>
      <c r="H896" s="124"/>
      <c r="I896" s="124"/>
      <c r="J896" s="124"/>
      <c r="K896" s="124"/>
    </row>
    <row r="897" ht="15.75" customHeight="1">
      <c r="E897" s="124"/>
      <c r="F897" s="124"/>
      <c r="G897" s="124"/>
      <c r="H897" s="124"/>
      <c r="I897" s="124"/>
      <c r="J897" s="124"/>
      <c r="K897" s="124"/>
    </row>
    <row r="898" ht="15.75" customHeight="1">
      <c r="E898" s="124"/>
      <c r="F898" s="124"/>
      <c r="G898" s="124"/>
      <c r="H898" s="124"/>
      <c r="I898" s="124"/>
      <c r="J898" s="124"/>
      <c r="K898" s="124"/>
    </row>
    <row r="899" ht="15.75" customHeight="1">
      <c r="E899" s="124"/>
      <c r="F899" s="124"/>
      <c r="G899" s="124"/>
      <c r="H899" s="124"/>
      <c r="I899" s="124"/>
      <c r="J899" s="124"/>
      <c r="K899" s="124"/>
    </row>
    <row r="900" ht="15.75" customHeight="1">
      <c r="E900" s="124"/>
      <c r="F900" s="124"/>
      <c r="G900" s="124"/>
      <c r="H900" s="124"/>
      <c r="I900" s="124"/>
      <c r="J900" s="124"/>
      <c r="K900" s="124"/>
    </row>
    <row r="901" ht="15.75" customHeight="1">
      <c r="E901" s="124"/>
      <c r="F901" s="124"/>
      <c r="G901" s="124"/>
      <c r="H901" s="124"/>
      <c r="I901" s="124"/>
      <c r="J901" s="124"/>
      <c r="K901" s="124"/>
    </row>
    <row r="902" ht="15.75" customHeight="1">
      <c r="E902" s="124"/>
      <c r="F902" s="124"/>
      <c r="G902" s="124"/>
      <c r="H902" s="124"/>
      <c r="I902" s="124"/>
      <c r="J902" s="124"/>
      <c r="K902" s="124"/>
    </row>
    <row r="903" ht="15.75" customHeight="1">
      <c r="E903" s="124"/>
      <c r="F903" s="124"/>
      <c r="G903" s="124"/>
      <c r="H903" s="124"/>
      <c r="I903" s="124"/>
      <c r="J903" s="124"/>
      <c r="K903" s="124"/>
    </row>
    <row r="904" ht="15.75" customHeight="1">
      <c r="E904" s="124"/>
      <c r="F904" s="124"/>
      <c r="G904" s="124"/>
      <c r="H904" s="124"/>
      <c r="I904" s="124"/>
      <c r="J904" s="124"/>
      <c r="K904" s="124"/>
    </row>
    <row r="905" ht="15.75" customHeight="1">
      <c r="E905" s="124"/>
      <c r="F905" s="124"/>
      <c r="G905" s="124"/>
      <c r="H905" s="124"/>
      <c r="I905" s="124"/>
      <c r="J905" s="124"/>
      <c r="K905" s="124"/>
    </row>
    <row r="906" ht="15.75" customHeight="1">
      <c r="E906" s="124"/>
      <c r="F906" s="124"/>
      <c r="G906" s="124"/>
      <c r="H906" s="124"/>
      <c r="I906" s="124"/>
      <c r="J906" s="124"/>
      <c r="K906" s="124"/>
    </row>
    <row r="907" ht="15.75" customHeight="1">
      <c r="E907" s="124"/>
      <c r="F907" s="124"/>
      <c r="G907" s="124"/>
      <c r="H907" s="124"/>
      <c r="I907" s="124"/>
      <c r="J907" s="124"/>
      <c r="K907" s="124"/>
    </row>
    <row r="908" ht="15.75" customHeight="1">
      <c r="E908" s="124"/>
      <c r="F908" s="124"/>
      <c r="G908" s="124"/>
      <c r="H908" s="124"/>
      <c r="I908" s="124"/>
      <c r="J908" s="124"/>
      <c r="K908" s="124"/>
    </row>
    <row r="909" ht="15.75" customHeight="1">
      <c r="E909" s="124"/>
      <c r="F909" s="124"/>
      <c r="G909" s="124"/>
      <c r="H909" s="124"/>
      <c r="I909" s="124"/>
      <c r="J909" s="124"/>
      <c r="K909" s="124"/>
    </row>
    <row r="910" ht="15.75" customHeight="1">
      <c r="E910" s="124"/>
      <c r="F910" s="124"/>
      <c r="G910" s="124"/>
      <c r="H910" s="124"/>
      <c r="I910" s="124"/>
      <c r="J910" s="124"/>
      <c r="K910" s="124"/>
    </row>
    <row r="911" ht="15.75" customHeight="1">
      <c r="E911" s="124"/>
      <c r="F911" s="124"/>
      <c r="G911" s="124"/>
      <c r="H911" s="124"/>
      <c r="I911" s="124"/>
      <c r="J911" s="124"/>
      <c r="K911" s="124"/>
    </row>
    <row r="912" ht="15.75" customHeight="1">
      <c r="E912" s="124"/>
      <c r="F912" s="124"/>
      <c r="G912" s="124"/>
      <c r="H912" s="124"/>
      <c r="I912" s="124"/>
      <c r="J912" s="124"/>
      <c r="K912" s="124"/>
    </row>
    <row r="913" ht="15.75" customHeight="1">
      <c r="E913" s="124"/>
      <c r="F913" s="124"/>
      <c r="G913" s="124"/>
      <c r="H913" s="124"/>
      <c r="I913" s="124"/>
      <c r="J913" s="124"/>
      <c r="K913" s="124"/>
    </row>
    <row r="914" ht="15.75" customHeight="1">
      <c r="E914" s="124"/>
      <c r="F914" s="124"/>
      <c r="G914" s="124"/>
      <c r="H914" s="124"/>
      <c r="I914" s="124"/>
      <c r="J914" s="124"/>
      <c r="K914" s="124"/>
    </row>
    <row r="915" ht="15.75" customHeight="1">
      <c r="E915" s="124"/>
      <c r="F915" s="124"/>
      <c r="G915" s="124"/>
      <c r="H915" s="124"/>
      <c r="I915" s="124"/>
      <c r="J915" s="124"/>
      <c r="K915" s="124"/>
    </row>
    <row r="916" ht="15.75" customHeight="1">
      <c r="E916" s="124"/>
      <c r="F916" s="124"/>
      <c r="G916" s="124"/>
      <c r="H916" s="124"/>
      <c r="I916" s="124"/>
      <c r="J916" s="124"/>
      <c r="K916" s="124"/>
    </row>
    <row r="917" ht="15.75" customHeight="1">
      <c r="E917" s="124"/>
      <c r="F917" s="124"/>
      <c r="G917" s="124"/>
      <c r="H917" s="124"/>
      <c r="I917" s="124"/>
      <c r="J917" s="124"/>
      <c r="K917" s="124"/>
    </row>
    <row r="918" ht="15.75" customHeight="1">
      <c r="E918" s="124"/>
      <c r="F918" s="124"/>
      <c r="G918" s="124"/>
      <c r="H918" s="124"/>
      <c r="I918" s="124"/>
      <c r="J918" s="124"/>
      <c r="K918" s="124"/>
    </row>
    <row r="919" ht="15.75" customHeight="1">
      <c r="E919" s="124"/>
      <c r="F919" s="124"/>
      <c r="G919" s="124"/>
      <c r="H919" s="124"/>
      <c r="I919" s="124"/>
      <c r="J919" s="124"/>
      <c r="K919" s="124"/>
    </row>
    <row r="920" ht="15.75" customHeight="1">
      <c r="E920" s="124"/>
      <c r="F920" s="124"/>
      <c r="G920" s="124"/>
      <c r="H920" s="124"/>
      <c r="I920" s="124"/>
      <c r="J920" s="124"/>
      <c r="K920" s="124"/>
    </row>
    <row r="921" ht="15.75" customHeight="1">
      <c r="E921" s="124"/>
      <c r="F921" s="124"/>
      <c r="G921" s="124"/>
      <c r="H921" s="124"/>
      <c r="I921" s="124"/>
      <c r="J921" s="124"/>
      <c r="K921" s="124"/>
    </row>
    <row r="922" ht="15.75" customHeight="1">
      <c r="E922" s="124"/>
      <c r="F922" s="124"/>
      <c r="G922" s="124"/>
      <c r="H922" s="124"/>
      <c r="I922" s="124"/>
      <c r="J922" s="124"/>
      <c r="K922" s="124"/>
    </row>
    <row r="923" ht="15.75" customHeight="1">
      <c r="E923" s="124"/>
      <c r="F923" s="124"/>
      <c r="G923" s="124"/>
      <c r="H923" s="124"/>
      <c r="I923" s="124"/>
      <c r="J923" s="124"/>
      <c r="K923" s="124"/>
    </row>
    <row r="924" ht="15.75" customHeight="1">
      <c r="E924" s="124"/>
      <c r="F924" s="124"/>
      <c r="G924" s="124"/>
      <c r="H924" s="124"/>
      <c r="I924" s="124"/>
      <c r="J924" s="124"/>
      <c r="K924" s="124"/>
    </row>
    <row r="925" ht="15.75" customHeight="1">
      <c r="E925" s="124"/>
      <c r="F925" s="124"/>
      <c r="G925" s="124"/>
      <c r="H925" s="124"/>
      <c r="I925" s="124"/>
      <c r="J925" s="124"/>
      <c r="K925" s="124"/>
    </row>
    <row r="926" ht="15.75" customHeight="1">
      <c r="E926" s="124"/>
      <c r="F926" s="124"/>
      <c r="G926" s="124"/>
      <c r="H926" s="124"/>
      <c r="I926" s="124"/>
      <c r="J926" s="124"/>
      <c r="K926" s="124"/>
    </row>
    <row r="927" ht="15.75" customHeight="1">
      <c r="E927" s="124"/>
      <c r="F927" s="124"/>
      <c r="G927" s="124"/>
      <c r="H927" s="124"/>
      <c r="I927" s="124"/>
      <c r="J927" s="124"/>
      <c r="K927" s="124"/>
    </row>
    <row r="928" ht="15.75" customHeight="1">
      <c r="E928" s="124"/>
      <c r="F928" s="124"/>
      <c r="G928" s="124"/>
      <c r="H928" s="124"/>
      <c r="I928" s="124"/>
      <c r="J928" s="124"/>
      <c r="K928" s="124"/>
    </row>
    <row r="929" ht="15.75" customHeight="1">
      <c r="E929" s="124"/>
      <c r="F929" s="124"/>
      <c r="G929" s="124"/>
      <c r="H929" s="124"/>
      <c r="I929" s="124"/>
      <c r="J929" s="124"/>
      <c r="K929" s="124"/>
    </row>
    <row r="930" ht="15.75" customHeight="1">
      <c r="E930" s="124"/>
      <c r="F930" s="124"/>
      <c r="G930" s="124"/>
      <c r="H930" s="124"/>
      <c r="I930" s="124"/>
      <c r="J930" s="124"/>
      <c r="K930" s="124"/>
    </row>
    <row r="931" ht="15.75" customHeight="1">
      <c r="E931" s="124"/>
      <c r="F931" s="124"/>
      <c r="G931" s="124"/>
      <c r="H931" s="124"/>
      <c r="I931" s="124"/>
      <c r="J931" s="124"/>
      <c r="K931" s="124"/>
    </row>
    <row r="932" ht="15.75" customHeight="1">
      <c r="E932" s="124"/>
      <c r="F932" s="124"/>
      <c r="G932" s="124"/>
      <c r="H932" s="124"/>
      <c r="I932" s="124"/>
      <c r="J932" s="124"/>
      <c r="K932" s="124"/>
    </row>
    <row r="933" ht="15.75" customHeight="1">
      <c r="E933" s="124"/>
      <c r="F933" s="124"/>
      <c r="G933" s="124"/>
      <c r="H933" s="124"/>
      <c r="I933" s="124"/>
      <c r="J933" s="124"/>
      <c r="K933" s="124"/>
    </row>
    <row r="934" ht="15.75" customHeight="1">
      <c r="E934" s="124"/>
      <c r="F934" s="124"/>
      <c r="G934" s="124"/>
      <c r="H934" s="124"/>
      <c r="I934" s="124"/>
      <c r="J934" s="124"/>
      <c r="K934" s="124"/>
    </row>
    <row r="935" ht="15.75" customHeight="1">
      <c r="E935" s="124"/>
      <c r="F935" s="124"/>
      <c r="G935" s="124"/>
      <c r="H935" s="124"/>
      <c r="I935" s="124"/>
      <c r="J935" s="124"/>
      <c r="K935" s="124"/>
    </row>
    <row r="936" ht="15.75" customHeight="1">
      <c r="E936" s="124"/>
      <c r="F936" s="124"/>
      <c r="G936" s="124"/>
      <c r="H936" s="124"/>
      <c r="I936" s="124"/>
      <c r="J936" s="124"/>
      <c r="K936" s="124"/>
    </row>
    <row r="937" ht="15.75" customHeight="1">
      <c r="E937" s="124"/>
      <c r="F937" s="124"/>
      <c r="G937" s="124"/>
      <c r="H937" s="124"/>
      <c r="I937" s="124"/>
      <c r="J937" s="124"/>
      <c r="K937" s="124"/>
    </row>
    <row r="938" ht="15.75" customHeight="1">
      <c r="E938" s="124"/>
      <c r="F938" s="124"/>
      <c r="G938" s="124"/>
      <c r="H938" s="124"/>
      <c r="I938" s="124"/>
      <c r="J938" s="124"/>
      <c r="K938" s="124"/>
    </row>
    <row r="939" ht="15.75" customHeight="1">
      <c r="E939" s="124"/>
      <c r="F939" s="124"/>
      <c r="G939" s="124"/>
      <c r="H939" s="124"/>
      <c r="I939" s="124"/>
      <c r="J939" s="124"/>
      <c r="K939" s="124"/>
    </row>
    <row r="940" ht="15.75" customHeight="1">
      <c r="E940" s="124"/>
      <c r="F940" s="124"/>
      <c r="G940" s="124"/>
      <c r="H940" s="124"/>
      <c r="I940" s="124"/>
      <c r="J940" s="124"/>
      <c r="K940" s="124"/>
    </row>
    <row r="941" ht="15.75" customHeight="1">
      <c r="E941" s="124"/>
      <c r="F941" s="124"/>
      <c r="G941" s="124"/>
      <c r="H941" s="124"/>
      <c r="I941" s="124"/>
      <c r="J941" s="124"/>
      <c r="K941" s="124"/>
    </row>
    <row r="942" ht="15.75" customHeight="1">
      <c r="E942" s="124"/>
      <c r="F942" s="124"/>
      <c r="G942" s="124"/>
      <c r="H942" s="124"/>
      <c r="I942" s="124"/>
      <c r="J942" s="124"/>
      <c r="K942" s="124"/>
    </row>
    <row r="943" ht="15.75" customHeight="1">
      <c r="E943" s="124"/>
      <c r="F943" s="124"/>
      <c r="G943" s="124"/>
      <c r="H943" s="124"/>
      <c r="I943" s="124"/>
      <c r="J943" s="124"/>
      <c r="K943" s="124"/>
    </row>
    <row r="944" ht="15.75" customHeight="1">
      <c r="E944" s="124"/>
      <c r="F944" s="124"/>
      <c r="G944" s="124"/>
      <c r="H944" s="124"/>
      <c r="I944" s="124"/>
      <c r="J944" s="124"/>
      <c r="K944" s="124"/>
    </row>
    <row r="945" ht="15.75" customHeight="1">
      <c r="E945" s="124"/>
      <c r="F945" s="124"/>
      <c r="G945" s="124"/>
      <c r="H945" s="124"/>
      <c r="I945" s="124"/>
      <c r="J945" s="124"/>
      <c r="K945" s="124"/>
    </row>
    <row r="946" ht="15.75" customHeight="1">
      <c r="E946" s="124"/>
      <c r="F946" s="124"/>
      <c r="G946" s="124"/>
      <c r="H946" s="124"/>
      <c r="I946" s="124"/>
      <c r="J946" s="124"/>
      <c r="K946" s="124"/>
    </row>
    <row r="947" ht="15.75" customHeight="1">
      <c r="E947" s="124"/>
      <c r="F947" s="124"/>
      <c r="G947" s="124"/>
      <c r="H947" s="124"/>
      <c r="I947" s="124"/>
      <c r="J947" s="124"/>
      <c r="K947" s="124"/>
    </row>
    <row r="948" ht="15.75" customHeight="1">
      <c r="E948" s="124"/>
      <c r="F948" s="124"/>
      <c r="G948" s="124"/>
      <c r="H948" s="124"/>
      <c r="I948" s="124"/>
      <c r="J948" s="124"/>
      <c r="K948" s="124"/>
    </row>
    <row r="949" ht="15.75" customHeight="1">
      <c r="E949" s="124"/>
      <c r="F949" s="124"/>
      <c r="G949" s="124"/>
      <c r="H949" s="124"/>
      <c r="I949" s="124"/>
      <c r="J949" s="124"/>
      <c r="K949" s="124"/>
    </row>
    <row r="950" ht="15.75" customHeight="1">
      <c r="E950" s="124"/>
      <c r="F950" s="124"/>
      <c r="G950" s="124"/>
      <c r="H950" s="124"/>
      <c r="I950" s="124"/>
      <c r="J950" s="124"/>
      <c r="K950" s="124"/>
    </row>
    <row r="951" ht="15.75" customHeight="1">
      <c r="E951" s="124"/>
      <c r="F951" s="124"/>
      <c r="G951" s="124"/>
      <c r="H951" s="124"/>
      <c r="I951" s="124"/>
      <c r="J951" s="124"/>
      <c r="K951" s="124"/>
    </row>
    <row r="952" ht="15.75" customHeight="1">
      <c r="E952" s="124"/>
      <c r="F952" s="124"/>
      <c r="G952" s="124"/>
      <c r="H952" s="124"/>
      <c r="I952" s="124"/>
      <c r="J952" s="124"/>
      <c r="K952" s="124"/>
    </row>
    <row r="953" ht="15.75" customHeight="1">
      <c r="E953" s="124"/>
      <c r="F953" s="124"/>
      <c r="G953" s="124"/>
      <c r="H953" s="124"/>
      <c r="I953" s="124"/>
      <c r="J953" s="124"/>
      <c r="K953" s="124"/>
    </row>
    <row r="954" ht="15.75" customHeight="1">
      <c r="E954" s="124"/>
      <c r="F954" s="124"/>
      <c r="G954" s="124"/>
      <c r="H954" s="124"/>
      <c r="I954" s="124"/>
      <c r="J954" s="124"/>
      <c r="K954" s="124"/>
    </row>
    <row r="955" ht="15.75" customHeight="1">
      <c r="E955" s="124"/>
      <c r="F955" s="124"/>
      <c r="G955" s="124"/>
      <c r="H955" s="124"/>
      <c r="I955" s="124"/>
      <c r="J955" s="124"/>
      <c r="K955" s="124"/>
    </row>
    <row r="956" ht="15.75" customHeight="1">
      <c r="E956" s="124"/>
      <c r="F956" s="124"/>
      <c r="G956" s="124"/>
      <c r="H956" s="124"/>
      <c r="I956" s="124"/>
      <c r="J956" s="124"/>
      <c r="K956" s="124"/>
    </row>
    <row r="957" ht="15.75" customHeight="1">
      <c r="E957" s="124"/>
      <c r="F957" s="124"/>
      <c r="G957" s="124"/>
      <c r="H957" s="124"/>
      <c r="I957" s="124"/>
      <c r="J957" s="124"/>
      <c r="K957" s="124"/>
    </row>
    <row r="958" ht="15.75" customHeight="1">
      <c r="E958" s="124"/>
      <c r="F958" s="124"/>
      <c r="G958" s="124"/>
      <c r="H958" s="124"/>
      <c r="I958" s="124"/>
      <c r="J958" s="124"/>
      <c r="K958" s="124"/>
    </row>
    <row r="959" ht="15.75" customHeight="1">
      <c r="E959" s="124"/>
      <c r="F959" s="124"/>
      <c r="G959" s="124"/>
      <c r="H959" s="124"/>
      <c r="I959" s="124"/>
      <c r="J959" s="124"/>
      <c r="K959" s="124"/>
    </row>
    <row r="960" ht="15.75" customHeight="1">
      <c r="E960" s="124"/>
      <c r="F960" s="124"/>
      <c r="G960" s="124"/>
      <c r="H960" s="124"/>
      <c r="I960" s="124"/>
      <c r="J960" s="124"/>
      <c r="K960" s="124"/>
    </row>
    <row r="961" ht="15.75" customHeight="1">
      <c r="E961" s="124"/>
      <c r="F961" s="124"/>
      <c r="G961" s="124"/>
      <c r="H961" s="124"/>
      <c r="I961" s="124"/>
      <c r="J961" s="124"/>
      <c r="K961" s="124"/>
    </row>
    <row r="962" ht="15.75" customHeight="1">
      <c r="E962" s="124"/>
      <c r="F962" s="124"/>
      <c r="G962" s="124"/>
      <c r="H962" s="124"/>
      <c r="I962" s="124"/>
      <c r="J962" s="124"/>
      <c r="K962" s="124"/>
    </row>
    <row r="963" ht="15.75" customHeight="1">
      <c r="E963" s="124"/>
      <c r="F963" s="124"/>
      <c r="G963" s="124"/>
      <c r="H963" s="124"/>
      <c r="I963" s="124"/>
      <c r="J963" s="124"/>
      <c r="K963" s="124"/>
    </row>
    <row r="964" ht="15.75" customHeight="1">
      <c r="E964" s="124"/>
      <c r="F964" s="124"/>
      <c r="G964" s="124"/>
      <c r="H964" s="124"/>
      <c r="I964" s="124"/>
      <c r="J964" s="124"/>
      <c r="K964" s="124"/>
    </row>
    <row r="965" ht="15.75" customHeight="1">
      <c r="E965" s="124"/>
      <c r="F965" s="124"/>
      <c r="G965" s="124"/>
      <c r="H965" s="124"/>
      <c r="I965" s="124"/>
      <c r="J965" s="124"/>
      <c r="K965" s="124"/>
    </row>
    <row r="966" ht="15.75" customHeight="1">
      <c r="E966" s="124"/>
      <c r="F966" s="124"/>
      <c r="G966" s="124"/>
      <c r="H966" s="124"/>
      <c r="I966" s="124"/>
      <c r="J966" s="124"/>
      <c r="K966" s="124"/>
    </row>
    <row r="967" ht="15.75" customHeight="1">
      <c r="E967" s="124"/>
      <c r="F967" s="124"/>
      <c r="G967" s="124"/>
      <c r="H967" s="124"/>
      <c r="I967" s="124"/>
      <c r="J967" s="124"/>
      <c r="K967" s="124"/>
    </row>
    <row r="968" ht="15.75" customHeight="1">
      <c r="E968" s="124"/>
      <c r="F968" s="124"/>
      <c r="G968" s="124"/>
      <c r="H968" s="124"/>
      <c r="I968" s="124"/>
      <c r="J968" s="124"/>
      <c r="K968" s="124"/>
    </row>
    <row r="969" ht="15.75" customHeight="1">
      <c r="E969" s="124"/>
      <c r="F969" s="124"/>
      <c r="G969" s="124"/>
      <c r="H969" s="124"/>
      <c r="I969" s="124"/>
      <c r="J969" s="124"/>
      <c r="K969" s="124"/>
    </row>
    <row r="970" ht="15.75" customHeight="1">
      <c r="E970" s="124"/>
      <c r="F970" s="124"/>
      <c r="G970" s="124"/>
      <c r="H970" s="124"/>
      <c r="I970" s="124"/>
      <c r="J970" s="124"/>
      <c r="K970" s="124"/>
    </row>
    <row r="971" ht="15.75" customHeight="1">
      <c r="E971" s="124"/>
      <c r="F971" s="124"/>
      <c r="G971" s="124"/>
      <c r="H971" s="124"/>
      <c r="I971" s="124"/>
      <c r="J971" s="124"/>
      <c r="K971" s="124"/>
    </row>
    <row r="972" ht="15.75" customHeight="1">
      <c r="E972" s="124"/>
      <c r="F972" s="124"/>
      <c r="G972" s="124"/>
      <c r="H972" s="124"/>
      <c r="I972" s="124"/>
      <c r="J972" s="124"/>
      <c r="K972" s="124"/>
    </row>
    <row r="973" ht="15.75" customHeight="1">
      <c r="E973" s="124"/>
      <c r="F973" s="124"/>
      <c r="G973" s="124"/>
      <c r="H973" s="124"/>
      <c r="I973" s="124"/>
      <c r="J973" s="124"/>
      <c r="K973" s="124"/>
    </row>
    <row r="974" ht="15.75" customHeight="1">
      <c r="E974" s="124"/>
      <c r="F974" s="124"/>
      <c r="G974" s="124"/>
      <c r="H974" s="124"/>
      <c r="I974" s="124"/>
      <c r="J974" s="124"/>
      <c r="K974" s="124"/>
    </row>
    <row r="975" ht="15.75" customHeight="1">
      <c r="E975" s="124"/>
      <c r="F975" s="124"/>
      <c r="G975" s="124"/>
      <c r="H975" s="124"/>
      <c r="I975" s="124"/>
      <c r="J975" s="124"/>
      <c r="K975" s="124"/>
    </row>
    <row r="976" ht="15.75" customHeight="1">
      <c r="E976" s="124"/>
      <c r="F976" s="124"/>
      <c r="G976" s="124"/>
      <c r="H976" s="124"/>
      <c r="I976" s="124"/>
      <c r="J976" s="124"/>
      <c r="K976" s="124"/>
    </row>
    <row r="977" ht="15.75" customHeight="1">
      <c r="E977" s="124"/>
      <c r="F977" s="124"/>
      <c r="G977" s="124"/>
      <c r="H977" s="124"/>
      <c r="I977" s="124"/>
      <c r="J977" s="124"/>
      <c r="K977" s="124"/>
    </row>
    <row r="978" ht="15.75" customHeight="1">
      <c r="E978" s="124"/>
      <c r="F978" s="124"/>
      <c r="G978" s="124"/>
      <c r="H978" s="124"/>
      <c r="I978" s="124"/>
      <c r="J978" s="124"/>
      <c r="K978" s="124"/>
    </row>
    <row r="979" ht="15.75" customHeight="1">
      <c r="E979" s="124"/>
      <c r="F979" s="124"/>
      <c r="G979" s="124"/>
      <c r="H979" s="124"/>
      <c r="I979" s="124"/>
      <c r="J979" s="124"/>
      <c r="K979" s="124"/>
    </row>
    <row r="980" ht="15.75" customHeight="1">
      <c r="E980" s="124"/>
      <c r="F980" s="124"/>
      <c r="G980" s="124"/>
      <c r="H980" s="124"/>
      <c r="I980" s="124"/>
      <c r="J980" s="124"/>
      <c r="K980" s="124"/>
    </row>
    <row r="981" ht="15.75" customHeight="1">
      <c r="E981" s="124"/>
      <c r="F981" s="124"/>
      <c r="G981" s="124"/>
      <c r="H981" s="124"/>
      <c r="I981" s="124"/>
      <c r="J981" s="124"/>
      <c r="K981" s="124"/>
    </row>
    <row r="982" ht="15.75" customHeight="1">
      <c r="E982" s="124"/>
      <c r="F982" s="124"/>
      <c r="G982" s="124"/>
      <c r="H982" s="124"/>
      <c r="I982" s="124"/>
      <c r="J982" s="124"/>
      <c r="K982" s="124"/>
    </row>
    <row r="983" ht="15.75" customHeight="1">
      <c r="E983" s="124"/>
      <c r="F983" s="124"/>
      <c r="G983" s="124"/>
      <c r="H983" s="124"/>
      <c r="I983" s="124"/>
      <c r="J983" s="124"/>
      <c r="K983" s="124"/>
    </row>
    <row r="984" ht="15.75" customHeight="1">
      <c r="E984" s="124"/>
      <c r="F984" s="124"/>
      <c r="G984" s="124"/>
      <c r="H984" s="124"/>
      <c r="I984" s="124"/>
      <c r="J984" s="124"/>
      <c r="K984" s="124"/>
    </row>
    <row r="985" ht="15.75" customHeight="1">
      <c r="E985" s="124"/>
      <c r="F985" s="124"/>
      <c r="G985" s="124"/>
      <c r="H985" s="124"/>
      <c r="I985" s="124"/>
      <c r="J985" s="124"/>
      <c r="K985" s="124"/>
    </row>
    <row r="986" ht="15.75" customHeight="1">
      <c r="E986" s="124"/>
      <c r="F986" s="124"/>
      <c r="G986" s="124"/>
      <c r="H986" s="124"/>
      <c r="I986" s="124"/>
      <c r="J986" s="124"/>
      <c r="K986" s="124"/>
    </row>
    <row r="987" ht="15.75" customHeight="1">
      <c r="E987" s="124"/>
      <c r="F987" s="124"/>
      <c r="G987" s="124"/>
      <c r="H987" s="124"/>
      <c r="I987" s="124"/>
      <c r="J987" s="124"/>
      <c r="K987" s="124"/>
    </row>
    <row r="988" ht="15.75" customHeight="1">
      <c r="E988" s="124"/>
      <c r="F988" s="124"/>
      <c r="G988" s="124"/>
      <c r="H988" s="124"/>
      <c r="I988" s="124"/>
      <c r="J988" s="124"/>
      <c r="K988" s="124"/>
    </row>
    <row r="989" ht="15.75" customHeight="1">
      <c r="E989" s="124"/>
      <c r="F989" s="124"/>
      <c r="G989" s="124"/>
      <c r="H989" s="124"/>
      <c r="I989" s="124"/>
      <c r="J989" s="124"/>
      <c r="K989" s="124"/>
    </row>
    <row r="990" ht="15.75" customHeight="1">
      <c r="E990" s="124"/>
      <c r="F990" s="124"/>
      <c r="G990" s="124"/>
      <c r="H990" s="124"/>
      <c r="I990" s="124"/>
      <c r="J990" s="124"/>
      <c r="K990" s="124"/>
    </row>
    <row r="991" ht="15.75" customHeight="1">
      <c r="E991" s="124"/>
      <c r="F991" s="124"/>
      <c r="G991" s="124"/>
      <c r="H991" s="124"/>
      <c r="I991" s="124"/>
      <c r="J991" s="124"/>
      <c r="K991" s="124"/>
    </row>
    <row r="992" ht="15.75" customHeight="1">
      <c r="E992" s="124"/>
      <c r="F992" s="124"/>
      <c r="G992" s="124"/>
      <c r="H992" s="124"/>
      <c r="I992" s="124"/>
      <c r="J992" s="124"/>
      <c r="K992" s="124"/>
    </row>
    <row r="993" ht="15.75" customHeight="1">
      <c r="E993" s="124"/>
      <c r="F993" s="124"/>
      <c r="G993" s="124"/>
      <c r="H993" s="124"/>
      <c r="I993" s="124"/>
      <c r="J993" s="124"/>
      <c r="K993" s="124"/>
    </row>
    <row r="994" ht="15.75" customHeight="1">
      <c r="E994" s="124"/>
      <c r="F994" s="124"/>
      <c r="G994" s="124"/>
      <c r="H994" s="124"/>
      <c r="I994" s="124"/>
      <c r="J994" s="124"/>
      <c r="K994" s="124"/>
    </row>
    <row r="995" ht="15.75" customHeight="1">
      <c r="E995" s="124"/>
      <c r="F995" s="124"/>
      <c r="G995" s="124"/>
      <c r="H995" s="124"/>
      <c r="I995" s="124"/>
      <c r="J995" s="124"/>
      <c r="K995" s="124"/>
    </row>
    <row r="996" ht="15.75" customHeight="1">
      <c r="E996" s="124"/>
      <c r="F996" s="124"/>
      <c r="G996" s="124"/>
      <c r="H996" s="124"/>
      <c r="I996" s="124"/>
      <c r="J996" s="124"/>
      <c r="K996" s="124"/>
    </row>
    <row r="997" ht="15.75" customHeight="1">
      <c r="E997" s="124"/>
      <c r="F997" s="124"/>
      <c r="G997" s="124"/>
      <c r="H997" s="124"/>
      <c r="I997" s="124"/>
      <c r="J997" s="124"/>
      <c r="K997" s="124"/>
    </row>
    <row r="998" ht="15.75" customHeight="1">
      <c r="E998" s="124"/>
      <c r="F998" s="124"/>
      <c r="G998" s="124"/>
      <c r="H998" s="124"/>
      <c r="I998" s="124"/>
      <c r="J998" s="124"/>
      <c r="K998" s="124"/>
    </row>
    <row r="999" ht="15.75" customHeight="1">
      <c r="E999" s="124"/>
      <c r="F999" s="124"/>
      <c r="G999" s="124"/>
      <c r="H999" s="124"/>
      <c r="I999" s="124"/>
      <c r="J999" s="124"/>
      <c r="K999" s="124"/>
    </row>
    <row r="1000" ht="15.75" customHeight="1">
      <c r="E1000" s="124"/>
      <c r="F1000" s="124"/>
      <c r="G1000" s="124"/>
      <c r="H1000" s="124"/>
      <c r="I1000" s="124"/>
      <c r="J1000" s="124"/>
      <c r="K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65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1.89"/>
    <col customWidth="1" min="3" max="4" width="9.11"/>
    <col customWidth="1" min="5" max="5" width="16.44"/>
    <col customWidth="1" min="6" max="6" width="11.33"/>
    <col customWidth="1" min="7" max="7" width="10.78"/>
    <col customWidth="1" min="8" max="8" width="15.44"/>
    <col customWidth="1" min="9" max="9" width="12.22"/>
    <col customWidth="1" min="10" max="10" width="14.44"/>
    <col customWidth="1" min="11" max="11" width="17.11"/>
    <col customWidth="1" min="12" max="12" width="8.56"/>
    <col customWidth="1" min="13" max="13" width="17.67"/>
    <col customWidth="1" min="14" max="26" width="8.56"/>
  </cols>
  <sheetData>
    <row r="1" ht="15.75" customHeight="1">
      <c r="A1" s="179" t="s">
        <v>103</v>
      </c>
    </row>
    <row r="2" ht="15.75" customHeight="1">
      <c r="A2" s="180" t="s">
        <v>64</v>
      </c>
      <c r="B2" s="183"/>
      <c r="C2" s="155"/>
      <c r="E2" s="182"/>
      <c r="F2" s="182"/>
      <c r="G2" s="182"/>
      <c r="H2" s="182"/>
      <c r="I2" s="171"/>
      <c r="J2" s="184"/>
      <c r="K2" s="342" t="s">
        <v>65</v>
      </c>
    </row>
    <row r="3" ht="15.75" customHeight="1">
      <c r="A3" s="260" t="s">
        <v>2</v>
      </c>
      <c r="B3" s="260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261" t="s">
        <v>69</v>
      </c>
      <c r="J4" s="197" t="s">
        <v>70</v>
      </c>
      <c r="K4" s="197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354">
        <v>1.0</v>
      </c>
      <c r="B5" s="143">
        <f>'Yakin Pasifik Tuna'!B26</f>
        <v>45204</v>
      </c>
      <c r="C5" s="355"/>
      <c r="D5" s="330"/>
      <c r="E5" s="356"/>
      <c r="F5" s="356"/>
      <c r="G5" s="356"/>
      <c r="H5" s="356"/>
      <c r="I5" s="355">
        <v>14.0</v>
      </c>
      <c r="J5" s="356">
        <f>'Yakin Pasifik Tuna'!Z26</f>
        <v>7446.666667</v>
      </c>
      <c r="K5" s="335">
        <f>I5*J5</f>
        <v>104253.3333</v>
      </c>
      <c r="L5" s="183"/>
      <c r="M5" s="207" t="str">
        <f>K6+#REF!</f>
        <v>#REF!</v>
      </c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354">
        <v>2.0</v>
      </c>
      <c r="B6" s="143">
        <f>'Yakin Pasifik Tuna'!B27</f>
        <v>45207</v>
      </c>
      <c r="C6" s="355">
        <f>'Yakin Pasifik Tuna'!J27</f>
        <v>39</v>
      </c>
      <c r="D6" s="330">
        <f>'Yakin Pasifik Tuna'!Z27</f>
        <v>7294.685135</v>
      </c>
      <c r="E6" s="356">
        <f t="shared" ref="E6:E15" si="1">C6*D6</f>
        <v>284492.7203</v>
      </c>
      <c r="F6" s="356"/>
      <c r="G6" s="356"/>
      <c r="H6" s="356"/>
      <c r="I6" s="355">
        <f t="shared" ref="I6:I15" si="2">I5+C6</f>
        <v>53</v>
      </c>
      <c r="J6" s="356">
        <f>'Yakin Pasifik Tuna'!Z27</f>
        <v>7294.685135</v>
      </c>
      <c r="K6" s="335">
        <f t="shared" ref="K6:K15" si="3">K5+E6</f>
        <v>388746.0536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354">
        <v>3.0</v>
      </c>
      <c r="B7" s="143">
        <f>'Yakin Pasifik Tuna'!B28</f>
        <v>45208</v>
      </c>
      <c r="C7" s="355">
        <f>'Yakin Pasifik Tuna'!J28</f>
        <v>415</v>
      </c>
      <c r="D7" s="330">
        <f>'Yakin Pasifik Tuna'!Z28</f>
        <v>7285.402496</v>
      </c>
      <c r="E7" s="356">
        <f t="shared" si="1"/>
        <v>3023442.036</v>
      </c>
      <c r="F7" s="356"/>
      <c r="G7" s="356"/>
      <c r="H7" s="356"/>
      <c r="I7" s="355">
        <f t="shared" si="2"/>
        <v>468</v>
      </c>
      <c r="J7" s="356">
        <f>'Yakin Pasifik Tuna'!Z28</f>
        <v>7285.402496</v>
      </c>
      <c r="K7" s="335">
        <f t="shared" si="3"/>
        <v>3412188.09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354">
        <v>4.0</v>
      </c>
      <c r="B8" s="143">
        <f>'Yakin Pasifik Tuna'!B29</f>
        <v>45209</v>
      </c>
      <c r="C8" s="355">
        <f>'Yakin Pasifik Tuna'!J29</f>
        <v>43</v>
      </c>
      <c r="D8" s="330">
        <f>'Yakin Pasifik Tuna'!Z29</f>
        <v>7281.149373</v>
      </c>
      <c r="E8" s="356">
        <f t="shared" si="1"/>
        <v>313089.423</v>
      </c>
      <c r="F8" s="356"/>
      <c r="G8" s="356"/>
      <c r="H8" s="356"/>
      <c r="I8" s="355">
        <f t="shared" si="2"/>
        <v>511</v>
      </c>
      <c r="J8" s="356">
        <f>'Yakin Pasifik Tuna'!Z29</f>
        <v>7281.149373</v>
      </c>
      <c r="K8" s="335">
        <f t="shared" si="3"/>
        <v>3725277.513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354">
        <v>5.0</v>
      </c>
      <c r="B9" s="143">
        <f>'Yakin Pasifik Tuna'!B30</f>
        <v>45210</v>
      </c>
      <c r="C9" s="355">
        <f>'Yakin Pasifik Tuna'!J30</f>
        <v>6</v>
      </c>
      <c r="D9" s="330">
        <f>'Yakin Pasifik Tuna'!Z30</f>
        <v>7279.436893</v>
      </c>
      <c r="E9" s="356">
        <f t="shared" si="1"/>
        <v>43676.62136</v>
      </c>
      <c r="F9" s="356"/>
      <c r="G9" s="356"/>
      <c r="H9" s="356"/>
      <c r="I9" s="355">
        <f t="shared" si="2"/>
        <v>517</v>
      </c>
      <c r="J9" s="356">
        <f>'Yakin Pasifik Tuna'!Z30</f>
        <v>7279.436893</v>
      </c>
      <c r="K9" s="335">
        <f t="shared" si="3"/>
        <v>3768954.134</v>
      </c>
      <c r="L9" s="322"/>
      <c r="M9" s="323">
        <v>2.477735E8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354">
        <v>6.0</v>
      </c>
      <c r="B10" s="143">
        <f>'Yakin Pasifik Tuna'!B31</f>
        <v>45211</v>
      </c>
      <c r="C10" s="355">
        <f>'Yakin Pasifik Tuna'!J31</f>
        <v>353</v>
      </c>
      <c r="D10" s="330">
        <f>'Yakin Pasifik Tuna'!Z31</f>
        <v>7280.797958</v>
      </c>
      <c r="E10" s="356">
        <f t="shared" si="1"/>
        <v>2570121.679</v>
      </c>
      <c r="F10" s="356"/>
      <c r="G10" s="356"/>
      <c r="H10" s="356"/>
      <c r="I10" s="355">
        <f t="shared" si="2"/>
        <v>870</v>
      </c>
      <c r="J10" s="356">
        <f>'Yakin Pasifik Tuna'!Z31</f>
        <v>7280.797958</v>
      </c>
      <c r="K10" s="335">
        <f t="shared" si="3"/>
        <v>6339075.813</v>
      </c>
      <c r="L10" s="183"/>
      <c r="M10" s="182" t="str">
        <f>M9+'[3]Persediaan &amp; HPP Cakalang PP'!L8</f>
        <v>#REF!</v>
      </c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354">
        <v>7.0</v>
      </c>
      <c r="B11" s="143">
        <f>'Yakin Pasifik Tuna'!B32</f>
        <v>45212</v>
      </c>
      <c r="C11" s="355">
        <f>'Yakin Pasifik Tuna'!J32</f>
        <v>152</v>
      </c>
      <c r="D11" s="330">
        <f>'Yakin Pasifik Tuna'!Z32</f>
        <v>7284.484875</v>
      </c>
      <c r="E11" s="356">
        <f t="shared" si="1"/>
        <v>1107241.701</v>
      </c>
      <c r="F11" s="356"/>
      <c r="G11" s="356"/>
      <c r="H11" s="356"/>
      <c r="I11" s="355">
        <f t="shared" si="2"/>
        <v>1022</v>
      </c>
      <c r="J11" s="356">
        <f>'Yakin Pasifik Tuna'!Z32</f>
        <v>7284.484875</v>
      </c>
      <c r="K11" s="335">
        <f t="shared" si="3"/>
        <v>7446317.514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354">
        <v>8.0</v>
      </c>
      <c r="B12" s="143">
        <f>'Yakin Pasifik Tuna'!B33</f>
        <v>45213</v>
      </c>
      <c r="C12" s="355">
        <f>'Yakin Pasifik Tuna'!J33</f>
        <v>461</v>
      </c>
      <c r="D12" s="330">
        <f>'Yakin Pasifik Tuna'!Z33</f>
        <v>7280.389855</v>
      </c>
      <c r="E12" s="356">
        <f t="shared" si="1"/>
        <v>3356259.723</v>
      </c>
      <c r="F12" s="356"/>
      <c r="G12" s="356"/>
      <c r="H12" s="356"/>
      <c r="I12" s="355">
        <f t="shared" si="2"/>
        <v>1483</v>
      </c>
      <c r="J12" s="356">
        <f>'Yakin Pasifik Tuna'!Z33</f>
        <v>7280.389855</v>
      </c>
      <c r="K12" s="335">
        <f t="shared" si="3"/>
        <v>10802577.24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354">
        <v>9.0</v>
      </c>
      <c r="B13" s="143">
        <f>'Yakin Pasifik Tuna'!B34</f>
        <v>45216</v>
      </c>
      <c r="C13" s="355">
        <f>'Yakin Pasifik Tuna'!J34</f>
        <v>45</v>
      </c>
      <c r="D13" s="330">
        <f>'Yakin Pasifik Tuna'!Z34</f>
        <v>7283.385749</v>
      </c>
      <c r="E13" s="356">
        <f t="shared" si="1"/>
        <v>327752.3587</v>
      </c>
      <c r="F13" s="356"/>
      <c r="G13" s="356"/>
      <c r="H13" s="356"/>
      <c r="I13" s="355">
        <f t="shared" si="2"/>
        <v>1528</v>
      </c>
      <c r="J13" s="356">
        <f>'Yakin Pasifik Tuna'!Z34</f>
        <v>7283.385749</v>
      </c>
      <c r="K13" s="335">
        <f t="shared" si="3"/>
        <v>11130329.6</v>
      </c>
    </row>
    <row r="14" ht="15.75" customHeight="1">
      <c r="A14" s="354">
        <v>10.0</v>
      </c>
      <c r="B14" s="143">
        <f>'Yakin Pasifik Tuna'!B35</f>
        <v>45217</v>
      </c>
      <c r="C14" s="355">
        <f>'Yakin Pasifik Tuna'!J35</f>
        <v>179</v>
      </c>
      <c r="D14" s="330">
        <f>'Yakin Pasifik Tuna'!Z35</f>
        <v>7289.933148</v>
      </c>
      <c r="E14" s="356">
        <f t="shared" si="1"/>
        <v>1304898.033</v>
      </c>
      <c r="F14" s="330"/>
      <c r="G14" s="330"/>
      <c r="H14" s="330"/>
      <c r="I14" s="355">
        <f t="shared" si="2"/>
        <v>1707</v>
      </c>
      <c r="J14" s="356">
        <f>'Yakin Pasifik Tuna'!Z35</f>
        <v>7289.933148</v>
      </c>
      <c r="K14" s="335">
        <f t="shared" si="3"/>
        <v>12435227.63</v>
      </c>
    </row>
    <row r="15" ht="15.75" customHeight="1">
      <c r="A15" s="354">
        <v>11.0</v>
      </c>
      <c r="B15" s="143">
        <f>'Yakin Pasifik Tuna'!B36</f>
        <v>45220</v>
      </c>
      <c r="C15" s="355">
        <f>'Yakin Pasifik Tuna'!J36</f>
        <v>12</v>
      </c>
      <c r="D15" s="330">
        <f>'Yakin Pasifik Tuna'!Z36</f>
        <v>7290.532067</v>
      </c>
      <c r="E15" s="356">
        <f t="shared" si="1"/>
        <v>87486.3848</v>
      </c>
      <c r="F15" s="330"/>
      <c r="G15" s="330"/>
      <c r="H15" s="330"/>
      <c r="I15" s="355">
        <f t="shared" si="2"/>
        <v>1719</v>
      </c>
      <c r="J15" s="356">
        <f>'Yakin Pasifik Tuna'!Z36</f>
        <v>7290.532067</v>
      </c>
      <c r="K15" s="335">
        <f t="shared" si="3"/>
        <v>12522714.01</v>
      </c>
    </row>
    <row r="16" ht="15.75" customHeight="1">
      <c r="A16" s="208">
        <v>12.0</v>
      </c>
      <c r="B16" s="329">
        <v>45221.0</v>
      </c>
      <c r="C16" s="321"/>
      <c r="D16" s="248"/>
      <c r="E16" s="240"/>
      <c r="F16" s="248">
        <v>1740.0</v>
      </c>
      <c r="G16" s="248">
        <f>J15</f>
        <v>7290.532067</v>
      </c>
      <c r="H16" s="248">
        <f>F16*G16</f>
        <v>12685525.8</v>
      </c>
      <c r="I16" s="321">
        <f>I15-F16</f>
        <v>-21</v>
      </c>
      <c r="J16" s="240">
        <f t="shared" ref="J16:J17" si="4">K16/I16</f>
        <v>7752.941988</v>
      </c>
      <c r="K16" s="242">
        <f>K15-H16</f>
        <v>-162811.7817</v>
      </c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</row>
    <row r="17" ht="15.75" customHeight="1">
      <c r="A17" s="354">
        <v>13.0</v>
      </c>
      <c r="B17" s="143">
        <f>'Yakin Pasifik Tuna'!B37</f>
        <v>45223</v>
      </c>
      <c r="C17" s="355">
        <f>'Yakin Pasifik Tuna'!J37</f>
        <v>44</v>
      </c>
      <c r="D17" s="330">
        <f>'Yakin Pasifik Tuna'!Z37</f>
        <v>7283.469674</v>
      </c>
      <c r="E17" s="356">
        <f t="shared" ref="E17:E22" si="5">C17*D17</f>
        <v>320472.6656</v>
      </c>
      <c r="F17" s="330"/>
      <c r="G17" s="330"/>
      <c r="H17" s="330"/>
      <c r="I17" s="355">
        <f t="shared" ref="I17:I22" si="6">I16+C17</f>
        <v>23</v>
      </c>
      <c r="J17" s="356">
        <f t="shared" si="4"/>
        <v>6854.821039</v>
      </c>
      <c r="K17" s="335">
        <f t="shared" ref="K17:K22" si="7">K16+E17</f>
        <v>157660.8839</v>
      </c>
    </row>
    <row r="18" ht="15.75" customHeight="1">
      <c r="A18" s="354">
        <v>14.0</v>
      </c>
      <c r="B18" s="143">
        <f>'Yakin Pasifik Tuna'!B38</f>
        <v>45225</v>
      </c>
      <c r="C18" s="355">
        <f>'Yakin Pasifik Tuna'!J38</f>
        <v>8</v>
      </c>
      <c r="D18" s="330">
        <f>'Yakin Pasifik Tuna'!Z38</f>
        <v>7280.846847</v>
      </c>
      <c r="E18" s="356">
        <f t="shared" si="5"/>
        <v>58246.77477</v>
      </c>
      <c r="F18" s="330"/>
      <c r="G18" s="330"/>
      <c r="H18" s="356"/>
      <c r="I18" s="355">
        <f t="shared" si="6"/>
        <v>31</v>
      </c>
      <c r="J18" s="356">
        <f>'Yakin Pasifik Tuna'!Z38</f>
        <v>7280.846847</v>
      </c>
      <c r="K18" s="335">
        <f t="shared" si="7"/>
        <v>215907.6587</v>
      </c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354">
        <v>15.0</v>
      </c>
      <c r="B19" s="143">
        <f>'Yakin Pasifik Tuna'!B39</f>
        <v>45227</v>
      </c>
      <c r="C19" s="355">
        <f>'Yakin Pasifik Tuna'!J39</f>
        <v>11</v>
      </c>
      <c r="D19" s="330">
        <f>'Yakin Pasifik Tuna'!Z39</f>
        <v>7286.61708</v>
      </c>
      <c r="E19" s="356">
        <f t="shared" si="5"/>
        <v>80152.78788</v>
      </c>
      <c r="F19" s="330"/>
      <c r="G19" s="330"/>
      <c r="H19" s="356"/>
      <c r="I19" s="355">
        <f t="shared" si="6"/>
        <v>42</v>
      </c>
      <c r="J19" s="356">
        <f>'Yakin Pasifik Tuna'!Z39</f>
        <v>7286.61708</v>
      </c>
      <c r="K19" s="335">
        <f t="shared" si="7"/>
        <v>296060.4466</v>
      </c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</row>
    <row r="20" ht="15.75" customHeight="1">
      <c r="A20" s="354">
        <v>16.0</v>
      </c>
      <c r="B20" s="143">
        <f>'Yakin Pasifik Tuna'!B40</f>
        <v>45228</v>
      </c>
      <c r="C20" s="355">
        <f>'Yakin Pasifik Tuna'!J40</f>
        <v>29</v>
      </c>
      <c r="D20" s="330">
        <f>'Yakin Pasifik Tuna'!Z40</f>
        <v>7278.683522</v>
      </c>
      <c r="E20" s="356">
        <f t="shared" si="5"/>
        <v>211081.8221</v>
      </c>
      <c r="F20" s="330"/>
      <c r="G20" s="330"/>
      <c r="H20" s="330"/>
      <c r="I20" s="355">
        <f t="shared" si="6"/>
        <v>71</v>
      </c>
      <c r="J20" s="356">
        <f>'Yakin Pasifik Tuna'!Z40</f>
        <v>7278.683522</v>
      </c>
      <c r="K20" s="335">
        <f t="shared" si="7"/>
        <v>507142.2687</v>
      </c>
    </row>
    <row r="21" ht="15.75" customHeight="1">
      <c r="A21" s="354">
        <v>17.0</v>
      </c>
      <c r="B21" s="143">
        <f>'Yakin Pasifik Tuna'!B43</f>
        <v>45259</v>
      </c>
      <c r="C21" s="355">
        <f>'Yakin Pasifik Tuna'!J43</f>
        <v>13.6</v>
      </c>
      <c r="D21" s="330">
        <f>'Yakin Pasifik Tuna'!Z43</f>
        <v>6288.351145</v>
      </c>
      <c r="E21" s="356">
        <f t="shared" si="5"/>
        <v>85521.57557</v>
      </c>
      <c r="F21" s="330"/>
      <c r="G21" s="330"/>
      <c r="H21" s="330"/>
      <c r="I21" s="355">
        <f t="shared" si="6"/>
        <v>84.6</v>
      </c>
      <c r="J21" s="356">
        <f t="shared" ref="J21:J22" si="8">K21/I21</f>
        <v>7005.482793</v>
      </c>
      <c r="K21" s="335">
        <f t="shared" si="7"/>
        <v>592663.8443</v>
      </c>
    </row>
    <row r="22" ht="15.75" customHeight="1">
      <c r="A22" s="354">
        <v>18.0</v>
      </c>
      <c r="B22" s="143">
        <f>'Yakin Pasifik Tuna'!B44</f>
        <v>45260</v>
      </c>
      <c r="C22" s="355">
        <f>'Yakin Pasifik Tuna'!J44</f>
        <v>11.3</v>
      </c>
      <c r="D22" s="330">
        <f>'Yakin Pasifik Tuna'!Z44</f>
        <v>7291.772833</v>
      </c>
      <c r="E22" s="356">
        <f t="shared" si="5"/>
        <v>82397.03301</v>
      </c>
      <c r="F22" s="330"/>
      <c r="G22" s="330"/>
      <c r="H22" s="330"/>
      <c r="I22" s="355">
        <f t="shared" si="6"/>
        <v>95.9</v>
      </c>
      <c r="J22" s="356">
        <f t="shared" si="8"/>
        <v>7039.216656</v>
      </c>
      <c r="K22" s="335">
        <f t="shared" si="7"/>
        <v>675060.8773</v>
      </c>
    </row>
    <row r="23" ht="15.75" customHeight="1">
      <c r="A23" s="353"/>
      <c r="B23" s="145"/>
      <c r="C23" s="357"/>
      <c r="D23" s="338"/>
      <c r="E23" s="358"/>
      <c r="F23" s="338"/>
      <c r="G23" s="338"/>
      <c r="H23" s="338"/>
      <c r="I23" s="357">
        <f>481+103</f>
        <v>584</v>
      </c>
      <c r="J23" s="358">
        <f>J22</f>
        <v>7039.216656</v>
      </c>
      <c r="K23" s="359">
        <f>I23*J23</f>
        <v>4110902.527</v>
      </c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ht="15.75" customHeight="1">
      <c r="A24" s="354">
        <v>19.0</v>
      </c>
      <c r="B24" s="143">
        <f>'Yakin Pasifik Tuna'!B49</f>
        <v>45266</v>
      </c>
      <c r="C24" s="360">
        <f>'Yakin Pasifik Tuna'!J49</f>
        <v>11.2</v>
      </c>
      <c r="D24" s="330">
        <f>'Yakin Pasifik Tuna'!Z49</f>
        <v>6284.351596</v>
      </c>
      <c r="E24" s="356">
        <f t="shared" ref="E24:E35" si="9">C24*D24</f>
        <v>70384.73787</v>
      </c>
      <c r="F24" s="330"/>
      <c r="G24" s="330"/>
      <c r="H24" s="330"/>
      <c r="I24" s="355">
        <f t="shared" ref="I24:I35" si="10">I23+C24</f>
        <v>595.2</v>
      </c>
      <c r="J24" s="356">
        <f t="shared" ref="J24:J35" si="11">K24/I24</f>
        <v>7025.012205</v>
      </c>
      <c r="K24" s="335">
        <f t="shared" ref="K24:K35" si="12">K23+E24</f>
        <v>4181287.265</v>
      </c>
    </row>
    <row r="25" ht="15.75" customHeight="1">
      <c r="A25" s="354">
        <v>20.0</v>
      </c>
      <c r="B25" s="143">
        <f>'Yakin Pasifik Tuna'!B50</f>
        <v>45267</v>
      </c>
      <c r="C25" s="360">
        <f>'Yakin Pasifik Tuna'!J50</f>
        <v>8.5</v>
      </c>
      <c r="D25" s="330">
        <f>'Yakin Pasifik Tuna'!Z50</f>
        <v>5284.909091</v>
      </c>
      <c r="E25" s="356">
        <f t="shared" si="9"/>
        <v>44921.72727</v>
      </c>
      <c r="F25" s="330"/>
      <c r="G25" s="330"/>
      <c r="H25" s="330"/>
      <c r="I25" s="355">
        <f t="shared" si="10"/>
        <v>603.7</v>
      </c>
      <c r="J25" s="356">
        <f t="shared" si="11"/>
        <v>7000.51183</v>
      </c>
      <c r="K25" s="335">
        <f t="shared" si="12"/>
        <v>4226208.992</v>
      </c>
    </row>
    <row r="26" ht="15.75" customHeight="1">
      <c r="A26" s="354">
        <v>21.0</v>
      </c>
      <c r="B26" s="143">
        <f>'Yakin Pasifik Tuna'!B51</f>
        <v>45269</v>
      </c>
      <c r="C26" s="360">
        <f>'Yakin Pasifik Tuna'!J51</f>
        <v>35.9</v>
      </c>
      <c r="D26" s="330">
        <f>'Yakin Pasifik Tuna'!Z51</f>
        <v>5284.909091</v>
      </c>
      <c r="E26" s="356">
        <f t="shared" si="9"/>
        <v>189728.2364</v>
      </c>
      <c r="F26" s="330"/>
      <c r="G26" s="330"/>
      <c r="H26" s="330"/>
      <c r="I26" s="355">
        <f t="shared" si="10"/>
        <v>639.6</v>
      </c>
      <c r="J26" s="356">
        <f t="shared" si="11"/>
        <v>6904.217055</v>
      </c>
      <c r="K26" s="335">
        <f t="shared" si="12"/>
        <v>4415937.228</v>
      </c>
    </row>
    <row r="27" ht="15.75" customHeight="1">
      <c r="A27" s="354">
        <v>22.0</v>
      </c>
      <c r="B27" s="143">
        <f>'Yakin Pasifik Tuna'!B52</f>
        <v>45270</v>
      </c>
      <c r="C27" s="360">
        <f>'Yakin Pasifik Tuna'!J52</f>
        <v>591.7</v>
      </c>
      <c r="D27" s="330">
        <f>'Yakin Pasifik Tuna'!Z52</f>
        <v>5296.403487</v>
      </c>
      <c r="E27" s="356">
        <f t="shared" si="9"/>
        <v>3133881.943</v>
      </c>
      <c r="F27" s="330"/>
      <c r="G27" s="330"/>
      <c r="H27" s="330"/>
      <c r="I27" s="355">
        <f t="shared" si="10"/>
        <v>1231.3</v>
      </c>
      <c r="J27" s="356">
        <f t="shared" si="11"/>
        <v>6131.583831</v>
      </c>
      <c r="K27" s="335">
        <f t="shared" si="12"/>
        <v>7549819.172</v>
      </c>
    </row>
    <row r="28" ht="15.75" customHeight="1">
      <c r="A28" s="354">
        <v>23.0</v>
      </c>
      <c r="B28" s="143">
        <f>'Yakin Pasifik Tuna'!B53</f>
        <v>45271</v>
      </c>
      <c r="C28" s="360">
        <f>'Yakin Pasifik Tuna'!J53</f>
        <v>193.7</v>
      </c>
      <c r="D28" s="330">
        <f>'Yakin Pasifik Tuna'!Z53</f>
        <v>5289.871254</v>
      </c>
      <c r="E28" s="356">
        <f t="shared" si="9"/>
        <v>1024648.062</v>
      </c>
      <c r="F28" s="330"/>
      <c r="G28" s="330"/>
      <c r="H28" s="330"/>
      <c r="I28" s="355">
        <f t="shared" si="10"/>
        <v>1425</v>
      </c>
      <c r="J28" s="356">
        <f t="shared" si="11"/>
        <v>6017.169988</v>
      </c>
      <c r="K28" s="335">
        <f t="shared" si="12"/>
        <v>8574467.233</v>
      </c>
    </row>
    <row r="29" ht="15.75" customHeight="1">
      <c r="A29" s="354">
        <v>24.0</v>
      </c>
      <c r="B29" s="143">
        <v>45278.0</v>
      </c>
      <c r="C29" s="360">
        <f>'Yakin Pasifik Tuna'!J54</f>
        <v>41</v>
      </c>
      <c r="D29" s="330">
        <f>'Yakin Pasifik Tuna'!Z54</f>
        <v>5284.002792</v>
      </c>
      <c r="E29" s="356">
        <f t="shared" si="9"/>
        <v>216644.1145</v>
      </c>
      <c r="F29" s="330"/>
      <c r="G29" s="330"/>
      <c r="H29" s="330"/>
      <c r="I29" s="355">
        <f t="shared" si="10"/>
        <v>1466</v>
      </c>
      <c r="J29" s="356">
        <f t="shared" si="11"/>
        <v>5996.665312</v>
      </c>
      <c r="K29" s="335">
        <f t="shared" si="12"/>
        <v>8791111.348</v>
      </c>
    </row>
    <row r="30" ht="15.75" customHeight="1">
      <c r="A30" s="354">
        <v>25.0</v>
      </c>
      <c r="B30" s="143">
        <v>45279.0</v>
      </c>
      <c r="C30" s="360">
        <f>'Yakin Pasifik Tuna'!J55</f>
        <v>20</v>
      </c>
      <c r="D30" s="330">
        <f>'Yakin Pasifik Tuna'!Z55</f>
        <v>5281.703417</v>
      </c>
      <c r="E30" s="356">
        <f t="shared" si="9"/>
        <v>105634.0683</v>
      </c>
      <c r="F30" s="330"/>
      <c r="G30" s="330"/>
      <c r="H30" s="330"/>
      <c r="I30" s="355">
        <f t="shared" si="10"/>
        <v>1486</v>
      </c>
      <c r="J30" s="356">
        <f t="shared" si="11"/>
        <v>5987.042676</v>
      </c>
      <c r="K30" s="335">
        <f t="shared" si="12"/>
        <v>8896745.416</v>
      </c>
    </row>
    <row r="31" ht="15.75" customHeight="1">
      <c r="A31" s="354">
        <v>26.0</v>
      </c>
      <c r="B31" s="143">
        <f>'Yakin Pasifik Tuna'!B56</f>
        <v>45280</v>
      </c>
      <c r="C31" s="360" t="str">
        <f>'Yakin Pasifik Tuna'!J56</f>
        <v/>
      </c>
      <c r="D31" s="330">
        <f>'Yakin Pasifik Tuna'!Z56</f>
        <v>0</v>
      </c>
      <c r="E31" s="356">
        <f t="shared" si="9"/>
        <v>0</v>
      </c>
      <c r="F31" s="330"/>
      <c r="G31" s="330"/>
      <c r="H31" s="330"/>
      <c r="I31" s="355">
        <f t="shared" si="10"/>
        <v>1486</v>
      </c>
      <c r="J31" s="356">
        <f t="shared" si="11"/>
        <v>5987.042676</v>
      </c>
      <c r="K31" s="335">
        <f t="shared" si="12"/>
        <v>8896745.416</v>
      </c>
    </row>
    <row r="32" ht="15.75" customHeight="1">
      <c r="A32" s="354">
        <v>27.0</v>
      </c>
      <c r="B32" s="143">
        <f>'Yakin Pasifik Tuna'!B57</f>
        <v>45281</v>
      </c>
      <c r="C32" s="360" t="str">
        <f>'Yakin Pasifik Tuna'!J57</f>
        <v/>
      </c>
      <c r="D32" s="330">
        <f>'Yakin Pasifik Tuna'!Z57</f>
        <v>0</v>
      </c>
      <c r="E32" s="356">
        <f t="shared" si="9"/>
        <v>0</v>
      </c>
      <c r="F32" s="330"/>
      <c r="G32" s="330"/>
      <c r="H32" s="330"/>
      <c r="I32" s="355">
        <f t="shared" si="10"/>
        <v>1486</v>
      </c>
      <c r="J32" s="356">
        <f t="shared" si="11"/>
        <v>5987.042676</v>
      </c>
      <c r="K32" s="335">
        <f t="shared" si="12"/>
        <v>8896745.416</v>
      </c>
    </row>
    <row r="33" ht="15.75" customHeight="1">
      <c r="A33" s="354">
        <v>28.0</v>
      </c>
      <c r="B33" s="143">
        <f>'Yakin Pasifik Tuna'!B58</f>
        <v>45282</v>
      </c>
      <c r="C33" s="360" t="str">
        <f>'Yakin Pasifik Tuna'!J58</f>
        <v/>
      </c>
      <c r="D33" s="330">
        <f>'Yakin Pasifik Tuna'!Z58</f>
        <v>0</v>
      </c>
      <c r="E33" s="356">
        <f t="shared" si="9"/>
        <v>0</v>
      </c>
      <c r="F33" s="330"/>
      <c r="G33" s="330"/>
      <c r="H33" s="330"/>
      <c r="I33" s="355">
        <f t="shared" si="10"/>
        <v>1486</v>
      </c>
      <c r="J33" s="356">
        <f t="shared" si="11"/>
        <v>5987.042676</v>
      </c>
      <c r="K33" s="335">
        <f t="shared" si="12"/>
        <v>8896745.416</v>
      </c>
    </row>
    <row r="34" ht="15.75" customHeight="1">
      <c r="A34" s="354">
        <v>29.0</v>
      </c>
      <c r="B34" s="143">
        <f>'Yakin Pasifik Tuna'!B59</f>
        <v>45283</v>
      </c>
      <c r="C34" s="360">
        <f>'Yakin Pasifik Tuna'!J59</f>
        <v>62</v>
      </c>
      <c r="D34" s="330">
        <f>'Yakin Pasifik Tuna'!Z59</f>
        <v>4272.162544</v>
      </c>
      <c r="E34" s="356">
        <f t="shared" si="9"/>
        <v>264874.0777</v>
      </c>
      <c r="F34" s="330"/>
      <c r="G34" s="330"/>
      <c r="H34" s="330"/>
      <c r="I34" s="355">
        <f t="shared" si="10"/>
        <v>1548</v>
      </c>
      <c r="J34" s="356">
        <f t="shared" si="11"/>
        <v>5918.358846</v>
      </c>
      <c r="K34" s="335">
        <f t="shared" si="12"/>
        <v>9161619.494</v>
      </c>
    </row>
    <row r="35" ht="15.75" customHeight="1">
      <c r="A35" s="354">
        <v>30.0</v>
      </c>
      <c r="B35" s="143">
        <f>'Yakin Pasifik Tuna'!B60</f>
        <v>45284</v>
      </c>
      <c r="C35" s="360" t="str">
        <f>'Yakin Pasifik Tuna'!J60</f>
        <v/>
      </c>
      <c r="D35" s="330">
        <f>'Yakin Pasifik Tuna'!Z60</f>
        <v>0</v>
      </c>
      <c r="E35" s="356">
        <f t="shared" si="9"/>
        <v>0</v>
      </c>
      <c r="F35" s="330"/>
      <c r="G35" s="330"/>
      <c r="H35" s="330"/>
      <c r="I35" s="355">
        <f t="shared" si="10"/>
        <v>1548</v>
      </c>
      <c r="J35" s="356">
        <f t="shared" si="11"/>
        <v>5918.358846</v>
      </c>
      <c r="K35" s="335">
        <f t="shared" si="12"/>
        <v>9161619.494</v>
      </c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</row>
    <row r="36" ht="15.75" customHeight="1">
      <c r="A36" s="208"/>
      <c r="B36" s="329">
        <v>45289.0</v>
      </c>
      <c r="C36" s="361"/>
      <c r="D36" s="248"/>
      <c r="E36" s="240"/>
      <c r="F36" s="248">
        <v>527.3</v>
      </c>
      <c r="G36" s="248">
        <f>J35</f>
        <v>5918.358846</v>
      </c>
      <c r="H36" s="248">
        <f>F36*G36</f>
        <v>3120750.62</v>
      </c>
      <c r="I36" s="321"/>
      <c r="J36" s="240"/>
      <c r="K36" s="242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354">
        <v>31.0</v>
      </c>
      <c r="B37" s="143">
        <f>'Yakin Pasifik Tuna'!B65</f>
        <v>45295</v>
      </c>
      <c r="C37" s="360" t="str">
        <f>'Yakin Pasifik Tuna'!J65</f>
        <v/>
      </c>
      <c r="D37" s="330">
        <f>'Yakin Pasifik Tuna'!AA65</f>
        <v>0</v>
      </c>
      <c r="E37" s="356">
        <f t="shared" ref="E37:E53" si="13">C37*D37</f>
        <v>0</v>
      </c>
      <c r="F37" s="330"/>
      <c r="G37" s="330"/>
      <c r="H37" s="330"/>
      <c r="I37" s="355">
        <f>I35+C37</f>
        <v>1548</v>
      </c>
      <c r="J37" s="356">
        <f t="shared" ref="J37:J53" si="14">K37/I37</f>
        <v>5918.358846</v>
      </c>
      <c r="K37" s="335">
        <f>K35+E37</f>
        <v>9161619.494</v>
      </c>
    </row>
    <row r="38" ht="15.75" customHeight="1">
      <c r="A38" s="354">
        <v>32.0</v>
      </c>
      <c r="B38" s="143">
        <f>'Yakin Pasifik Tuna'!B66</f>
        <v>45297</v>
      </c>
      <c r="C38" s="360">
        <f>'Yakin Pasifik Tuna'!J66</f>
        <v>134.1</v>
      </c>
      <c r="D38" s="330">
        <f>'Yakin Pasifik Tuna'!AA66</f>
        <v>5281.967888</v>
      </c>
      <c r="E38" s="356">
        <f t="shared" si="13"/>
        <v>708311.8937</v>
      </c>
      <c r="F38" s="330"/>
      <c r="G38" s="330"/>
      <c r="H38" s="330"/>
      <c r="I38" s="355">
        <f t="shared" ref="I38:I53" si="15">I37+C38</f>
        <v>1682.1</v>
      </c>
      <c r="J38" s="356">
        <f t="shared" si="14"/>
        <v>5867.624629</v>
      </c>
      <c r="K38" s="335">
        <f t="shared" ref="K38:K53" si="16">K37+E38</f>
        <v>9869931.388</v>
      </c>
    </row>
    <row r="39" ht="15.75" customHeight="1">
      <c r="A39" s="354">
        <v>33.0</v>
      </c>
      <c r="B39" s="143">
        <f>'Yakin Pasifik Tuna'!B67</f>
        <v>45298</v>
      </c>
      <c r="C39" s="360">
        <f>'Yakin Pasifik Tuna'!J67</f>
        <v>16</v>
      </c>
      <c r="D39" s="330">
        <f>'Yakin Pasifik Tuna'!AA67</f>
        <v>5287.382084</v>
      </c>
      <c r="E39" s="356">
        <f t="shared" si="13"/>
        <v>84598.11335</v>
      </c>
      <c r="F39" s="330"/>
      <c r="G39" s="330"/>
      <c r="H39" s="330"/>
      <c r="I39" s="355">
        <f t="shared" si="15"/>
        <v>1698.1</v>
      </c>
      <c r="J39" s="356">
        <f t="shared" si="14"/>
        <v>5862.157412</v>
      </c>
      <c r="K39" s="335">
        <f t="shared" si="16"/>
        <v>9954529.501</v>
      </c>
    </row>
    <row r="40" ht="15.75" customHeight="1">
      <c r="A40" s="354">
        <v>34.0</v>
      </c>
      <c r="B40" s="143">
        <f>'Yakin Pasifik Tuna'!B68</f>
        <v>45300</v>
      </c>
      <c r="C40" s="360">
        <f>'Yakin Pasifik Tuna'!J68</f>
        <v>44.3</v>
      </c>
      <c r="D40" s="330">
        <f>'Yakin Pasifik Tuna'!AA68</f>
        <v>5294.157722</v>
      </c>
      <c r="E40" s="356">
        <f t="shared" si="13"/>
        <v>234531.1871</v>
      </c>
      <c r="F40" s="330"/>
      <c r="G40" s="330"/>
      <c r="H40" s="330"/>
      <c r="I40" s="355">
        <f t="shared" si="15"/>
        <v>1742.4</v>
      </c>
      <c r="J40" s="356">
        <f t="shared" si="14"/>
        <v>5847.716189</v>
      </c>
      <c r="K40" s="335">
        <f t="shared" si="16"/>
        <v>10189060.69</v>
      </c>
    </row>
    <row r="41" ht="15.75" customHeight="1">
      <c r="A41" s="354">
        <v>35.0</v>
      </c>
      <c r="B41" s="143">
        <f>'Yakin Pasifik Tuna'!B69</f>
        <v>45301</v>
      </c>
      <c r="C41" s="360">
        <f>'Yakin Pasifik Tuna'!J69</f>
        <v>11.1</v>
      </c>
      <c r="D41" s="330">
        <f>'Yakin Pasifik Tuna'!AA69</f>
        <v>5278.253368</v>
      </c>
      <c r="E41" s="356">
        <f t="shared" si="13"/>
        <v>58588.61238</v>
      </c>
      <c r="F41" s="330"/>
      <c r="G41" s="330"/>
      <c r="H41" s="330"/>
      <c r="I41" s="355">
        <f t="shared" si="15"/>
        <v>1753.5</v>
      </c>
      <c r="J41" s="356">
        <f t="shared" si="14"/>
        <v>5844.111377</v>
      </c>
      <c r="K41" s="335">
        <f t="shared" si="16"/>
        <v>10247649.3</v>
      </c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ht="15.75" customHeight="1">
      <c r="A42" s="354">
        <v>36.0</v>
      </c>
      <c r="B42" s="143">
        <f>'Yakin Pasifik Tuna'!B70</f>
        <v>45302</v>
      </c>
      <c r="C42" s="360">
        <f>'Yakin Pasifik Tuna'!J70</f>
        <v>68.3</v>
      </c>
      <c r="D42" s="330">
        <f>'Yakin Pasifik Tuna'!AA70</f>
        <v>5271.482653</v>
      </c>
      <c r="E42" s="356">
        <f t="shared" si="13"/>
        <v>360042.2652</v>
      </c>
      <c r="F42" s="330"/>
      <c r="G42" s="330"/>
      <c r="H42" s="330"/>
      <c r="I42" s="355">
        <f t="shared" si="15"/>
        <v>1821.8</v>
      </c>
      <c r="J42" s="356">
        <f t="shared" si="14"/>
        <v>5822.643301</v>
      </c>
      <c r="K42" s="335">
        <f t="shared" si="16"/>
        <v>10607691.57</v>
      </c>
    </row>
    <row r="43" ht="15.75" customHeight="1">
      <c r="A43" s="354">
        <v>37.0</v>
      </c>
      <c r="B43" s="143">
        <f>'Yakin Pasifik Tuna'!B71</f>
        <v>45304</v>
      </c>
      <c r="C43" s="360">
        <f>'Yakin Pasifik Tuna'!J71</f>
        <v>45.1</v>
      </c>
      <c r="D43" s="330">
        <f>'Yakin Pasifik Tuna'!AA71</f>
        <v>5304.048888</v>
      </c>
      <c r="E43" s="356">
        <f t="shared" si="13"/>
        <v>239212.6049</v>
      </c>
      <c r="F43" s="330"/>
      <c r="G43" s="330"/>
      <c r="H43" s="330"/>
      <c r="I43" s="355">
        <f t="shared" si="15"/>
        <v>1866.9</v>
      </c>
      <c r="J43" s="356">
        <f t="shared" si="14"/>
        <v>5810.115256</v>
      </c>
      <c r="K43" s="335">
        <f t="shared" si="16"/>
        <v>10846904.17</v>
      </c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354">
        <v>38.0</v>
      </c>
      <c r="B44" s="143">
        <f>'Yakin Pasifik Tuna'!B72</f>
        <v>45306</v>
      </c>
      <c r="C44" s="360">
        <f>'Yakin Pasifik Tuna'!J72</f>
        <v>37.5</v>
      </c>
      <c r="D44" s="330">
        <f>'Yakin Pasifik Tuna'!AA72</f>
        <v>5276.857143</v>
      </c>
      <c r="E44" s="356">
        <f t="shared" si="13"/>
        <v>197882.1429</v>
      </c>
      <c r="F44" s="330"/>
      <c r="G44" s="330"/>
      <c r="H44" s="330"/>
      <c r="I44" s="355">
        <f t="shared" si="15"/>
        <v>1904.4</v>
      </c>
      <c r="J44" s="356">
        <f t="shared" si="14"/>
        <v>5799.614741</v>
      </c>
      <c r="K44" s="335">
        <f t="shared" si="16"/>
        <v>11044786.31</v>
      </c>
    </row>
    <row r="45" ht="15.75" customHeight="1">
      <c r="A45" s="354">
        <v>39.0</v>
      </c>
      <c r="B45" s="143">
        <f>'Yakin Pasifik Tuna'!B73</f>
        <v>45307</v>
      </c>
      <c r="C45" s="360">
        <f>'Yakin Pasifik Tuna'!J73</f>
        <v>15.1</v>
      </c>
      <c r="D45" s="330">
        <f>'Yakin Pasifik Tuna'!AA73</f>
        <v>5277.244252</v>
      </c>
      <c r="E45" s="356">
        <f t="shared" si="13"/>
        <v>79686.3882</v>
      </c>
      <c r="F45" s="330"/>
      <c r="G45" s="330"/>
      <c r="H45" s="330"/>
      <c r="I45" s="355">
        <f t="shared" si="15"/>
        <v>1919.5</v>
      </c>
      <c r="J45" s="356">
        <f t="shared" si="14"/>
        <v>5795.505445</v>
      </c>
      <c r="K45" s="335">
        <f t="shared" si="16"/>
        <v>11124472.7</v>
      </c>
    </row>
    <row r="46" ht="15.75" customHeight="1">
      <c r="A46" s="354">
        <v>40.0</v>
      </c>
      <c r="B46" s="143">
        <f>'Yakin Pasifik Tuna'!B74</f>
        <v>45308</v>
      </c>
      <c r="C46" s="360">
        <f>'Yakin Pasifik Tuna'!J74</f>
        <v>31</v>
      </c>
      <c r="D46" s="330">
        <f>'Yakin Pasifik Tuna'!AA74</f>
        <v>5280.32595</v>
      </c>
      <c r="E46" s="356">
        <f t="shared" si="13"/>
        <v>163690.1045</v>
      </c>
      <c r="F46" s="330"/>
      <c r="G46" s="330"/>
      <c r="H46" s="330"/>
      <c r="I46" s="355">
        <f t="shared" si="15"/>
        <v>1950.5</v>
      </c>
      <c r="J46" s="356">
        <f t="shared" si="14"/>
        <v>5787.317511</v>
      </c>
      <c r="K46" s="335">
        <f t="shared" si="16"/>
        <v>11288162.81</v>
      </c>
    </row>
    <row r="47" ht="15.75" customHeight="1">
      <c r="A47" s="354">
        <v>41.0</v>
      </c>
      <c r="B47" s="143">
        <f>'Yakin Pasifik Tuna'!B75</f>
        <v>45309</v>
      </c>
      <c r="C47" s="360">
        <f>'Yakin Pasifik Tuna'!J75</f>
        <v>9</v>
      </c>
      <c r="D47" s="330">
        <f>'Yakin Pasifik Tuna'!AA75</f>
        <v>6815.97457</v>
      </c>
      <c r="E47" s="356">
        <f t="shared" si="13"/>
        <v>61343.77113</v>
      </c>
      <c r="F47" s="330"/>
      <c r="G47" s="330"/>
      <c r="H47" s="330"/>
      <c r="I47" s="355">
        <f t="shared" si="15"/>
        <v>1959.5</v>
      </c>
      <c r="J47" s="356">
        <f t="shared" si="14"/>
        <v>5792.042142</v>
      </c>
      <c r="K47" s="335">
        <f t="shared" si="16"/>
        <v>11349506.58</v>
      </c>
    </row>
    <row r="48" ht="15.75" customHeight="1">
      <c r="A48" s="166"/>
      <c r="B48" s="143">
        <f>'Yakin Pasifik Tuna'!B76</f>
        <v>45311</v>
      </c>
      <c r="C48" s="360">
        <f>'Yakin Pasifik Tuna'!J76</f>
        <v>10</v>
      </c>
      <c r="D48" s="330">
        <f>'Yakin Pasifik Tuna'!AA76</f>
        <v>5276.476074</v>
      </c>
      <c r="E48" s="356">
        <f t="shared" si="13"/>
        <v>52764.76074</v>
      </c>
      <c r="F48" s="237"/>
      <c r="G48" s="237"/>
      <c r="H48" s="237"/>
      <c r="I48" s="355">
        <f t="shared" si="15"/>
        <v>1969.5</v>
      </c>
      <c r="J48" s="237">
        <f t="shared" si="14"/>
        <v>5789.424391</v>
      </c>
      <c r="K48" s="335">
        <f t="shared" si="16"/>
        <v>11402271.34</v>
      </c>
    </row>
    <row r="49" ht="15.75" customHeight="1">
      <c r="A49" s="166"/>
      <c r="B49" s="143">
        <f>'Yakin Pasifik Tuna'!B77</f>
        <v>45312</v>
      </c>
      <c r="C49" s="360">
        <f>'Yakin Pasifik Tuna'!J77</f>
        <v>3.9</v>
      </c>
      <c r="D49" s="330">
        <f>'Yakin Pasifik Tuna'!AA77</f>
        <v>5276.754653</v>
      </c>
      <c r="E49" s="356">
        <f t="shared" si="13"/>
        <v>20579.34315</v>
      </c>
      <c r="F49" s="237"/>
      <c r="G49" s="237"/>
      <c r="H49" s="237"/>
      <c r="I49" s="355">
        <f t="shared" si="15"/>
        <v>1973.4</v>
      </c>
      <c r="J49" s="237">
        <f t="shared" si="14"/>
        <v>5788.41121</v>
      </c>
      <c r="K49" s="335">
        <f t="shared" si="16"/>
        <v>11422850.68</v>
      </c>
    </row>
    <row r="50" ht="15.75" customHeight="1">
      <c r="A50" s="166"/>
      <c r="B50" s="143">
        <f>'Yakin Pasifik Tuna'!B78</f>
        <v>45313</v>
      </c>
      <c r="C50" s="360">
        <f>'Yakin Pasifik Tuna'!J78</f>
        <v>6.6</v>
      </c>
      <c r="D50" s="330">
        <f>'Yakin Pasifik Tuna'!AA78</f>
        <v>5276.526278</v>
      </c>
      <c r="E50" s="356">
        <f t="shared" si="13"/>
        <v>34825.07344</v>
      </c>
      <c r="F50" s="237"/>
      <c r="G50" s="237"/>
      <c r="H50" s="237"/>
      <c r="I50" s="355">
        <f t="shared" si="15"/>
        <v>1980</v>
      </c>
      <c r="J50" s="237">
        <f t="shared" si="14"/>
        <v>5786.704927</v>
      </c>
      <c r="K50" s="335">
        <f t="shared" si="16"/>
        <v>11457675.75</v>
      </c>
    </row>
    <row r="51" ht="15.75" customHeight="1">
      <c r="A51" s="340"/>
      <c r="B51" s="143">
        <f>'Yakin Pasifik Tuna'!B79</f>
        <v>45314</v>
      </c>
      <c r="C51" s="360">
        <f>'Yakin Pasifik Tuna'!J79</f>
        <v>6.1</v>
      </c>
      <c r="D51" s="330">
        <f>'Yakin Pasifik Tuna'!AA79</f>
        <v>5276.857143</v>
      </c>
      <c r="E51" s="356">
        <f t="shared" si="13"/>
        <v>32188.82857</v>
      </c>
      <c r="F51" s="237"/>
      <c r="G51" s="237"/>
      <c r="H51" s="237"/>
      <c r="I51" s="355">
        <f t="shared" si="15"/>
        <v>1986.1</v>
      </c>
      <c r="J51" s="237">
        <f t="shared" si="14"/>
        <v>5785.139008</v>
      </c>
      <c r="K51" s="335">
        <f t="shared" si="16"/>
        <v>11489864.58</v>
      </c>
    </row>
    <row r="52" ht="15.75" customHeight="1">
      <c r="A52" s="340"/>
      <c r="B52" s="143">
        <f>'Yakin Pasifik Tuna'!B80</f>
        <v>45315</v>
      </c>
      <c r="C52" s="360">
        <f>'Yakin Pasifik Tuna'!J80</f>
        <v>3.2</v>
      </c>
      <c r="D52" s="330">
        <f>'Yakin Pasifik Tuna'!AA80</f>
        <v>5559.791496</v>
      </c>
      <c r="E52" s="356">
        <f t="shared" si="13"/>
        <v>17791.33279</v>
      </c>
      <c r="F52" s="237"/>
      <c r="G52" s="237"/>
      <c r="H52" s="237"/>
      <c r="I52" s="355">
        <f t="shared" si="15"/>
        <v>1989.3</v>
      </c>
      <c r="J52" s="237">
        <f t="shared" si="14"/>
        <v>5784.776512</v>
      </c>
      <c r="K52" s="335">
        <f t="shared" si="16"/>
        <v>11507655.92</v>
      </c>
    </row>
    <row r="53" ht="15.75" customHeight="1">
      <c r="A53" s="340"/>
      <c r="B53" s="143">
        <f>'Yakin Pasifik Tuna'!B81</f>
        <v>45318</v>
      </c>
      <c r="C53" s="360">
        <f>'Yakin Pasifik Tuna'!J81</f>
        <v>14</v>
      </c>
      <c r="D53" s="330">
        <f>'Yakin Pasifik Tuna'!AA81</f>
        <v>5284.106762</v>
      </c>
      <c r="E53" s="356">
        <f t="shared" si="13"/>
        <v>73977.49466</v>
      </c>
      <c r="F53" s="237"/>
      <c r="G53" s="237"/>
      <c r="H53" s="237"/>
      <c r="I53" s="355">
        <f t="shared" si="15"/>
        <v>2003.3</v>
      </c>
      <c r="J53" s="237">
        <f t="shared" si="14"/>
        <v>5781.277597</v>
      </c>
      <c r="K53" s="335">
        <f t="shared" si="16"/>
        <v>11581633.41</v>
      </c>
    </row>
    <row r="54" ht="15.75" customHeight="1">
      <c r="A54" s="340"/>
      <c r="B54" s="143" t="str">
        <f>'Yakin Pasifik Tuna'!B82</f>
        <v/>
      </c>
      <c r="C54" s="168"/>
      <c r="D54" s="330" t="str">
        <f>'Yakin Pasifik Tuna'!AA82</f>
        <v/>
      </c>
      <c r="E54" s="237"/>
      <c r="F54" s="237"/>
      <c r="G54" s="237"/>
      <c r="H54" s="237"/>
      <c r="I54" s="340"/>
      <c r="J54" s="237"/>
      <c r="K54" s="237"/>
    </row>
    <row r="55" ht="15.75" customHeight="1">
      <c r="A55" s="340"/>
      <c r="B55" s="340"/>
      <c r="C55" s="168"/>
      <c r="D55" s="340"/>
      <c r="E55" s="237"/>
      <c r="F55" s="237"/>
      <c r="G55" s="237"/>
      <c r="H55" s="237"/>
      <c r="I55" s="340"/>
      <c r="J55" s="237"/>
      <c r="K55" s="237"/>
    </row>
    <row r="56" ht="15.75" customHeight="1">
      <c r="A56" s="340"/>
      <c r="B56" s="340"/>
      <c r="C56" s="168"/>
      <c r="D56" s="340"/>
      <c r="E56" s="237"/>
      <c r="F56" s="237"/>
      <c r="G56" s="237"/>
      <c r="H56" s="237"/>
      <c r="I56" s="340"/>
      <c r="J56" s="237"/>
      <c r="K56" s="237"/>
    </row>
    <row r="57" ht="15.75" customHeight="1">
      <c r="C57" s="155"/>
      <c r="E57" s="124"/>
      <c r="F57" s="124"/>
      <c r="G57" s="124"/>
      <c r="H57" s="124"/>
      <c r="J57" s="124"/>
      <c r="K57" s="124"/>
    </row>
    <row r="58" ht="15.75" customHeight="1">
      <c r="C58" s="155"/>
      <c r="E58" s="124"/>
      <c r="F58" s="124"/>
      <c r="G58" s="124"/>
      <c r="H58" s="124"/>
      <c r="J58" s="124"/>
      <c r="K58" s="124"/>
    </row>
    <row r="59" ht="15.75" customHeight="1">
      <c r="C59" s="155"/>
      <c r="E59" s="124"/>
      <c r="F59" s="124"/>
      <c r="G59" s="124"/>
      <c r="H59" s="124"/>
      <c r="J59" s="124"/>
      <c r="K59" s="124"/>
    </row>
    <row r="60" ht="15.75" customHeight="1">
      <c r="C60" s="155"/>
      <c r="E60" s="124"/>
      <c r="F60" s="124"/>
      <c r="G60" s="124"/>
      <c r="H60" s="124"/>
      <c r="J60" s="124"/>
      <c r="K60" s="124"/>
    </row>
    <row r="61" ht="15.75" customHeight="1">
      <c r="C61" s="155"/>
      <c r="E61" s="124"/>
      <c r="F61" s="124"/>
      <c r="G61" s="124"/>
      <c r="H61" s="124"/>
      <c r="J61" s="124"/>
      <c r="K61" s="124"/>
    </row>
    <row r="62" ht="15.75" customHeight="1">
      <c r="C62" s="155"/>
      <c r="E62" s="124"/>
      <c r="F62" s="124"/>
      <c r="G62" s="124"/>
      <c r="H62" s="124"/>
      <c r="J62" s="124"/>
      <c r="K62" s="124"/>
    </row>
    <row r="63" ht="15.75" customHeight="1">
      <c r="C63" s="155"/>
      <c r="E63" s="124"/>
      <c r="F63" s="124"/>
      <c r="G63" s="124"/>
      <c r="H63" s="124"/>
      <c r="J63" s="124"/>
      <c r="K63" s="124"/>
    </row>
    <row r="64" ht="15.75" customHeight="1">
      <c r="C64" s="155"/>
      <c r="E64" s="124"/>
      <c r="F64" s="124"/>
      <c r="G64" s="124"/>
      <c r="H64" s="124"/>
      <c r="J64" s="124"/>
      <c r="K64" s="124"/>
    </row>
    <row r="65" ht="15.75" customHeight="1">
      <c r="C65" s="155"/>
      <c r="E65" s="124"/>
      <c r="F65" s="124"/>
      <c r="G65" s="124"/>
      <c r="H65" s="124"/>
      <c r="J65" s="124"/>
      <c r="K65" s="124"/>
    </row>
    <row r="66" ht="15.75" customHeight="1">
      <c r="C66" s="155"/>
      <c r="E66" s="124"/>
      <c r="F66" s="124"/>
      <c r="G66" s="124"/>
      <c r="H66" s="124"/>
      <c r="J66" s="124"/>
      <c r="K66" s="124"/>
    </row>
    <row r="67" ht="15.75" customHeight="1">
      <c r="C67" s="155"/>
      <c r="E67" s="124"/>
      <c r="F67" s="124"/>
      <c r="G67" s="124"/>
      <c r="H67" s="124"/>
      <c r="J67" s="124"/>
      <c r="K67" s="124"/>
    </row>
    <row r="68" ht="15.75" customHeight="1">
      <c r="C68" s="155"/>
      <c r="E68" s="124"/>
      <c r="F68" s="124"/>
      <c r="G68" s="124"/>
      <c r="H68" s="124"/>
      <c r="J68" s="124"/>
      <c r="K68" s="124"/>
    </row>
    <row r="69" ht="15.75" customHeight="1">
      <c r="C69" s="155"/>
      <c r="E69" s="124"/>
      <c r="F69" s="124"/>
      <c r="G69" s="124"/>
      <c r="H69" s="124"/>
      <c r="J69" s="124"/>
      <c r="K69" s="124"/>
    </row>
    <row r="70" ht="15.75" customHeight="1">
      <c r="C70" s="155"/>
      <c r="E70" s="124"/>
      <c r="F70" s="124"/>
      <c r="G70" s="124"/>
      <c r="H70" s="124"/>
      <c r="J70" s="124"/>
      <c r="K70" s="124"/>
    </row>
    <row r="71" ht="15.75" customHeight="1">
      <c r="C71" s="155"/>
      <c r="E71" s="124"/>
      <c r="F71" s="124"/>
      <c r="G71" s="124"/>
      <c r="H71" s="124"/>
      <c r="J71" s="124"/>
      <c r="K71" s="124"/>
    </row>
    <row r="72" ht="15.75" customHeight="1">
      <c r="C72" s="155"/>
      <c r="E72" s="124"/>
      <c r="F72" s="124"/>
      <c r="G72" s="124"/>
      <c r="H72" s="124"/>
      <c r="J72" s="124"/>
      <c r="K72" s="124"/>
    </row>
    <row r="73" ht="15.75" customHeight="1">
      <c r="C73" s="155"/>
      <c r="E73" s="124"/>
      <c r="F73" s="124"/>
      <c r="G73" s="124"/>
      <c r="H73" s="124"/>
      <c r="J73" s="124"/>
      <c r="K73" s="124"/>
    </row>
    <row r="74" ht="15.75" customHeight="1">
      <c r="C74" s="155"/>
      <c r="E74" s="124"/>
      <c r="F74" s="124"/>
      <c r="G74" s="124"/>
      <c r="H74" s="124"/>
      <c r="J74" s="124"/>
      <c r="K74" s="124"/>
    </row>
    <row r="75" ht="15.75" customHeight="1">
      <c r="C75" s="155"/>
      <c r="E75" s="124"/>
      <c r="F75" s="124"/>
      <c r="G75" s="124"/>
      <c r="H75" s="124"/>
      <c r="J75" s="124"/>
      <c r="K75" s="124"/>
    </row>
    <row r="76" ht="15.75" customHeight="1">
      <c r="C76" s="155"/>
      <c r="E76" s="124"/>
      <c r="F76" s="124"/>
      <c r="G76" s="124"/>
      <c r="H76" s="124"/>
      <c r="J76" s="124"/>
      <c r="K76" s="124"/>
    </row>
    <row r="77" ht="15.75" customHeight="1">
      <c r="C77" s="155"/>
      <c r="E77" s="124"/>
      <c r="F77" s="124"/>
      <c r="G77" s="124"/>
      <c r="H77" s="124"/>
      <c r="J77" s="124"/>
      <c r="K77" s="124"/>
    </row>
    <row r="78" ht="15.75" customHeight="1">
      <c r="C78" s="155"/>
      <c r="E78" s="124"/>
      <c r="F78" s="124"/>
      <c r="G78" s="124"/>
      <c r="H78" s="124"/>
      <c r="J78" s="124"/>
      <c r="K78" s="124"/>
    </row>
    <row r="79" ht="15.75" customHeight="1">
      <c r="C79" s="155"/>
      <c r="E79" s="124"/>
      <c r="F79" s="124"/>
      <c r="G79" s="124"/>
      <c r="H79" s="124"/>
      <c r="J79" s="124"/>
      <c r="K79" s="124"/>
    </row>
    <row r="80" ht="15.75" customHeight="1">
      <c r="C80" s="155"/>
      <c r="E80" s="124"/>
      <c r="F80" s="124"/>
      <c r="G80" s="124"/>
      <c r="H80" s="124"/>
      <c r="J80" s="124"/>
      <c r="K80" s="124"/>
    </row>
    <row r="81" ht="15.75" customHeight="1">
      <c r="C81" s="155"/>
      <c r="E81" s="124"/>
      <c r="F81" s="124"/>
      <c r="G81" s="124"/>
      <c r="H81" s="124"/>
      <c r="J81" s="124"/>
      <c r="K81" s="124"/>
    </row>
    <row r="82" ht="15.75" customHeight="1">
      <c r="C82" s="155"/>
      <c r="E82" s="124"/>
      <c r="F82" s="124"/>
      <c r="G82" s="124"/>
      <c r="H82" s="124"/>
      <c r="J82" s="124"/>
      <c r="K82" s="124"/>
    </row>
    <row r="83" ht="15.75" customHeight="1">
      <c r="C83" s="155"/>
      <c r="E83" s="124"/>
      <c r="F83" s="124"/>
      <c r="G83" s="124"/>
      <c r="H83" s="124"/>
      <c r="J83" s="124"/>
      <c r="K83" s="124"/>
    </row>
    <row r="84" ht="15.75" customHeight="1">
      <c r="C84" s="155"/>
      <c r="E84" s="124"/>
      <c r="F84" s="124"/>
      <c r="G84" s="124"/>
      <c r="H84" s="124"/>
      <c r="J84" s="124"/>
      <c r="K84" s="124"/>
    </row>
    <row r="85" ht="15.75" customHeight="1">
      <c r="C85" s="155"/>
      <c r="E85" s="124"/>
      <c r="F85" s="124"/>
      <c r="G85" s="124"/>
      <c r="H85" s="124"/>
      <c r="J85" s="124"/>
      <c r="K85" s="124"/>
    </row>
    <row r="86" ht="15.75" customHeight="1">
      <c r="C86" s="155"/>
      <c r="E86" s="124"/>
      <c r="F86" s="124"/>
      <c r="G86" s="124"/>
      <c r="H86" s="124"/>
      <c r="J86" s="124"/>
      <c r="K86" s="124"/>
    </row>
    <row r="87" ht="15.75" customHeight="1">
      <c r="C87" s="155"/>
      <c r="E87" s="124"/>
      <c r="F87" s="124"/>
      <c r="G87" s="124"/>
      <c r="H87" s="124"/>
      <c r="J87" s="124"/>
      <c r="K87" s="124"/>
    </row>
    <row r="88" ht="15.75" customHeight="1">
      <c r="C88" s="155"/>
      <c r="E88" s="124"/>
      <c r="F88" s="124"/>
      <c r="G88" s="124"/>
      <c r="H88" s="124"/>
      <c r="J88" s="124"/>
      <c r="K88" s="124"/>
    </row>
    <row r="89" ht="15.75" customHeight="1">
      <c r="C89" s="155"/>
      <c r="E89" s="124"/>
      <c r="F89" s="124"/>
      <c r="G89" s="124"/>
      <c r="H89" s="124"/>
      <c r="J89" s="124"/>
      <c r="K89" s="124"/>
    </row>
    <row r="90" ht="15.75" customHeight="1">
      <c r="C90" s="155"/>
      <c r="E90" s="124"/>
      <c r="F90" s="124"/>
      <c r="G90" s="124"/>
      <c r="H90" s="124"/>
      <c r="J90" s="124"/>
      <c r="K90" s="124"/>
    </row>
    <row r="91" ht="15.75" customHeight="1">
      <c r="C91" s="155"/>
      <c r="E91" s="124"/>
      <c r="F91" s="124"/>
      <c r="G91" s="124"/>
      <c r="H91" s="124"/>
      <c r="J91" s="124"/>
      <c r="K91" s="124"/>
    </row>
    <row r="92" ht="15.75" customHeight="1">
      <c r="C92" s="155"/>
      <c r="E92" s="124"/>
      <c r="F92" s="124"/>
      <c r="G92" s="124"/>
      <c r="H92" s="124"/>
      <c r="J92" s="124"/>
      <c r="K92" s="124"/>
    </row>
    <row r="93" ht="15.75" customHeight="1">
      <c r="C93" s="155"/>
      <c r="E93" s="124"/>
      <c r="F93" s="124"/>
      <c r="G93" s="124"/>
      <c r="H93" s="124"/>
      <c r="J93" s="124"/>
      <c r="K93" s="124"/>
    </row>
    <row r="94" ht="15.75" customHeight="1">
      <c r="C94" s="155"/>
      <c r="E94" s="124"/>
      <c r="F94" s="124"/>
      <c r="G94" s="124"/>
      <c r="H94" s="124"/>
      <c r="J94" s="124"/>
      <c r="K94" s="124"/>
    </row>
    <row r="95" ht="15.75" customHeight="1">
      <c r="C95" s="155"/>
      <c r="E95" s="124"/>
      <c r="F95" s="124"/>
      <c r="G95" s="124"/>
      <c r="H95" s="124"/>
      <c r="J95" s="124"/>
      <c r="K95" s="124"/>
    </row>
    <row r="96" ht="15.75" customHeight="1">
      <c r="C96" s="155"/>
      <c r="E96" s="124"/>
      <c r="F96" s="124"/>
      <c r="G96" s="124"/>
      <c r="H96" s="124"/>
      <c r="J96" s="124"/>
      <c r="K96" s="124"/>
    </row>
    <row r="97" ht="15.75" customHeight="1">
      <c r="C97" s="155"/>
      <c r="E97" s="124"/>
      <c r="F97" s="124"/>
      <c r="G97" s="124"/>
      <c r="H97" s="124"/>
      <c r="J97" s="124"/>
      <c r="K97" s="124"/>
    </row>
    <row r="98" ht="15.75" customHeight="1">
      <c r="C98" s="155"/>
      <c r="E98" s="124"/>
      <c r="F98" s="124"/>
      <c r="G98" s="124"/>
      <c r="H98" s="124"/>
      <c r="J98" s="124"/>
      <c r="K98" s="124"/>
    </row>
    <row r="99" ht="15.75" customHeight="1">
      <c r="C99" s="155"/>
      <c r="E99" s="124"/>
      <c r="F99" s="124"/>
      <c r="G99" s="124"/>
      <c r="H99" s="124"/>
      <c r="J99" s="124"/>
      <c r="K99" s="124"/>
    </row>
    <row r="100" ht="15.75" customHeight="1">
      <c r="C100" s="155"/>
      <c r="E100" s="124"/>
      <c r="F100" s="124"/>
      <c r="G100" s="124"/>
      <c r="H100" s="124"/>
      <c r="J100" s="124"/>
      <c r="K100" s="124"/>
    </row>
    <row r="101" ht="15.75" customHeight="1">
      <c r="C101" s="155"/>
      <c r="E101" s="124"/>
      <c r="F101" s="124"/>
      <c r="G101" s="124"/>
      <c r="H101" s="124"/>
      <c r="J101" s="124"/>
      <c r="K101" s="124"/>
    </row>
    <row r="102" ht="15.75" customHeight="1">
      <c r="C102" s="155"/>
      <c r="E102" s="124"/>
      <c r="F102" s="124"/>
      <c r="G102" s="124"/>
      <c r="H102" s="124"/>
      <c r="J102" s="124"/>
      <c r="K102" s="124"/>
    </row>
    <row r="103" ht="15.75" customHeight="1">
      <c r="C103" s="155"/>
      <c r="E103" s="124"/>
      <c r="F103" s="124"/>
      <c r="G103" s="124"/>
      <c r="H103" s="124"/>
      <c r="J103" s="124"/>
      <c r="K103" s="124"/>
    </row>
    <row r="104" ht="15.75" customHeight="1">
      <c r="C104" s="155"/>
      <c r="E104" s="124"/>
      <c r="F104" s="124"/>
      <c r="G104" s="124"/>
      <c r="H104" s="124"/>
      <c r="J104" s="124"/>
      <c r="K104" s="124"/>
    </row>
    <row r="105" ht="15.75" customHeight="1">
      <c r="C105" s="155"/>
      <c r="E105" s="124"/>
      <c r="F105" s="124"/>
      <c r="G105" s="124"/>
      <c r="H105" s="124"/>
      <c r="J105" s="124"/>
      <c r="K105" s="124"/>
    </row>
    <row r="106" ht="15.75" customHeight="1">
      <c r="C106" s="155"/>
      <c r="E106" s="124"/>
      <c r="F106" s="124"/>
      <c r="G106" s="124"/>
      <c r="H106" s="124"/>
      <c r="J106" s="124"/>
      <c r="K106" s="124"/>
    </row>
    <row r="107" ht="15.75" customHeight="1">
      <c r="C107" s="155"/>
      <c r="E107" s="124"/>
      <c r="F107" s="124"/>
      <c r="G107" s="124"/>
      <c r="H107" s="124"/>
      <c r="J107" s="124"/>
      <c r="K107" s="124"/>
    </row>
    <row r="108" ht="15.75" customHeight="1">
      <c r="C108" s="155"/>
      <c r="E108" s="124"/>
      <c r="F108" s="124"/>
      <c r="G108" s="124"/>
      <c r="H108" s="124"/>
      <c r="J108" s="124"/>
      <c r="K108" s="124"/>
    </row>
    <row r="109" ht="15.75" customHeight="1">
      <c r="C109" s="155"/>
      <c r="E109" s="124"/>
      <c r="F109" s="124"/>
      <c r="G109" s="124"/>
      <c r="H109" s="124"/>
      <c r="J109" s="124"/>
      <c r="K109" s="124"/>
    </row>
    <row r="110" ht="15.75" customHeight="1">
      <c r="C110" s="155"/>
      <c r="E110" s="124"/>
      <c r="F110" s="124"/>
      <c r="G110" s="124"/>
      <c r="H110" s="124"/>
      <c r="J110" s="124"/>
      <c r="K110" s="124"/>
    </row>
    <row r="111" ht="15.75" customHeight="1">
      <c r="C111" s="155"/>
      <c r="E111" s="124"/>
      <c r="F111" s="124"/>
      <c r="G111" s="124"/>
      <c r="H111" s="124"/>
      <c r="J111" s="124"/>
      <c r="K111" s="124"/>
    </row>
    <row r="112" ht="15.75" customHeight="1">
      <c r="C112" s="155"/>
      <c r="E112" s="124"/>
      <c r="F112" s="124"/>
      <c r="G112" s="124"/>
      <c r="H112" s="124"/>
      <c r="J112" s="124"/>
      <c r="K112" s="124"/>
    </row>
    <row r="113" ht="15.75" customHeight="1">
      <c r="C113" s="155"/>
      <c r="E113" s="124"/>
      <c r="F113" s="124"/>
      <c r="G113" s="124"/>
      <c r="H113" s="124"/>
      <c r="J113" s="124"/>
      <c r="K113" s="124"/>
    </row>
    <row r="114" ht="15.75" customHeight="1">
      <c r="C114" s="155"/>
      <c r="E114" s="124"/>
      <c r="F114" s="124"/>
      <c r="G114" s="124"/>
      <c r="H114" s="124"/>
      <c r="J114" s="124"/>
      <c r="K114" s="124"/>
    </row>
    <row r="115" ht="15.75" customHeight="1">
      <c r="C115" s="155"/>
      <c r="E115" s="124"/>
      <c r="F115" s="124"/>
      <c r="G115" s="124"/>
      <c r="H115" s="124"/>
      <c r="J115" s="124"/>
      <c r="K115" s="124"/>
    </row>
    <row r="116" ht="15.75" customHeight="1">
      <c r="C116" s="155"/>
      <c r="E116" s="124"/>
      <c r="F116" s="124"/>
      <c r="G116" s="124"/>
      <c r="H116" s="124"/>
      <c r="J116" s="124"/>
      <c r="K116" s="124"/>
    </row>
    <row r="117" ht="15.75" customHeight="1">
      <c r="C117" s="155"/>
      <c r="E117" s="124"/>
      <c r="F117" s="124"/>
      <c r="G117" s="124"/>
      <c r="H117" s="124"/>
      <c r="J117" s="124"/>
      <c r="K117" s="124"/>
    </row>
    <row r="118" ht="15.75" customHeight="1">
      <c r="C118" s="155"/>
      <c r="E118" s="124"/>
      <c r="F118" s="124"/>
      <c r="G118" s="124"/>
      <c r="H118" s="124"/>
      <c r="J118" s="124"/>
      <c r="K118" s="124"/>
    </row>
    <row r="119" ht="15.75" customHeight="1">
      <c r="C119" s="155"/>
      <c r="E119" s="124"/>
      <c r="F119" s="124"/>
      <c r="G119" s="124"/>
      <c r="H119" s="124"/>
      <c r="J119" s="124"/>
      <c r="K119" s="124"/>
    </row>
    <row r="120" ht="15.75" customHeight="1">
      <c r="C120" s="155"/>
      <c r="E120" s="124"/>
      <c r="F120" s="124"/>
      <c r="G120" s="124"/>
      <c r="H120" s="124"/>
      <c r="J120" s="124"/>
      <c r="K120" s="124"/>
    </row>
    <row r="121" ht="15.75" customHeight="1">
      <c r="C121" s="155"/>
      <c r="E121" s="124"/>
      <c r="F121" s="124"/>
      <c r="G121" s="124"/>
      <c r="H121" s="124"/>
      <c r="J121" s="124"/>
      <c r="K121" s="124"/>
    </row>
    <row r="122" ht="15.75" customHeight="1">
      <c r="C122" s="155"/>
      <c r="E122" s="124"/>
      <c r="F122" s="124"/>
      <c r="G122" s="124"/>
      <c r="H122" s="124"/>
      <c r="J122" s="124"/>
      <c r="K122" s="124"/>
    </row>
    <row r="123" ht="15.75" customHeight="1">
      <c r="C123" s="155"/>
      <c r="E123" s="124"/>
      <c r="F123" s="124"/>
      <c r="G123" s="124"/>
      <c r="H123" s="124"/>
      <c r="J123" s="124"/>
      <c r="K123" s="124"/>
    </row>
    <row r="124" ht="15.75" customHeight="1">
      <c r="C124" s="155"/>
      <c r="E124" s="124"/>
      <c r="F124" s="124"/>
      <c r="G124" s="124"/>
      <c r="H124" s="124"/>
      <c r="J124" s="124"/>
      <c r="K124" s="124"/>
    </row>
    <row r="125" ht="15.75" customHeight="1">
      <c r="C125" s="155"/>
      <c r="E125" s="124"/>
      <c r="F125" s="124"/>
      <c r="G125" s="124"/>
      <c r="H125" s="124"/>
      <c r="J125" s="124"/>
      <c r="K125" s="124"/>
    </row>
    <row r="126" ht="15.75" customHeight="1">
      <c r="C126" s="155"/>
      <c r="E126" s="124"/>
      <c r="F126" s="124"/>
      <c r="G126" s="124"/>
      <c r="H126" s="124"/>
      <c r="J126" s="124"/>
      <c r="K126" s="124"/>
    </row>
    <row r="127" ht="15.75" customHeight="1">
      <c r="C127" s="155"/>
      <c r="E127" s="124"/>
      <c r="F127" s="124"/>
      <c r="G127" s="124"/>
      <c r="H127" s="124"/>
      <c r="J127" s="124"/>
      <c r="K127" s="124"/>
    </row>
    <row r="128" ht="15.75" customHeight="1">
      <c r="C128" s="155"/>
      <c r="E128" s="124"/>
      <c r="F128" s="124"/>
      <c r="G128" s="124"/>
      <c r="H128" s="124"/>
      <c r="J128" s="124"/>
      <c r="K128" s="124"/>
    </row>
    <row r="129" ht="15.75" customHeight="1">
      <c r="C129" s="155"/>
      <c r="E129" s="124"/>
      <c r="F129" s="124"/>
      <c r="G129" s="124"/>
      <c r="H129" s="124"/>
      <c r="J129" s="124"/>
      <c r="K129" s="124"/>
    </row>
    <row r="130" ht="15.75" customHeight="1">
      <c r="C130" s="155"/>
      <c r="E130" s="124"/>
      <c r="F130" s="124"/>
      <c r="G130" s="124"/>
      <c r="H130" s="124"/>
      <c r="J130" s="124"/>
      <c r="K130" s="124"/>
    </row>
    <row r="131" ht="15.75" customHeight="1">
      <c r="C131" s="155"/>
      <c r="E131" s="124"/>
      <c r="F131" s="124"/>
      <c r="G131" s="124"/>
      <c r="H131" s="124"/>
      <c r="J131" s="124"/>
      <c r="K131" s="124"/>
    </row>
    <row r="132" ht="15.75" customHeight="1">
      <c r="C132" s="155"/>
      <c r="E132" s="124"/>
      <c r="F132" s="124"/>
      <c r="G132" s="124"/>
      <c r="H132" s="124"/>
      <c r="J132" s="124"/>
      <c r="K132" s="124"/>
    </row>
    <row r="133" ht="15.75" customHeight="1">
      <c r="C133" s="155"/>
      <c r="E133" s="124"/>
      <c r="F133" s="124"/>
      <c r="G133" s="124"/>
      <c r="H133" s="124"/>
      <c r="J133" s="124"/>
      <c r="K133" s="124"/>
    </row>
    <row r="134" ht="15.75" customHeight="1">
      <c r="C134" s="155"/>
      <c r="E134" s="124"/>
      <c r="F134" s="124"/>
      <c r="G134" s="124"/>
      <c r="H134" s="124"/>
      <c r="J134" s="124"/>
      <c r="K134" s="124"/>
    </row>
    <row r="135" ht="15.75" customHeight="1">
      <c r="C135" s="155"/>
      <c r="E135" s="124"/>
      <c r="F135" s="124"/>
      <c r="G135" s="124"/>
      <c r="H135" s="124"/>
      <c r="J135" s="124"/>
      <c r="K135" s="124"/>
    </row>
    <row r="136" ht="15.75" customHeight="1">
      <c r="C136" s="155"/>
      <c r="E136" s="124"/>
      <c r="F136" s="124"/>
      <c r="G136" s="124"/>
      <c r="H136" s="124"/>
      <c r="J136" s="124"/>
      <c r="K136" s="124"/>
    </row>
    <row r="137" ht="15.75" customHeight="1">
      <c r="C137" s="155"/>
      <c r="E137" s="124"/>
      <c r="F137" s="124"/>
      <c r="G137" s="124"/>
      <c r="H137" s="124"/>
      <c r="J137" s="124"/>
      <c r="K137" s="124"/>
    </row>
    <row r="138" ht="15.75" customHeight="1">
      <c r="C138" s="155"/>
      <c r="E138" s="124"/>
      <c r="F138" s="124"/>
      <c r="G138" s="124"/>
      <c r="H138" s="124"/>
      <c r="J138" s="124"/>
      <c r="K138" s="124"/>
    </row>
    <row r="139" ht="15.75" customHeight="1">
      <c r="C139" s="155"/>
      <c r="E139" s="124"/>
      <c r="F139" s="124"/>
      <c r="G139" s="124"/>
      <c r="H139" s="124"/>
      <c r="J139" s="124"/>
      <c r="K139" s="124"/>
    </row>
    <row r="140" ht="15.75" customHeight="1">
      <c r="C140" s="155"/>
      <c r="E140" s="124"/>
      <c r="F140" s="124"/>
      <c r="G140" s="124"/>
      <c r="H140" s="124"/>
      <c r="J140" s="124"/>
      <c r="K140" s="124"/>
    </row>
    <row r="141" ht="15.75" customHeight="1">
      <c r="C141" s="155"/>
      <c r="E141" s="124"/>
      <c r="F141" s="124"/>
      <c r="G141" s="124"/>
      <c r="H141" s="124"/>
      <c r="J141" s="124"/>
      <c r="K141" s="124"/>
    </row>
    <row r="142" ht="15.75" customHeight="1">
      <c r="C142" s="155"/>
      <c r="E142" s="124"/>
      <c r="F142" s="124"/>
      <c r="G142" s="124"/>
      <c r="H142" s="124"/>
      <c r="J142" s="124"/>
      <c r="K142" s="124"/>
    </row>
    <row r="143" ht="15.75" customHeight="1">
      <c r="C143" s="155"/>
      <c r="E143" s="124"/>
      <c r="F143" s="124"/>
      <c r="G143" s="124"/>
      <c r="H143" s="124"/>
      <c r="J143" s="124"/>
      <c r="K143" s="124"/>
    </row>
    <row r="144" ht="15.75" customHeight="1">
      <c r="C144" s="155"/>
      <c r="E144" s="124"/>
      <c r="F144" s="124"/>
      <c r="G144" s="124"/>
      <c r="H144" s="124"/>
      <c r="J144" s="124"/>
      <c r="K144" s="124"/>
    </row>
    <row r="145" ht="15.75" customHeight="1">
      <c r="C145" s="155"/>
      <c r="E145" s="124"/>
      <c r="F145" s="124"/>
      <c r="G145" s="124"/>
      <c r="H145" s="124"/>
      <c r="J145" s="124"/>
      <c r="K145" s="124"/>
    </row>
    <row r="146" ht="15.75" customHeight="1">
      <c r="C146" s="155"/>
      <c r="E146" s="124"/>
      <c r="F146" s="124"/>
      <c r="G146" s="124"/>
      <c r="H146" s="124"/>
      <c r="J146" s="124"/>
      <c r="K146" s="124"/>
    </row>
    <row r="147" ht="15.75" customHeight="1">
      <c r="C147" s="155"/>
      <c r="E147" s="124"/>
      <c r="F147" s="124"/>
      <c r="G147" s="124"/>
      <c r="H147" s="124"/>
      <c r="J147" s="124"/>
      <c r="K147" s="124"/>
    </row>
    <row r="148" ht="15.75" customHeight="1">
      <c r="C148" s="155"/>
      <c r="E148" s="124"/>
      <c r="F148" s="124"/>
      <c r="G148" s="124"/>
      <c r="H148" s="124"/>
      <c r="J148" s="124"/>
      <c r="K148" s="124"/>
    </row>
    <row r="149" ht="15.75" customHeight="1">
      <c r="C149" s="155"/>
      <c r="E149" s="124"/>
      <c r="F149" s="124"/>
      <c r="G149" s="124"/>
      <c r="H149" s="124"/>
      <c r="J149" s="124"/>
      <c r="K149" s="124"/>
    </row>
    <row r="150" ht="15.75" customHeight="1">
      <c r="C150" s="155"/>
      <c r="E150" s="124"/>
      <c r="F150" s="124"/>
      <c r="G150" s="124"/>
      <c r="H150" s="124"/>
      <c r="J150" s="124"/>
      <c r="K150" s="124"/>
    </row>
    <row r="151" ht="15.75" customHeight="1">
      <c r="C151" s="155"/>
      <c r="E151" s="124"/>
      <c r="F151" s="124"/>
      <c r="G151" s="124"/>
      <c r="H151" s="124"/>
      <c r="J151" s="124"/>
      <c r="K151" s="124"/>
    </row>
    <row r="152" ht="15.75" customHeight="1">
      <c r="C152" s="155"/>
      <c r="E152" s="124"/>
      <c r="F152" s="124"/>
      <c r="G152" s="124"/>
      <c r="H152" s="124"/>
      <c r="J152" s="124"/>
      <c r="K152" s="124"/>
    </row>
    <row r="153" ht="15.75" customHeight="1">
      <c r="C153" s="155"/>
      <c r="E153" s="124"/>
      <c r="F153" s="124"/>
      <c r="G153" s="124"/>
      <c r="H153" s="124"/>
      <c r="J153" s="124"/>
      <c r="K153" s="124"/>
    </row>
    <row r="154" ht="15.75" customHeight="1">
      <c r="C154" s="155"/>
      <c r="E154" s="124"/>
      <c r="F154" s="124"/>
      <c r="G154" s="124"/>
      <c r="H154" s="124"/>
      <c r="J154" s="124"/>
      <c r="K154" s="124"/>
    </row>
    <row r="155" ht="15.75" customHeight="1">
      <c r="C155" s="155"/>
      <c r="E155" s="124"/>
      <c r="F155" s="124"/>
      <c r="G155" s="124"/>
      <c r="H155" s="124"/>
      <c r="J155" s="124"/>
      <c r="K155" s="124"/>
    </row>
    <row r="156" ht="15.75" customHeight="1">
      <c r="C156" s="155"/>
      <c r="E156" s="124"/>
      <c r="F156" s="124"/>
      <c r="G156" s="124"/>
      <c r="H156" s="124"/>
      <c r="J156" s="124"/>
      <c r="K156" s="124"/>
    </row>
    <row r="157" ht="15.75" customHeight="1">
      <c r="C157" s="155"/>
      <c r="E157" s="124"/>
      <c r="F157" s="124"/>
      <c r="G157" s="124"/>
      <c r="H157" s="124"/>
      <c r="J157" s="124"/>
      <c r="K157" s="124"/>
    </row>
    <row r="158" ht="15.75" customHeight="1">
      <c r="C158" s="155"/>
      <c r="E158" s="124"/>
      <c r="F158" s="124"/>
      <c r="G158" s="124"/>
      <c r="H158" s="124"/>
      <c r="J158" s="124"/>
      <c r="K158" s="124"/>
    </row>
    <row r="159" ht="15.75" customHeight="1">
      <c r="C159" s="155"/>
      <c r="E159" s="124"/>
      <c r="F159" s="124"/>
      <c r="G159" s="124"/>
      <c r="H159" s="124"/>
      <c r="J159" s="124"/>
      <c r="K159" s="124"/>
    </row>
    <row r="160" ht="15.75" customHeight="1">
      <c r="C160" s="155"/>
      <c r="E160" s="124"/>
      <c r="F160" s="124"/>
      <c r="G160" s="124"/>
      <c r="H160" s="124"/>
      <c r="J160" s="124"/>
      <c r="K160" s="124"/>
    </row>
    <row r="161" ht="15.75" customHeight="1">
      <c r="C161" s="155"/>
      <c r="E161" s="124"/>
      <c r="F161" s="124"/>
      <c r="G161" s="124"/>
      <c r="H161" s="124"/>
      <c r="J161" s="124"/>
      <c r="K161" s="124"/>
    </row>
    <row r="162" ht="15.75" customHeight="1">
      <c r="C162" s="155"/>
      <c r="E162" s="124"/>
      <c r="F162" s="124"/>
      <c r="G162" s="124"/>
      <c r="H162" s="124"/>
      <c r="J162" s="124"/>
      <c r="K162" s="124"/>
    </row>
    <row r="163" ht="15.75" customHeight="1">
      <c r="C163" s="155"/>
      <c r="E163" s="124"/>
      <c r="F163" s="124"/>
      <c r="G163" s="124"/>
      <c r="H163" s="124"/>
      <c r="J163" s="124"/>
      <c r="K163" s="124"/>
    </row>
    <row r="164" ht="15.75" customHeight="1">
      <c r="C164" s="155"/>
      <c r="E164" s="124"/>
      <c r="F164" s="124"/>
      <c r="G164" s="124"/>
      <c r="H164" s="124"/>
      <c r="J164" s="124"/>
      <c r="K164" s="124"/>
    </row>
    <row r="165" ht="15.75" customHeight="1">
      <c r="C165" s="155"/>
      <c r="E165" s="124"/>
      <c r="F165" s="124"/>
      <c r="G165" s="124"/>
      <c r="H165" s="124"/>
      <c r="J165" s="124"/>
      <c r="K165" s="124"/>
    </row>
    <row r="166" ht="15.75" customHeight="1">
      <c r="C166" s="155"/>
      <c r="E166" s="124"/>
      <c r="F166" s="124"/>
      <c r="G166" s="124"/>
      <c r="H166" s="124"/>
      <c r="J166" s="124"/>
      <c r="K166" s="124"/>
    </row>
    <row r="167" ht="15.75" customHeight="1">
      <c r="C167" s="155"/>
      <c r="E167" s="124"/>
      <c r="F167" s="124"/>
      <c r="G167" s="124"/>
      <c r="H167" s="124"/>
      <c r="J167" s="124"/>
      <c r="K167" s="124"/>
    </row>
    <row r="168" ht="15.75" customHeight="1">
      <c r="C168" s="155"/>
      <c r="E168" s="124"/>
      <c r="F168" s="124"/>
      <c r="G168" s="124"/>
      <c r="H168" s="124"/>
      <c r="J168" s="124"/>
      <c r="K168" s="124"/>
    </row>
    <row r="169" ht="15.75" customHeight="1">
      <c r="C169" s="155"/>
      <c r="E169" s="124"/>
      <c r="F169" s="124"/>
      <c r="G169" s="124"/>
      <c r="H169" s="124"/>
      <c r="J169" s="124"/>
      <c r="K169" s="124"/>
    </row>
    <row r="170" ht="15.75" customHeight="1">
      <c r="C170" s="155"/>
      <c r="E170" s="124"/>
      <c r="F170" s="124"/>
      <c r="G170" s="124"/>
      <c r="H170" s="124"/>
      <c r="J170" s="124"/>
      <c r="K170" s="124"/>
    </row>
    <row r="171" ht="15.75" customHeight="1">
      <c r="C171" s="155"/>
      <c r="E171" s="124"/>
      <c r="F171" s="124"/>
      <c r="G171" s="124"/>
      <c r="H171" s="124"/>
      <c r="J171" s="124"/>
      <c r="K171" s="124"/>
    </row>
    <row r="172" ht="15.75" customHeight="1">
      <c r="C172" s="155"/>
      <c r="E172" s="124"/>
      <c r="F172" s="124"/>
      <c r="G172" s="124"/>
      <c r="H172" s="124"/>
      <c r="J172" s="124"/>
      <c r="K172" s="124"/>
    </row>
    <row r="173" ht="15.75" customHeight="1">
      <c r="C173" s="155"/>
      <c r="E173" s="124"/>
      <c r="F173" s="124"/>
      <c r="G173" s="124"/>
      <c r="H173" s="124"/>
      <c r="J173" s="124"/>
      <c r="K173" s="124"/>
    </row>
    <row r="174" ht="15.75" customHeight="1">
      <c r="C174" s="155"/>
      <c r="E174" s="124"/>
      <c r="F174" s="124"/>
      <c r="G174" s="124"/>
      <c r="H174" s="124"/>
      <c r="J174" s="124"/>
      <c r="K174" s="124"/>
    </row>
    <row r="175" ht="15.75" customHeight="1">
      <c r="C175" s="155"/>
      <c r="E175" s="124"/>
      <c r="F175" s="124"/>
      <c r="G175" s="124"/>
      <c r="H175" s="124"/>
      <c r="J175" s="124"/>
      <c r="K175" s="124"/>
    </row>
    <row r="176" ht="15.75" customHeight="1">
      <c r="C176" s="155"/>
      <c r="E176" s="124"/>
      <c r="F176" s="124"/>
      <c r="G176" s="124"/>
      <c r="H176" s="124"/>
      <c r="J176" s="124"/>
      <c r="K176" s="124"/>
    </row>
    <row r="177" ht="15.75" customHeight="1">
      <c r="C177" s="155"/>
      <c r="E177" s="124"/>
      <c r="F177" s="124"/>
      <c r="G177" s="124"/>
      <c r="H177" s="124"/>
      <c r="J177" s="124"/>
      <c r="K177" s="124"/>
    </row>
    <row r="178" ht="15.75" customHeight="1">
      <c r="C178" s="155"/>
      <c r="E178" s="124"/>
      <c r="F178" s="124"/>
      <c r="G178" s="124"/>
      <c r="H178" s="124"/>
      <c r="J178" s="124"/>
      <c r="K178" s="124"/>
    </row>
    <row r="179" ht="15.75" customHeight="1">
      <c r="C179" s="155"/>
      <c r="E179" s="124"/>
      <c r="F179" s="124"/>
      <c r="G179" s="124"/>
      <c r="H179" s="124"/>
      <c r="J179" s="124"/>
      <c r="K179" s="124"/>
    </row>
    <row r="180" ht="15.75" customHeight="1">
      <c r="C180" s="155"/>
      <c r="E180" s="124"/>
      <c r="F180" s="124"/>
      <c r="G180" s="124"/>
      <c r="H180" s="124"/>
      <c r="J180" s="124"/>
      <c r="K180" s="124"/>
    </row>
    <row r="181" ht="15.75" customHeight="1">
      <c r="C181" s="155"/>
      <c r="E181" s="124"/>
      <c r="F181" s="124"/>
      <c r="G181" s="124"/>
      <c r="H181" s="124"/>
      <c r="J181" s="124"/>
      <c r="K181" s="124"/>
    </row>
    <row r="182" ht="15.75" customHeight="1">
      <c r="C182" s="155"/>
      <c r="E182" s="124"/>
      <c r="F182" s="124"/>
      <c r="G182" s="124"/>
      <c r="H182" s="124"/>
      <c r="J182" s="124"/>
      <c r="K182" s="124"/>
    </row>
    <row r="183" ht="15.75" customHeight="1">
      <c r="C183" s="155"/>
      <c r="E183" s="124"/>
      <c r="F183" s="124"/>
      <c r="G183" s="124"/>
      <c r="H183" s="124"/>
      <c r="J183" s="124"/>
      <c r="K183" s="124"/>
    </row>
    <row r="184" ht="15.75" customHeight="1">
      <c r="C184" s="155"/>
      <c r="E184" s="124"/>
      <c r="F184" s="124"/>
      <c r="G184" s="124"/>
      <c r="H184" s="124"/>
      <c r="J184" s="124"/>
      <c r="K184" s="124"/>
    </row>
    <row r="185" ht="15.75" customHeight="1">
      <c r="C185" s="155"/>
      <c r="E185" s="124"/>
      <c r="F185" s="124"/>
      <c r="G185" s="124"/>
      <c r="H185" s="124"/>
      <c r="J185" s="124"/>
      <c r="K185" s="124"/>
    </row>
    <row r="186" ht="15.75" customHeight="1">
      <c r="C186" s="155"/>
      <c r="E186" s="124"/>
      <c r="F186" s="124"/>
      <c r="G186" s="124"/>
      <c r="H186" s="124"/>
      <c r="J186" s="124"/>
      <c r="K186" s="124"/>
    </row>
    <row r="187" ht="15.75" customHeight="1">
      <c r="C187" s="155"/>
      <c r="E187" s="124"/>
      <c r="F187" s="124"/>
      <c r="G187" s="124"/>
      <c r="H187" s="124"/>
      <c r="J187" s="124"/>
      <c r="K187" s="124"/>
    </row>
    <row r="188" ht="15.75" customHeight="1">
      <c r="C188" s="155"/>
      <c r="E188" s="124"/>
      <c r="F188" s="124"/>
      <c r="G188" s="124"/>
      <c r="H188" s="124"/>
      <c r="J188" s="124"/>
      <c r="K188" s="124"/>
    </row>
    <row r="189" ht="15.75" customHeight="1">
      <c r="C189" s="155"/>
      <c r="E189" s="124"/>
      <c r="F189" s="124"/>
      <c r="G189" s="124"/>
      <c r="H189" s="124"/>
      <c r="J189" s="124"/>
      <c r="K189" s="124"/>
    </row>
    <row r="190" ht="15.75" customHeight="1">
      <c r="C190" s="155"/>
      <c r="E190" s="124"/>
      <c r="F190" s="124"/>
      <c r="G190" s="124"/>
      <c r="H190" s="124"/>
      <c r="J190" s="124"/>
      <c r="K190" s="124"/>
    </row>
    <row r="191" ht="15.75" customHeight="1">
      <c r="C191" s="155"/>
      <c r="E191" s="124"/>
      <c r="F191" s="124"/>
      <c r="G191" s="124"/>
      <c r="H191" s="124"/>
      <c r="J191" s="124"/>
      <c r="K191" s="124"/>
    </row>
    <row r="192" ht="15.75" customHeight="1">
      <c r="C192" s="155"/>
      <c r="E192" s="124"/>
      <c r="F192" s="124"/>
      <c r="G192" s="124"/>
      <c r="H192" s="124"/>
      <c r="J192" s="124"/>
      <c r="K192" s="124"/>
    </row>
    <row r="193" ht="15.75" customHeight="1">
      <c r="C193" s="155"/>
      <c r="E193" s="124"/>
      <c r="F193" s="124"/>
      <c r="G193" s="124"/>
      <c r="H193" s="124"/>
      <c r="J193" s="124"/>
      <c r="K193" s="124"/>
    </row>
    <row r="194" ht="15.75" customHeight="1">
      <c r="C194" s="155"/>
      <c r="E194" s="124"/>
      <c r="F194" s="124"/>
      <c r="G194" s="124"/>
      <c r="H194" s="124"/>
      <c r="J194" s="124"/>
      <c r="K194" s="124"/>
    </row>
    <row r="195" ht="15.75" customHeight="1">
      <c r="C195" s="155"/>
      <c r="E195" s="124"/>
      <c r="F195" s="124"/>
      <c r="G195" s="124"/>
      <c r="H195" s="124"/>
      <c r="J195" s="124"/>
      <c r="K195" s="124"/>
    </row>
    <row r="196" ht="15.75" customHeight="1">
      <c r="C196" s="155"/>
      <c r="E196" s="124"/>
      <c r="F196" s="124"/>
      <c r="G196" s="124"/>
      <c r="H196" s="124"/>
      <c r="J196" s="124"/>
      <c r="K196" s="124"/>
    </row>
    <row r="197" ht="15.75" customHeight="1">
      <c r="C197" s="155"/>
      <c r="E197" s="124"/>
      <c r="F197" s="124"/>
      <c r="G197" s="124"/>
      <c r="H197" s="124"/>
      <c r="J197" s="124"/>
      <c r="K197" s="124"/>
    </row>
    <row r="198" ht="15.75" customHeight="1">
      <c r="C198" s="155"/>
      <c r="E198" s="124"/>
      <c r="F198" s="124"/>
      <c r="G198" s="124"/>
      <c r="H198" s="124"/>
      <c r="J198" s="124"/>
      <c r="K198" s="124"/>
    </row>
    <row r="199" ht="15.75" customHeight="1">
      <c r="C199" s="155"/>
      <c r="E199" s="124"/>
      <c r="F199" s="124"/>
      <c r="G199" s="124"/>
      <c r="H199" s="124"/>
      <c r="J199" s="124"/>
      <c r="K199" s="124"/>
    </row>
    <row r="200" ht="15.75" customHeight="1">
      <c r="C200" s="155"/>
      <c r="E200" s="124"/>
      <c r="F200" s="124"/>
      <c r="G200" s="124"/>
      <c r="H200" s="124"/>
      <c r="J200" s="124"/>
      <c r="K200" s="124"/>
    </row>
    <row r="201" ht="15.75" customHeight="1">
      <c r="C201" s="155"/>
      <c r="E201" s="124"/>
      <c r="F201" s="124"/>
      <c r="G201" s="124"/>
      <c r="H201" s="124"/>
      <c r="J201" s="124"/>
      <c r="K201" s="124"/>
    </row>
    <row r="202" ht="15.75" customHeight="1">
      <c r="C202" s="155"/>
      <c r="E202" s="124"/>
      <c r="F202" s="124"/>
      <c r="G202" s="124"/>
      <c r="H202" s="124"/>
      <c r="J202" s="124"/>
      <c r="K202" s="124"/>
    </row>
    <row r="203" ht="15.75" customHeight="1">
      <c r="C203" s="155"/>
      <c r="E203" s="124"/>
      <c r="F203" s="124"/>
      <c r="G203" s="124"/>
      <c r="H203" s="124"/>
      <c r="J203" s="124"/>
      <c r="K203" s="124"/>
    </row>
    <row r="204" ht="15.75" customHeight="1">
      <c r="C204" s="155"/>
      <c r="E204" s="124"/>
      <c r="F204" s="124"/>
      <c r="G204" s="124"/>
      <c r="H204" s="124"/>
      <c r="J204" s="124"/>
      <c r="K204" s="124"/>
    </row>
    <row r="205" ht="15.75" customHeight="1">
      <c r="C205" s="155"/>
      <c r="E205" s="124"/>
      <c r="F205" s="124"/>
      <c r="G205" s="124"/>
      <c r="H205" s="124"/>
      <c r="J205" s="124"/>
      <c r="K205" s="124"/>
    </row>
    <row r="206" ht="15.75" customHeight="1">
      <c r="C206" s="155"/>
      <c r="E206" s="124"/>
      <c r="F206" s="124"/>
      <c r="G206" s="124"/>
      <c r="H206" s="124"/>
      <c r="J206" s="124"/>
      <c r="K206" s="124"/>
    </row>
    <row r="207" ht="15.75" customHeight="1">
      <c r="C207" s="155"/>
      <c r="E207" s="124"/>
      <c r="F207" s="124"/>
      <c r="G207" s="124"/>
      <c r="H207" s="124"/>
      <c r="J207" s="124"/>
      <c r="K207" s="124"/>
    </row>
    <row r="208" ht="15.75" customHeight="1">
      <c r="C208" s="155"/>
      <c r="E208" s="124"/>
      <c r="F208" s="124"/>
      <c r="G208" s="124"/>
      <c r="H208" s="124"/>
      <c r="J208" s="124"/>
      <c r="K208" s="124"/>
    </row>
    <row r="209" ht="15.75" customHeight="1">
      <c r="C209" s="155"/>
      <c r="E209" s="124"/>
      <c r="F209" s="124"/>
      <c r="G209" s="124"/>
      <c r="H209" s="124"/>
      <c r="J209" s="124"/>
      <c r="K209" s="124"/>
    </row>
    <row r="210" ht="15.75" customHeight="1">
      <c r="C210" s="155"/>
      <c r="E210" s="124"/>
      <c r="F210" s="124"/>
      <c r="G210" s="124"/>
      <c r="H210" s="124"/>
      <c r="J210" s="124"/>
      <c r="K210" s="124"/>
    </row>
    <row r="211" ht="15.75" customHeight="1">
      <c r="C211" s="155"/>
      <c r="E211" s="124"/>
      <c r="F211" s="124"/>
      <c r="G211" s="124"/>
      <c r="H211" s="124"/>
      <c r="J211" s="124"/>
      <c r="K211" s="124"/>
    </row>
    <row r="212" ht="15.75" customHeight="1">
      <c r="C212" s="155"/>
      <c r="E212" s="124"/>
      <c r="F212" s="124"/>
      <c r="G212" s="124"/>
      <c r="H212" s="124"/>
      <c r="J212" s="124"/>
      <c r="K212" s="124"/>
    </row>
    <row r="213" ht="15.75" customHeight="1">
      <c r="C213" s="155"/>
      <c r="E213" s="124"/>
      <c r="F213" s="124"/>
      <c r="G213" s="124"/>
      <c r="H213" s="124"/>
      <c r="J213" s="124"/>
      <c r="K213" s="124"/>
    </row>
    <row r="214" ht="15.75" customHeight="1">
      <c r="C214" s="155"/>
      <c r="E214" s="124"/>
      <c r="F214" s="124"/>
      <c r="G214" s="124"/>
      <c r="H214" s="124"/>
      <c r="J214" s="124"/>
      <c r="K214" s="124"/>
    </row>
    <row r="215" ht="15.75" customHeight="1">
      <c r="C215" s="155"/>
      <c r="E215" s="124"/>
      <c r="F215" s="124"/>
      <c r="G215" s="124"/>
      <c r="H215" s="124"/>
      <c r="J215" s="124"/>
      <c r="K215" s="124"/>
    </row>
    <row r="216" ht="15.75" customHeight="1">
      <c r="C216" s="155"/>
      <c r="E216" s="124"/>
      <c r="F216" s="124"/>
      <c r="G216" s="124"/>
      <c r="H216" s="124"/>
      <c r="J216" s="124"/>
      <c r="K216" s="124"/>
    </row>
    <row r="217" ht="15.75" customHeight="1">
      <c r="C217" s="155"/>
      <c r="E217" s="124"/>
      <c r="F217" s="124"/>
      <c r="G217" s="124"/>
      <c r="H217" s="124"/>
      <c r="J217" s="124"/>
      <c r="K217" s="124"/>
    </row>
    <row r="218" ht="15.75" customHeight="1">
      <c r="C218" s="155"/>
      <c r="E218" s="124"/>
      <c r="F218" s="124"/>
      <c r="G218" s="124"/>
      <c r="H218" s="124"/>
      <c r="J218" s="124"/>
      <c r="K218" s="124"/>
    </row>
    <row r="219" ht="15.75" customHeight="1">
      <c r="C219" s="155"/>
      <c r="E219" s="124"/>
      <c r="F219" s="124"/>
      <c r="G219" s="124"/>
      <c r="H219" s="124"/>
      <c r="J219" s="124"/>
      <c r="K219" s="124"/>
    </row>
    <row r="220" ht="15.75" customHeight="1">
      <c r="C220" s="155"/>
      <c r="E220" s="124"/>
      <c r="F220" s="124"/>
      <c r="G220" s="124"/>
      <c r="H220" s="124"/>
      <c r="J220" s="124"/>
      <c r="K220" s="124"/>
    </row>
    <row r="221" ht="15.75" customHeight="1">
      <c r="C221" s="155"/>
      <c r="E221" s="124"/>
      <c r="F221" s="124"/>
      <c r="G221" s="124"/>
      <c r="H221" s="124"/>
      <c r="J221" s="124"/>
      <c r="K221" s="124"/>
    </row>
    <row r="222" ht="15.75" customHeight="1">
      <c r="C222" s="155"/>
      <c r="E222" s="124"/>
      <c r="F222" s="124"/>
      <c r="G222" s="124"/>
      <c r="H222" s="124"/>
      <c r="J222" s="124"/>
      <c r="K222" s="124"/>
    </row>
    <row r="223" ht="15.75" customHeight="1">
      <c r="C223" s="155"/>
      <c r="E223" s="124"/>
      <c r="F223" s="124"/>
      <c r="G223" s="124"/>
      <c r="H223" s="124"/>
      <c r="J223" s="124"/>
      <c r="K223" s="124"/>
    </row>
    <row r="224" ht="15.75" customHeight="1">
      <c r="C224" s="155"/>
      <c r="E224" s="124"/>
      <c r="F224" s="124"/>
      <c r="G224" s="124"/>
      <c r="H224" s="124"/>
      <c r="J224" s="124"/>
      <c r="K224" s="124"/>
    </row>
    <row r="225" ht="15.75" customHeight="1">
      <c r="C225" s="155"/>
      <c r="E225" s="124"/>
      <c r="F225" s="124"/>
      <c r="G225" s="124"/>
      <c r="H225" s="124"/>
      <c r="J225" s="124"/>
      <c r="K225" s="124"/>
    </row>
    <row r="226" ht="15.75" customHeight="1">
      <c r="C226" s="155"/>
      <c r="E226" s="124"/>
      <c r="F226" s="124"/>
      <c r="G226" s="124"/>
      <c r="H226" s="124"/>
      <c r="J226" s="124"/>
      <c r="K226" s="124"/>
    </row>
    <row r="227" ht="15.75" customHeight="1">
      <c r="C227" s="155"/>
      <c r="E227" s="124"/>
      <c r="F227" s="124"/>
      <c r="G227" s="124"/>
      <c r="H227" s="124"/>
      <c r="J227" s="124"/>
      <c r="K227" s="124"/>
    </row>
    <row r="228" ht="15.75" customHeight="1">
      <c r="C228" s="155"/>
      <c r="E228" s="124"/>
      <c r="F228" s="124"/>
      <c r="G228" s="124"/>
      <c r="H228" s="124"/>
      <c r="J228" s="124"/>
      <c r="K228" s="124"/>
    </row>
    <row r="229" ht="15.75" customHeight="1">
      <c r="C229" s="155"/>
      <c r="E229" s="124"/>
      <c r="F229" s="124"/>
      <c r="G229" s="124"/>
      <c r="H229" s="124"/>
      <c r="J229" s="124"/>
      <c r="K229" s="124"/>
    </row>
    <row r="230" ht="15.75" customHeight="1">
      <c r="C230" s="155"/>
      <c r="E230" s="124"/>
      <c r="F230" s="124"/>
      <c r="G230" s="124"/>
      <c r="H230" s="124"/>
      <c r="J230" s="124"/>
      <c r="K230" s="124"/>
    </row>
    <row r="231" ht="15.75" customHeight="1">
      <c r="C231" s="155"/>
      <c r="E231" s="124"/>
      <c r="F231" s="124"/>
      <c r="G231" s="124"/>
      <c r="H231" s="124"/>
      <c r="J231" s="124"/>
      <c r="K231" s="124"/>
    </row>
    <row r="232" ht="15.75" customHeight="1">
      <c r="C232" s="155"/>
      <c r="E232" s="124"/>
      <c r="F232" s="124"/>
      <c r="G232" s="124"/>
      <c r="H232" s="124"/>
      <c r="J232" s="124"/>
      <c r="K232" s="124"/>
    </row>
    <row r="233" ht="15.75" customHeight="1">
      <c r="C233" s="155"/>
      <c r="E233" s="124"/>
      <c r="F233" s="124"/>
      <c r="G233" s="124"/>
      <c r="H233" s="124"/>
      <c r="J233" s="124"/>
      <c r="K233" s="124"/>
    </row>
    <row r="234" ht="15.75" customHeight="1">
      <c r="C234" s="155"/>
      <c r="E234" s="124"/>
      <c r="F234" s="124"/>
      <c r="G234" s="124"/>
      <c r="H234" s="124"/>
      <c r="J234" s="124"/>
      <c r="K234" s="124"/>
    </row>
    <row r="235" ht="15.75" customHeight="1">
      <c r="C235" s="155"/>
      <c r="E235" s="124"/>
      <c r="F235" s="124"/>
      <c r="G235" s="124"/>
      <c r="H235" s="124"/>
      <c r="J235" s="124"/>
      <c r="K235" s="124"/>
    </row>
    <row r="236" ht="15.75" customHeight="1">
      <c r="C236" s="155"/>
      <c r="E236" s="124"/>
      <c r="F236" s="124"/>
      <c r="G236" s="124"/>
      <c r="H236" s="124"/>
      <c r="J236" s="124"/>
      <c r="K236" s="124"/>
    </row>
    <row r="237" ht="15.75" customHeight="1">
      <c r="C237" s="155"/>
      <c r="E237" s="124"/>
      <c r="F237" s="124"/>
      <c r="G237" s="124"/>
      <c r="H237" s="124"/>
      <c r="J237" s="124"/>
      <c r="K237" s="124"/>
    </row>
    <row r="238" ht="15.75" customHeight="1">
      <c r="C238" s="155"/>
      <c r="E238" s="124"/>
      <c r="F238" s="124"/>
      <c r="G238" s="124"/>
      <c r="H238" s="124"/>
      <c r="J238" s="124"/>
      <c r="K238" s="124"/>
    </row>
    <row r="239" ht="15.75" customHeight="1">
      <c r="C239" s="155"/>
      <c r="E239" s="124"/>
      <c r="F239" s="124"/>
      <c r="G239" s="124"/>
      <c r="H239" s="124"/>
      <c r="J239" s="124"/>
      <c r="K239" s="124"/>
    </row>
    <row r="240" ht="15.75" customHeight="1">
      <c r="C240" s="155"/>
      <c r="E240" s="124"/>
      <c r="F240" s="124"/>
      <c r="G240" s="124"/>
      <c r="H240" s="124"/>
      <c r="J240" s="124"/>
      <c r="K240" s="124"/>
    </row>
    <row r="241" ht="15.75" customHeight="1">
      <c r="C241" s="155"/>
      <c r="E241" s="124"/>
      <c r="F241" s="124"/>
      <c r="G241" s="124"/>
      <c r="H241" s="124"/>
      <c r="J241" s="124"/>
      <c r="K241" s="124"/>
    </row>
    <row r="242" ht="15.75" customHeight="1">
      <c r="C242" s="155"/>
      <c r="E242" s="124"/>
      <c r="F242" s="124"/>
      <c r="G242" s="124"/>
      <c r="H242" s="124"/>
      <c r="J242" s="124"/>
      <c r="K242" s="124"/>
    </row>
    <row r="243" ht="15.75" customHeight="1">
      <c r="C243" s="155"/>
      <c r="E243" s="124"/>
      <c r="F243" s="124"/>
      <c r="G243" s="124"/>
      <c r="H243" s="124"/>
      <c r="J243" s="124"/>
      <c r="K243" s="124"/>
    </row>
    <row r="244" ht="15.75" customHeight="1">
      <c r="C244" s="155"/>
      <c r="E244" s="124"/>
      <c r="F244" s="124"/>
      <c r="G244" s="124"/>
      <c r="H244" s="124"/>
      <c r="J244" s="124"/>
      <c r="K244" s="124"/>
    </row>
    <row r="245" ht="15.75" customHeight="1">
      <c r="C245" s="155"/>
      <c r="E245" s="124"/>
      <c r="F245" s="124"/>
      <c r="G245" s="124"/>
      <c r="H245" s="124"/>
      <c r="J245" s="124"/>
      <c r="K245" s="124"/>
    </row>
    <row r="246" ht="15.75" customHeight="1">
      <c r="C246" s="155"/>
      <c r="E246" s="124"/>
      <c r="F246" s="124"/>
      <c r="G246" s="124"/>
      <c r="H246" s="124"/>
      <c r="J246" s="124"/>
      <c r="K246" s="124"/>
    </row>
    <row r="247" ht="15.75" customHeight="1">
      <c r="C247" s="155"/>
      <c r="E247" s="124"/>
      <c r="F247" s="124"/>
      <c r="G247" s="124"/>
      <c r="H247" s="124"/>
      <c r="J247" s="124"/>
      <c r="K247" s="124"/>
    </row>
    <row r="248" ht="15.75" customHeight="1">
      <c r="C248" s="155"/>
      <c r="E248" s="124"/>
      <c r="F248" s="124"/>
      <c r="G248" s="124"/>
      <c r="H248" s="124"/>
      <c r="J248" s="124"/>
      <c r="K248" s="124"/>
    </row>
    <row r="249" ht="15.75" customHeight="1">
      <c r="C249" s="155"/>
      <c r="E249" s="124"/>
      <c r="F249" s="124"/>
      <c r="G249" s="124"/>
      <c r="H249" s="124"/>
      <c r="J249" s="124"/>
      <c r="K249" s="124"/>
    </row>
    <row r="250" ht="15.75" customHeight="1">
      <c r="C250" s="155"/>
      <c r="E250" s="124"/>
      <c r="F250" s="124"/>
      <c r="G250" s="124"/>
      <c r="H250" s="124"/>
      <c r="J250" s="124"/>
      <c r="K250" s="124"/>
    </row>
    <row r="251" ht="15.75" customHeight="1">
      <c r="C251" s="155"/>
      <c r="E251" s="124"/>
      <c r="F251" s="124"/>
      <c r="G251" s="124"/>
      <c r="H251" s="124"/>
      <c r="J251" s="124"/>
      <c r="K251" s="124"/>
    </row>
    <row r="252" ht="15.75" customHeight="1">
      <c r="C252" s="155"/>
      <c r="E252" s="124"/>
      <c r="F252" s="124"/>
      <c r="G252" s="124"/>
      <c r="H252" s="124"/>
      <c r="J252" s="124"/>
      <c r="K252" s="124"/>
    </row>
    <row r="253" ht="15.75" customHeight="1">
      <c r="C253" s="155"/>
      <c r="E253" s="124"/>
      <c r="F253" s="124"/>
      <c r="G253" s="124"/>
      <c r="H253" s="124"/>
      <c r="J253" s="124"/>
      <c r="K253" s="124"/>
    </row>
    <row r="254" ht="15.75" customHeight="1">
      <c r="C254" s="155"/>
      <c r="E254" s="124"/>
      <c r="F254" s="124"/>
      <c r="G254" s="124"/>
      <c r="H254" s="124"/>
      <c r="J254" s="124"/>
      <c r="K254" s="124"/>
    </row>
    <row r="255" ht="15.75" customHeight="1">
      <c r="C255" s="155"/>
      <c r="E255" s="124"/>
      <c r="F255" s="124"/>
      <c r="G255" s="124"/>
      <c r="H255" s="124"/>
      <c r="J255" s="124"/>
      <c r="K255" s="124"/>
    </row>
    <row r="256" ht="15.75" customHeight="1">
      <c r="C256" s="155"/>
      <c r="E256" s="124"/>
      <c r="F256" s="124"/>
      <c r="G256" s="124"/>
      <c r="H256" s="124"/>
      <c r="J256" s="124"/>
      <c r="K256" s="124"/>
    </row>
    <row r="257" ht="15.75" customHeight="1">
      <c r="C257" s="155"/>
      <c r="E257" s="124"/>
      <c r="F257" s="124"/>
      <c r="G257" s="124"/>
      <c r="H257" s="124"/>
      <c r="J257" s="124"/>
      <c r="K257" s="124"/>
    </row>
    <row r="258" ht="15.75" customHeight="1">
      <c r="C258" s="155"/>
      <c r="E258" s="124"/>
      <c r="F258" s="124"/>
      <c r="G258" s="124"/>
      <c r="H258" s="124"/>
      <c r="J258" s="124"/>
      <c r="K258" s="124"/>
    </row>
    <row r="259" ht="15.75" customHeight="1">
      <c r="C259" s="155"/>
      <c r="E259" s="124"/>
      <c r="F259" s="124"/>
      <c r="G259" s="124"/>
      <c r="H259" s="124"/>
      <c r="J259" s="124"/>
      <c r="K259" s="124"/>
    </row>
    <row r="260" ht="15.75" customHeight="1">
      <c r="C260" s="155"/>
      <c r="E260" s="124"/>
      <c r="F260" s="124"/>
      <c r="G260" s="124"/>
      <c r="H260" s="124"/>
      <c r="J260" s="124"/>
      <c r="K260" s="124"/>
    </row>
    <row r="261" ht="15.75" customHeight="1">
      <c r="C261" s="155"/>
      <c r="E261" s="124"/>
      <c r="F261" s="124"/>
      <c r="G261" s="124"/>
      <c r="H261" s="124"/>
      <c r="J261" s="124"/>
      <c r="K261" s="124"/>
    </row>
    <row r="262" ht="15.75" customHeight="1">
      <c r="C262" s="155"/>
      <c r="E262" s="124"/>
      <c r="F262" s="124"/>
      <c r="G262" s="124"/>
      <c r="H262" s="124"/>
      <c r="J262" s="124"/>
      <c r="K262" s="124"/>
    </row>
    <row r="263" ht="15.75" customHeight="1">
      <c r="C263" s="155"/>
      <c r="E263" s="124"/>
      <c r="F263" s="124"/>
      <c r="G263" s="124"/>
      <c r="H263" s="124"/>
      <c r="J263" s="124"/>
      <c r="K263" s="124"/>
    </row>
    <row r="264" ht="15.75" customHeight="1">
      <c r="C264" s="155"/>
      <c r="E264" s="124"/>
      <c r="F264" s="124"/>
      <c r="G264" s="124"/>
      <c r="H264" s="124"/>
      <c r="J264" s="124"/>
      <c r="K264" s="124"/>
    </row>
    <row r="265" ht="15.75" customHeight="1">
      <c r="C265" s="155"/>
      <c r="E265" s="124"/>
      <c r="F265" s="124"/>
      <c r="G265" s="124"/>
      <c r="H265" s="124"/>
      <c r="J265" s="124"/>
      <c r="K265" s="124"/>
    </row>
    <row r="266" ht="15.75" customHeight="1">
      <c r="C266" s="155"/>
      <c r="E266" s="124"/>
      <c r="F266" s="124"/>
      <c r="G266" s="124"/>
      <c r="H266" s="124"/>
      <c r="J266" s="124"/>
      <c r="K266" s="124"/>
    </row>
    <row r="267" ht="15.75" customHeight="1">
      <c r="C267" s="155"/>
      <c r="E267" s="124"/>
      <c r="F267" s="124"/>
      <c r="G267" s="124"/>
      <c r="H267" s="124"/>
      <c r="J267" s="124"/>
      <c r="K267" s="124"/>
    </row>
    <row r="268" ht="15.75" customHeight="1">
      <c r="C268" s="155"/>
      <c r="E268" s="124"/>
      <c r="F268" s="124"/>
      <c r="G268" s="124"/>
      <c r="H268" s="124"/>
      <c r="J268" s="124"/>
      <c r="K268" s="124"/>
    </row>
    <row r="269" ht="15.75" customHeight="1">
      <c r="C269" s="155"/>
      <c r="E269" s="124"/>
      <c r="F269" s="124"/>
      <c r="G269" s="124"/>
      <c r="H269" s="124"/>
      <c r="J269" s="124"/>
      <c r="K269" s="124"/>
    </row>
    <row r="270" ht="15.75" customHeight="1">
      <c r="C270" s="155"/>
      <c r="E270" s="124"/>
      <c r="F270" s="124"/>
      <c r="G270" s="124"/>
      <c r="H270" s="124"/>
      <c r="J270" s="124"/>
      <c r="K270" s="124"/>
    </row>
    <row r="271" ht="15.75" customHeight="1">
      <c r="C271" s="155"/>
      <c r="E271" s="124"/>
      <c r="F271" s="124"/>
      <c r="G271" s="124"/>
      <c r="H271" s="124"/>
      <c r="J271" s="124"/>
      <c r="K271" s="124"/>
    </row>
    <row r="272" ht="15.75" customHeight="1">
      <c r="C272" s="155"/>
      <c r="E272" s="124"/>
      <c r="F272" s="124"/>
      <c r="G272" s="124"/>
      <c r="H272" s="124"/>
      <c r="J272" s="124"/>
      <c r="K272" s="124"/>
    </row>
    <row r="273" ht="15.75" customHeight="1">
      <c r="C273" s="155"/>
      <c r="E273" s="124"/>
      <c r="F273" s="124"/>
      <c r="G273" s="124"/>
      <c r="H273" s="124"/>
      <c r="J273" s="124"/>
      <c r="K273" s="124"/>
    </row>
    <row r="274" ht="15.75" customHeight="1">
      <c r="C274" s="155"/>
      <c r="E274" s="124"/>
      <c r="F274" s="124"/>
      <c r="G274" s="124"/>
      <c r="H274" s="124"/>
      <c r="J274" s="124"/>
      <c r="K274" s="124"/>
    </row>
    <row r="275" ht="15.75" customHeight="1">
      <c r="C275" s="155"/>
      <c r="E275" s="124"/>
      <c r="F275" s="124"/>
      <c r="G275" s="124"/>
      <c r="H275" s="124"/>
      <c r="J275" s="124"/>
      <c r="K275" s="124"/>
    </row>
    <row r="276" ht="15.75" customHeight="1">
      <c r="C276" s="155"/>
      <c r="E276" s="124"/>
      <c r="F276" s="124"/>
      <c r="G276" s="124"/>
      <c r="H276" s="124"/>
      <c r="J276" s="124"/>
      <c r="K276" s="124"/>
    </row>
    <row r="277" ht="15.75" customHeight="1">
      <c r="C277" s="155"/>
      <c r="E277" s="124"/>
      <c r="F277" s="124"/>
      <c r="G277" s="124"/>
      <c r="H277" s="124"/>
      <c r="J277" s="124"/>
      <c r="K277" s="124"/>
    </row>
    <row r="278" ht="15.75" customHeight="1">
      <c r="C278" s="155"/>
      <c r="E278" s="124"/>
      <c r="F278" s="124"/>
      <c r="G278" s="124"/>
      <c r="H278" s="124"/>
      <c r="J278" s="124"/>
      <c r="K278" s="124"/>
    </row>
    <row r="279" ht="15.75" customHeight="1">
      <c r="C279" s="155"/>
      <c r="E279" s="124"/>
      <c r="F279" s="124"/>
      <c r="G279" s="124"/>
      <c r="H279" s="124"/>
      <c r="J279" s="124"/>
      <c r="K279" s="124"/>
    </row>
    <row r="280" ht="15.75" customHeight="1">
      <c r="C280" s="155"/>
      <c r="E280" s="124"/>
      <c r="F280" s="124"/>
      <c r="G280" s="124"/>
      <c r="H280" s="124"/>
      <c r="J280" s="124"/>
      <c r="K280" s="124"/>
    </row>
    <row r="281" ht="15.75" customHeight="1">
      <c r="C281" s="155"/>
      <c r="E281" s="124"/>
      <c r="F281" s="124"/>
      <c r="G281" s="124"/>
      <c r="H281" s="124"/>
      <c r="J281" s="124"/>
      <c r="K281" s="124"/>
    </row>
    <row r="282" ht="15.75" customHeight="1">
      <c r="C282" s="155"/>
      <c r="E282" s="124"/>
      <c r="F282" s="124"/>
      <c r="G282" s="124"/>
      <c r="H282" s="124"/>
      <c r="J282" s="124"/>
      <c r="K282" s="124"/>
    </row>
    <row r="283" ht="15.75" customHeight="1">
      <c r="C283" s="155"/>
      <c r="E283" s="124"/>
      <c r="F283" s="124"/>
      <c r="G283" s="124"/>
      <c r="H283" s="124"/>
      <c r="J283" s="124"/>
      <c r="K283" s="124"/>
    </row>
    <row r="284" ht="15.75" customHeight="1">
      <c r="C284" s="155"/>
      <c r="E284" s="124"/>
      <c r="F284" s="124"/>
      <c r="G284" s="124"/>
      <c r="H284" s="124"/>
      <c r="J284" s="124"/>
      <c r="K284" s="124"/>
    </row>
    <row r="285" ht="15.75" customHeight="1">
      <c r="C285" s="155"/>
      <c r="E285" s="124"/>
      <c r="F285" s="124"/>
      <c r="G285" s="124"/>
      <c r="H285" s="124"/>
      <c r="J285" s="124"/>
      <c r="K285" s="124"/>
    </row>
    <row r="286" ht="15.75" customHeight="1">
      <c r="C286" s="155"/>
      <c r="E286" s="124"/>
      <c r="F286" s="124"/>
      <c r="G286" s="124"/>
      <c r="H286" s="124"/>
      <c r="J286" s="124"/>
      <c r="K286" s="124"/>
    </row>
    <row r="287" ht="15.75" customHeight="1">
      <c r="C287" s="155"/>
      <c r="E287" s="124"/>
      <c r="F287" s="124"/>
      <c r="G287" s="124"/>
      <c r="H287" s="124"/>
      <c r="J287" s="124"/>
      <c r="K287" s="124"/>
    </row>
    <row r="288" ht="15.75" customHeight="1">
      <c r="C288" s="155"/>
      <c r="E288" s="124"/>
      <c r="F288" s="124"/>
      <c r="G288" s="124"/>
      <c r="H288" s="124"/>
      <c r="J288" s="124"/>
      <c r="K288" s="124"/>
    </row>
    <row r="289" ht="15.75" customHeight="1">
      <c r="C289" s="155"/>
      <c r="E289" s="124"/>
      <c r="F289" s="124"/>
      <c r="G289" s="124"/>
      <c r="H289" s="124"/>
      <c r="J289" s="124"/>
      <c r="K289" s="124"/>
    </row>
    <row r="290" ht="15.75" customHeight="1">
      <c r="C290" s="155"/>
      <c r="E290" s="124"/>
      <c r="F290" s="124"/>
      <c r="G290" s="124"/>
      <c r="H290" s="124"/>
      <c r="J290" s="124"/>
      <c r="K290" s="124"/>
    </row>
    <row r="291" ht="15.75" customHeight="1">
      <c r="C291" s="155"/>
      <c r="E291" s="124"/>
      <c r="F291" s="124"/>
      <c r="G291" s="124"/>
      <c r="H291" s="124"/>
      <c r="J291" s="124"/>
      <c r="K291" s="124"/>
    </row>
    <row r="292" ht="15.75" customHeight="1">
      <c r="C292" s="155"/>
      <c r="E292" s="124"/>
      <c r="F292" s="124"/>
      <c r="G292" s="124"/>
      <c r="H292" s="124"/>
      <c r="J292" s="124"/>
      <c r="K292" s="124"/>
    </row>
    <row r="293" ht="15.75" customHeight="1">
      <c r="C293" s="155"/>
      <c r="E293" s="124"/>
      <c r="F293" s="124"/>
      <c r="G293" s="124"/>
      <c r="H293" s="124"/>
      <c r="J293" s="124"/>
      <c r="K293" s="124"/>
    </row>
    <row r="294" ht="15.75" customHeight="1">
      <c r="C294" s="155"/>
      <c r="E294" s="124"/>
      <c r="F294" s="124"/>
      <c r="G294" s="124"/>
      <c r="H294" s="124"/>
      <c r="J294" s="124"/>
      <c r="K294" s="124"/>
    </row>
    <row r="295" ht="15.75" customHeight="1">
      <c r="C295" s="155"/>
      <c r="E295" s="124"/>
      <c r="F295" s="124"/>
      <c r="G295" s="124"/>
      <c r="H295" s="124"/>
      <c r="J295" s="124"/>
      <c r="K295" s="124"/>
    </row>
    <row r="296" ht="15.75" customHeight="1">
      <c r="C296" s="155"/>
      <c r="E296" s="124"/>
      <c r="F296" s="124"/>
      <c r="G296" s="124"/>
      <c r="H296" s="124"/>
      <c r="J296" s="124"/>
      <c r="K296" s="124"/>
    </row>
    <row r="297" ht="15.75" customHeight="1">
      <c r="C297" s="155"/>
      <c r="E297" s="124"/>
      <c r="F297" s="124"/>
      <c r="G297" s="124"/>
      <c r="H297" s="124"/>
      <c r="J297" s="124"/>
      <c r="K297" s="124"/>
    </row>
    <row r="298" ht="15.75" customHeight="1">
      <c r="C298" s="155"/>
      <c r="E298" s="124"/>
      <c r="F298" s="124"/>
      <c r="G298" s="124"/>
      <c r="H298" s="124"/>
      <c r="J298" s="124"/>
      <c r="K298" s="124"/>
    </row>
    <row r="299" ht="15.75" customHeight="1">
      <c r="C299" s="155"/>
      <c r="E299" s="124"/>
      <c r="F299" s="124"/>
      <c r="G299" s="124"/>
      <c r="H299" s="124"/>
      <c r="J299" s="124"/>
      <c r="K299" s="124"/>
    </row>
    <row r="300" ht="15.75" customHeight="1">
      <c r="C300" s="155"/>
      <c r="E300" s="124"/>
      <c r="F300" s="124"/>
      <c r="G300" s="124"/>
      <c r="H300" s="124"/>
      <c r="J300" s="124"/>
      <c r="K300" s="124"/>
    </row>
    <row r="301" ht="15.75" customHeight="1">
      <c r="C301" s="155"/>
      <c r="E301" s="124"/>
      <c r="F301" s="124"/>
      <c r="G301" s="124"/>
      <c r="H301" s="124"/>
      <c r="J301" s="124"/>
      <c r="K301" s="124"/>
    </row>
    <row r="302" ht="15.75" customHeight="1">
      <c r="C302" s="155"/>
      <c r="E302" s="124"/>
      <c r="F302" s="124"/>
      <c r="G302" s="124"/>
      <c r="H302" s="124"/>
      <c r="J302" s="124"/>
      <c r="K302" s="124"/>
    </row>
    <row r="303" ht="15.75" customHeight="1">
      <c r="C303" s="155"/>
      <c r="E303" s="124"/>
      <c r="F303" s="124"/>
      <c r="G303" s="124"/>
      <c r="H303" s="124"/>
      <c r="J303" s="124"/>
      <c r="K303" s="124"/>
    </row>
    <row r="304" ht="15.75" customHeight="1">
      <c r="C304" s="155"/>
      <c r="E304" s="124"/>
      <c r="F304" s="124"/>
      <c r="G304" s="124"/>
      <c r="H304" s="124"/>
      <c r="J304" s="124"/>
      <c r="K304" s="124"/>
    </row>
    <row r="305" ht="15.75" customHeight="1">
      <c r="C305" s="155"/>
      <c r="E305" s="124"/>
      <c r="F305" s="124"/>
      <c r="G305" s="124"/>
      <c r="H305" s="124"/>
      <c r="J305" s="124"/>
      <c r="K305" s="124"/>
    </row>
    <row r="306" ht="15.75" customHeight="1">
      <c r="C306" s="155"/>
      <c r="E306" s="124"/>
      <c r="F306" s="124"/>
      <c r="G306" s="124"/>
      <c r="H306" s="124"/>
      <c r="J306" s="124"/>
      <c r="K306" s="124"/>
    </row>
    <row r="307" ht="15.75" customHeight="1">
      <c r="C307" s="155"/>
      <c r="E307" s="124"/>
      <c r="F307" s="124"/>
      <c r="G307" s="124"/>
      <c r="H307" s="124"/>
      <c r="J307" s="124"/>
      <c r="K307" s="124"/>
    </row>
    <row r="308" ht="15.75" customHeight="1">
      <c r="C308" s="155"/>
      <c r="E308" s="124"/>
      <c r="F308" s="124"/>
      <c r="G308" s="124"/>
      <c r="H308" s="124"/>
      <c r="J308" s="124"/>
      <c r="K308" s="124"/>
    </row>
    <row r="309" ht="15.75" customHeight="1">
      <c r="C309" s="155"/>
      <c r="E309" s="124"/>
      <c r="F309" s="124"/>
      <c r="G309" s="124"/>
      <c r="H309" s="124"/>
      <c r="J309" s="124"/>
      <c r="K309" s="124"/>
    </row>
    <row r="310" ht="15.75" customHeight="1">
      <c r="C310" s="155"/>
      <c r="E310" s="124"/>
      <c r="F310" s="124"/>
      <c r="G310" s="124"/>
      <c r="H310" s="124"/>
      <c r="J310" s="124"/>
      <c r="K310" s="124"/>
    </row>
    <row r="311" ht="15.75" customHeight="1">
      <c r="C311" s="155"/>
      <c r="E311" s="124"/>
      <c r="F311" s="124"/>
      <c r="G311" s="124"/>
      <c r="H311" s="124"/>
      <c r="J311" s="124"/>
      <c r="K311" s="124"/>
    </row>
    <row r="312" ht="15.75" customHeight="1">
      <c r="C312" s="155"/>
      <c r="E312" s="124"/>
      <c r="F312" s="124"/>
      <c r="G312" s="124"/>
      <c r="H312" s="124"/>
      <c r="J312" s="124"/>
      <c r="K312" s="124"/>
    </row>
    <row r="313" ht="15.75" customHeight="1">
      <c r="C313" s="155"/>
      <c r="E313" s="124"/>
      <c r="F313" s="124"/>
      <c r="G313" s="124"/>
      <c r="H313" s="124"/>
      <c r="J313" s="124"/>
      <c r="K313" s="124"/>
    </row>
    <row r="314" ht="15.75" customHeight="1">
      <c r="C314" s="155"/>
      <c r="E314" s="124"/>
      <c r="F314" s="124"/>
      <c r="G314" s="124"/>
      <c r="H314" s="124"/>
      <c r="J314" s="124"/>
      <c r="K314" s="124"/>
    </row>
    <row r="315" ht="15.75" customHeight="1">
      <c r="C315" s="155"/>
      <c r="E315" s="124"/>
      <c r="F315" s="124"/>
      <c r="G315" s="124"/>
      <c r="H315" s="124"/>
      <c r="J315" s="124"/>
      <c r="K315" s="124"/>
    </row>
    <row r="316" ht="15.75" customHeight="1">
      <c r="C316" s="155"/>
      <c r="E316" s="124"/>
      <c r="F316" s="124"/>
      <c r="G316" s="124"/>
      <c r="H316" s="124"/>
      <c r="J316" s="124"/>
      <c r="K316" s="124"/>
    </row>
    <row r="317" ht="15.75" customHeight="1">
      <c r="C317" s="155"/>
      <c r="E317" s="124"/>
      <c r="F317" s="124"/>
      <c r="G317" s="124"/>
      <c r="H317" s="124"/>
      <c r="J317" s="124"/>
      <c r="K317" s="124"/>
    </row>
    <row r="318" ht="15.75" customHeight="1">
      <c r="C318" s="155"/>
      <c r="E318" s="124"/>
      <c r="F318" s="124"/>
      <c r="G318" s="124"/>
      <c r="H318" s="124"/>
      <c r="J318" s="124"/>
      <c r="K318" s="124"/>
    </row>
    <row r="319" ht="15.75" customHeight="1">
      <c r="C319" s="155"/>
      <c r="E319" s="124"/>
      <c r="F319" s="124"/>
      <c r="G319" s="124"/>
      <c r="H319" s="124"/>
      <c r="J319" s="124"/>
      <c r="K319" s="124"/>
    </row>
    <row r="320" ht="15.75" customHeight="1">
      <c r="C320" s="155"/>
      <c r="E320" s="124"/>
      <c r="F320" s="124"/>
      <c r="G320" s="124"/>
      <c r="H320" s="124"/>
      <c r="J320" s="124"/>
      <c r="K320" s="124"/>
    </row>
    <row r="321" ht="15.75" customHeight="1">
      <c r="C321" s="155"/>
      <c r="E321" s="124"/>
      <c r="F321" s="124"/>
      <c r="G321" s="124"/>
      <c r="H321" s="124"/>
      <c r="J321" s="124"/>
      <c r="K321" s="124"/>
    </row>
    <row r="322" ht="15.75" customHeight="1">
      <c r="C322" s="155"/>
      <c r="E322" s="124"/>
      <c r="F322" s="124"/>
      <c r="G322" s="124"/>
      <c r="H322" s="124"/>
      <c r="J322" s="124"/>
      <c r="K322" s="124"/>
    </row>
    <row r="323" ht="15.75" customHeight="1">
      <c r="C323" s="155"/>
      <c r="E323" s="124"/>
      <c r="F323" s="124"/>
      <c r="G323" s="124"/>
      <c r="H323" s="124"/>
      <c r="J323" s="124"/>
      <c r="K323" s="124"/>
    </row>
    <row r="324" ht="15.75" customHeight="1">
      <c r="C324" s="155"/>
      <c r="E324" s="124"/>
      <c r="F324" s="124"/>
      <c r="G324" s="124"/>
      <c r="H324" s="124"/>
      <c r="J324" s="124"/>
      <c r="K324" s="124"/>
    </row>
    <row r="325" ht="15.75" customHeight="1">
      <c r="C325" s="155"/>
      <c r="E325" s="124"/>
      <c r="F325" s="124"/>
      <c r="G325" s="124"/>
      <c r="H325" s="124"/>
      <c r="J325" s="124"/>
      <c r="K325" s="124"/>
    </row>
    <row r="326" ht="15.75" customHeight="1">
      <c r="C326" s="155"/>
      <c r="E326" s="124"/>
      <c r="F326" s="124"/>
      <c r="G326" s="124"/>
      <c r="H326" s="124"/>
      <c r="J326" s="124"/>
      <c r="K326" s="124"/>
    </row>
    <row r="327" ht="15.75" customHeight="1">
      <c r="C327" s="155"/>
      <c r="E327" s="124"/>
      <c r="F327" s="124"/>
      <c r="G327" s="124"/>
      <c r="H327" s="124"/>
      <c r="J327" s="124"/>
      <c r="K327" s="124"/>
    </row>
    <row r="328" ht="15.75" customHeight="1">
      <c r="C328" s="155"/>
      <c r="E328" s="124"/>
      <c r="F328" s="124"/>
      <c r="G328" s="124"/>
      <c r="H328" s="124"/>
      <c r="J328" s="124"/>
      <c r="K328" s="124"/>
    </row>
    <row r="329" ht="15.75" customHeight="1">
      <c r="C329" s="155"/>
      <c r="E329" s="124"/>
      <c r="F329" s="124"/>
      <c r="G329" s="124"/>
      <c r="H329" s="124"/>
      <c r="J329" s="124"/>
      <c r="K329" s="124"/>
    </row>
    <row r="330" ht="15.75" customHeight="1">
      <c r="C330" s="155"/>
      <c r="E330" s="124"/>
      <c r="F330" s="124"/>
      <c r="G330" s="124"/>
      <c r="H330" s="124"/>
      <c r="J330" s="124"/>
      <c r="K330" s="124"/>
    </row>
    <row r="331" ht="15.75" customHeight="1">
      <c r="C331" s="155"/>
      <c r="E331" s="124"/>
      <c r="F331" s="124"/>
      <c r="G331" s="124"/>
      <c r="H331" s="124"/>
      <c r="J331" s="124"/>
      <c r="K331" s="124"/>
    </row>
    <row r="332" ht="15.75" customHeight="1">
      <c r="C332" s="155"/>
      <c r="E332" s="124"/>
      <c r="F332" s="124"/>
      <c r="G332" s="124"/>
      <c r="H332" s="124"/>
      <c r="J332" s="124"/>
      <c r="K332" s="124"/>
    </row>
    <row r="333" ht="15.75" customHeight="1">
      <c r="C333" s="155"/>
      <c r="E333" s="124"/>
      <c r="F333" s="124"/>
      <c r="G333" s="124"/>
      <c r="H333" s="124"/>
      <c r="J333" s="124"/>
      <c r="K333" s="124"/>
    </row>
    <row r="334" ht="15.75" customHeight="1">
      <c r="C334" s="155"/>
      <c r="E334" s="124"/>
      <c r="F334" s="124"/>
      <c r="G334" s="124"/>
      <c r="H334" s="124"/>
      <c r="J334" s="124"/>
      <c r="K334" s="124"/>
    </row>
    <row r="335" ht="15.75" customHeight="1">
      <c r="C335" s="155"/>
      <c r="E335" s="124"/>
      <c r="F335" s="124"/>
      <c r="G335" s="124"/>
      <c r="H335" s="124"/>
      <c r="J335" s="124"/>
      <c r="K335" s="124"/>
    </row>
    <row r="336" ht="15.75" customHeight="1">
      <c r="C336" s="155"/>
      <c r="E336" s="124"/>
      <c r="F336" s="124"/>
      <c r="G336" s="124"/>
      <c r="H336" s="124"/>
      <c r="J336" s="124"/>
      <c r="K336" s="124"/>
    </row>
    <row r="337" ht="15.75" customHeight="1">
      <c r="C337" s="155"/>
      <c r="E337" s="124"/>
      <c r="F337" s="124"/>
      <c r="G337" s="124"/>
      <c r="H337" s="124"/>
      <c r="J337" s="124"/>
      <c r="K337" s="124"/>
    </row>
    <row r="338" ht="15.75" customHeight="1">
      <c r="C338" s="155"/>
      <c r="E338" s="124"/>
      <c r="F338" s="124"/>
      <c r="G338" s="124"/>
      <c r="H338" s="124"/>
      <c r="J338" s="124"/>
      <c r="K338" s="124"/>
    </row>
    <row r="339" ht="15.75" customHeight="1">
      <c r="C339" s="155"/>
      <c r="E339" s="124"/>
      <c r="F339" s="124"/>
      <c r="G339" s="124"/>
      <c r="H339" s="124"/>
      <c r="J339" s="124"/>
      <c r="K339" s="124"/>
    </row>
    <row r="340" ht="15.75" customHeight="1">
      <c r="C340" s="155"/>
      <c r="E340" s="124"/>
      <c r="F340" s="124"/>
      <c r="G340" s="124"/>
      <c r="H340" s="124"/>
      <c r="J340" s="124"/>
      <c r="K340" s="124"/>
    </row>
    <row r="341" ht="15.75" customHeight="1">
      <c r="C341" s="155"/>
      <c r="E341" s="124"/>
      <c r="F341" s="124"/>
      <c r="G341" s="124"/>
      <c r="H341" s="124"/>
      <c r="J341" s="124"/>
      <c r="K341" s="124"/>
    </row>
    <row r="342" ht="15.75" customHeight="1">
      <c r="C342" s="155"/>
      <c r="E342" s="124"/>
      <c r="F342" s="124"/>
      <c r="G342" s="124"/>
      <c r="H342" s="124"/>
      <c r="J342" s="124"/>
      <c r="K342" s="124"/>
    </row>
    <row r="343" ht="15.75" customHeight="1">
      <c r="C343" s="155"/>
      <c r="E343" s="124"/>
      <c r="F343" s="124"/>
      <c r="G343" s="124"/>
      <c r="H343" s="124"/>
      <c r="J343" s="124"/>
      <c r="K343" s="124"/>
    </row>
    <row r="344" ht="15.75" customHeight="1">
      <c r="C344" s="155"/>
      <c r="E344" s="124"/>
      <c r="F344" s="124"/>
      <c r="G344" s="124"/>
      <c r="H344" s="124"/>
      <c r="J344" s="124"/>
      <c r="K344" s="124"/>
    </row>
    <row r="345" ht="15.75" customHeight="1">
      <c r="C345" s="155"/>
      <c r="E345" s="124"/>
      <c r="F345" s="124"/>
      <c r="G345" s="124"/>
      <c r="H345" s="124"/>
      <c r="J345" s="124"/>
      <c r="K345" s="124"/>
    </row>
    <row r="346" ht="15.75" customHeight="1">
      <c r="C346" s="155"/>
      <c r="E346" s="124"/>
      <c r="F346" s="124"/>
      <c r="G346" s="124"/>
      <c r="H346" s="124"/>
      <c r="J346" s="124"/>
      <c r="K346" s="124"/>
    </row>
    <row r="347" ht="15.75" customHeight="1">
      <c r="C347" s="155"/>
      <c r="E347" s="124"/>
      <c r="F347" s="124"/>
      <c r="G347" s="124"/>
      <c r="H347" s="124"/>
      <c r="J347" s="124"/>
      <c r="K347" s="124"/>
    </row>
    <row r="348" ht="15.75" customHeight="1">
      <c r="C348" s="155"/>
      <c r="E348" s="124"/>
      <c r="F348" s="124"/>
      <c r="G348" s="124"/>
      <c r="H348" s="124"/>
      <c r="J348" s="124"/>
      <c r="K348" s="124"/>
    </row>
    <row r="349" ht="15.75" customHeight="1">
      <c r="C349" s="155"/>
      <c r="E349" s="124"/>
      <c r="F349" s="124"/>
      <c r="G349" s="124"/>
      <c r="H349" s="124"/>
      <c r="J349" s="124"/>
      <c r="K349" s="124"/>
    </row>
    <row r="350" ht="15.75" customHeight="1">
      <c r="C350" s="155"/>
      <c r="E350" s="124"/>
      <c r="F350" s="124"/>
      <c r="G350" s="124"/>
      <c r="H350" s="124"/>
      <c r="J350" s="124"/>
      <c r="K350" s="124"/>
    </row>
    <row r="351" ht="15.75" customHeight="1">
      <c r="C351" s="155"/>
      <c r="E351" s="124"/>
      <c r="F351" s="124"/>
      <c r="G351" s="124"/>
      <c r="H351" s="124"/>
      <c r="J351" s="124"/>
      <c r="K351" s="124"/>
    </row>
    <row r="352" ht="15.75" customHeight="1">
      <c r="C352" s="155"/>
      <c r="E352" s="124"/>
      <c r="F352" s="124"/>
      <c r="G352" s="124"/>
      <c r="H352" s="124"/>
      <c r="J352" s="124"/>
      <c r="K352" s="124"/>
    </row>
    <row r="353" ht="15.75" customHeight="1">
      <c r="C353" s="155"/>
      <c r="E353" s="124"/>
      <c r="F353" s="124"/>
      <c r="G353" s="124"/>
      <c r="H353" s="124"/>
      <c r="J353" s="124"/>
      <c r="K353" s="124"/>
    </row>
    <row r="354" ht="15.75" customHeight="1">
      <c r="C354" s="155"/>
      <c r="E354" s="124"/>
      <c r="F354" s="124"/>
      <c r="G354" s="124"/>
      <c r="H354" s="124"/>
      <c r="J354" s="124"/>
      <c r="K354" s="124"/>
    </row>
    <row r="355" ht="15.75" customHeight="1">
      <c r="C355" s="155"/>
      <c r="E355" s="124"/>
      <c r="F355" s="124"/>
      <c r="G355" s="124"/>
      <c r="H355" s="124"/>
      <c r="J355" s="124"/>
      <c r="K355" s="124"/>
    </row>
    <row r="356" ht="15.75" customHeight="1">
      <c r="C356" s="155"/>
      <c r="E356" s="124"/>
      <c r="F356" s="124"/>
      <c r="G356" s="124"/>
      <c r="H356" s="124"/>
      <c r="J356" s="124"/>
      <c r="K356" s="124"/>
    </row>
    <row r="357" ht="15.75" customHeight="1">
      <c r="C357" s="155"/>
      <c r="E357" s="124"/>
      <c r="F357" s="124"/>
      <c r="G357" s="124"/>
      <c r="H357" s="124"/>
      <c r="J357" s="124"/>
      <c r="K357" s="124"/>
    </row>
    <row r="358" ht="15.75" customHeight="1">
      <c r="C358" s="155"/>
      <c r="E358" s="124"/>
      <c r="F358" s="124"/>
      <c r="G358" s="124"/>
      <c r="H358" s="124"/>
      <c r="J358" s="124"/>
      <c r="K358" s="124"/>
    </row>
    <row r="359" ht="15.75" customHeight="1">
      <c r="C359" s="155"/>
      <c r="E359" s="124"/>
      <c r="F359" s="124"/>
      <c r="G359" s="124"/>
      <c r="H359" s="124"/>
      <c r="J359" s="124"/>
      <c r="K359" s="124"/>
    </row>
    <row r="360" ht="15.75" customHeight="1">
      <c r="C360" s="155"/>
      <c r="E360" s="124"/>
      <c r="F360" s="124"/>
      <c r="G360" s="124"/>
      <c r="H360" s="124"/>
      <c r="J360" s="124"/>
      <c r="K360" s="124"/>
    </row>
    <row r="361" ht="15.75" customHeight="1">
      <c r="C361" s="155"/>
      <c r="E361" s="124"/>
      <c r="F361" s="124"/>
      <c r="G361" s="124"/>
      <c r="H361" s="124"/>
      <c r="J361" s="124"/>
      <c r="K361" s="124"/>
    </row>
    <row r="362" ht="15.75" customHeight="1">
      <c r="C362" s="155"/>
      <c r="E362" s="124"/>
      <c r="F362" s="124"/>
      <c r="G362" s="124"/>
      <c r="H362" s="124"/>
      <c r="J362" s="124"/>
      <c r="K362" s="124"/>
    </row>
    <row r="363" ht="15.75" customHeight="1">
      <c r="C363" s="155"/>
      <c r="E363" s="124"/>
      <c r="F363" s="124"/>
      <c r="G363" s="124"/>
      <c r="H363" s="124"/>
      <c r="J363" s="124"/>
      <c r="K363" s="124"/>
    </row>
    <row r="364" ht="15.75" customHeight="1">
      <c r="C364" s="155"/>
      <c r="E364" s="124"/>
      <c r="F364" s="124"/>
      <c r="G364" s="124"/>
      <c r="H364" s="124"/>
      <c r="J364" s="124"/>
      <c r="K364" s="124"/>
    </row>
    <row r="365" ht="15.75" customHeight="1">
      <c r="C365" s="155"/>
      <c r="E365" s="124"/>
      <c r="F365" s="124"/>
      <c r="G365" s="124"/>
      <c r="H365" s="124"/>
      <c r="J365" s="124"/>
      <c r="K365" s="124"/>
    </row>
    <row r="366" ht="15.75" customHeight="1">
      <c r="C366" s="155"/>
      <c r="E366" s="124"/>
      <c r="F366" s="124"/>
      <c r="G366" s="124"/>
      <c r="H366" s="124"/>
      <c r="J366" s="124"/>
      <c r="K366" s="124"/>
    </row>
    <row r="367" ht="15.75" customHeight="1">
      <c r="C367" s="155"/>
      <c r="E367" s="124"/>
      <c r="F367" s="124"/>
      <c r="G367" s="124"/>
      <c r="H367" s="124"/>
      <c r="J367" s="124"/>
      <c r="K367" s="124"/>
    </row>
    <row r="368" ht="15.75" customHeight="1">
      <c r="C368" s="155"/>
      <c r="E368" s="124"/>
      <c r="F368" s="124"/>
      <c r="G368" s="124"/>
      <c r="H368" s="124"/>
      <c r="J368" s="124"/>
      <c r="K368" s="124"/>
    </row>
    <row r="369" ht="15.75" customHeight="1">
      <c r="C369" s="155"/>
      <c r="E369" s="124"/>
      <c r="F369" s="124"/>
      <c r="G369" s="124"/>
      <c r="H369" s="124"/>
      <c r="J369" s="124"/>
      <c r="K369" s="124"/>
    </row>
    <row r="370" ht="15.75" customHeight="1">
      <c r="C370" s="155"/>
      <c r="E370" s="124"/>
      <c r="F370" s="124"/>
      <c r="G370" s="124"/>
      <c r="H370" s="124"/>
      <c r="J370" s="124"/>
      <c r="K370" s="124"/>
    </row>
    <row r="371" ht="15.75" customHeight="1">
      <c r="C371" s="155"/>
      <c r="E371" s="124"/>
      <c r="F371" s="124"/>
      <c r="G371" s="124"/>
      <c r="H371" s="124"/>
      <c r="J371" s="124"/>
      <c r="K371" s="124"/>
    </row>
    <row r="372" ht="15.75" customHeight="1">
      <c r="C372" s="155"/>
      <c r="E372" s="124"/>
      <c r="F372" s="124"/>
      <c r="G372" s="124"/>
      <c r="H372" s="124"/>
      <c r="J372" s="124"/>
      <c r="K372" s="124"/>
    </row>
    <row r="373" ht="15.75" customHeight="1">
      <c r="C373" s="155"/>
      <c r="E373" s="124"/>
      <c r="F373" s="124"/>
      <c r="G373" s="124"/>
      <c r="H373" s="124"/>
      <c r="J373" s="124"/>
      <c r="K373" s="124"/>
    </row>
    <row r="374" ht="15.75" customHeight="1">
      <c r="C374" s="155"/>
      <c r="E374" s="124"/>
      <c r="F374" s="124"/>
      <c r="G374" s="124"/>
      <c r="H374" s="124"/>
      <c r="J374" s="124"/>
      <c r="K374" s="124"/>
    </row>
    <row r="375" ht="15.75" customHeight="1">
      <c r="C375" s="155"/>
      <c r="E375" s="124"/>
      <c r="F375" s="124"/>
      <c r="G375" s="124"/>
      <c r="H375" s="124"/>
      <c r="J375" s="124"/>
      <c r="K375" s="124"/>
    </row>
    <row r="376" ht="15.75" customHeight="1">
      <c r="C376" s="155"/>
      <c r="E376" s="124"/>
      <c r="F376" s="124"/>
      <c r="G376" s="124"/>
      <c r="H376" s="124"/>
      <c r="J376" s="124"/>
      <c r="K376" s="124"/>
    </row>
    <row r="377" ht="15.75" customHeight="1">
      <c r="C377" s="155"/>
      <c r="E377" s="124"/>
      <c r="F377" s="124"/>
      <c r="G377" s="124"/>
      <c r="H377" s="124"/>
      <c r="J377" s="124"/>
      <c r="K377" s="124"/>
    </row>
    <row r="378" ht="15.75" customHeight="1">
      <c r="C378" s="155"/>
      <c r="E378" s="124"/>
      <c r="F378" s="124"/>
      <c r="G378" s="124"/>
      <c r="H378" s="124"/>
      <c r="J378" s="124"/>
      <c r="K378" s="124"/>
    </row>
    <row r="379" ht="15.75" customHeight="1">
      <c r="C379" s="155"/>
      <c r="E379" s="124"/>
      <c r="F379" s="124"/>
      <c r="G379" s="124"/>
      <c r="H379" s="124"/>
      <c r="J379" s="124"/>
      <c r="K379" s="124"/>
    </row>
    <row r="380" ht="15.75" customHeight="1">
      <c r="C380" s="155"/>
      <c r="E380" s="124"/>
      <c r="F380" s="124"/>
      <c r="G380" s="124"/>
      <c r="H380" s="124"/>
      <c r="J380" s="124"/>
      <c r="K380" s="124"/>
    </row>
    <row r="381" ht="15.75" customHeight="1">
      <c r="C381" s="155"/>
      <c r="E381" s="124"/>
      <c r="F381" s="124"/>
      <c r="G381" s="124"/>
      <c r="H381" s="124"/>
      <c r="J381" s="124"/>
      <c r="K381" s="124"/>
    </row>
    <row r="382" ht="15.75" customHeight="1">
      <c r="C382" s="155"/>
      <c r="E382" s="124"/>
      <c r="F382" s="124"/>
      <c r="G382" s="124"/>
      <c r="H382" s="124"/>
      <c r="J382" s="124"/>
      <c r="K382" s="124"/>
    </row>
    <row r="383" ht="15.75" customHeight="1">
      <c r="C383" s="155"/>
      <c r="E383" s="124"/>
      <c r="F383" s="124"/>
      <c r="G383" s="124"/>
      <c r="H383" s="124"/>
      <c r="J383" s="124"/>
      <c r="K383" s="124"/>
    </row>
    <row r="384" ht="15.75" customHeight="1">
      <c r="C384" s="155"/>
      <c r="E384" s="124"/>
      <c r="F384" s="124"/>
      <c r="G384" s="124"/>
      <c r="H384" s="124"/>
      <c r="J384" s="124"/>
      <c r="K384" s="124"/>
    </row>
    <row r="385" ht="15.75" customHeight="1">
      <c r="C385" s="155"/>
      <c r="E385" s="124"/>
      <c r="F385" s="124"/>
      <c r="G385" s="124"/>
      <c r="H385" s="124"/>
      <c r="J385" s="124"/>
      <c r="K385" s="124"/>
    </row>
    <row r="386" ht="15.75" customHeight="1">
      <c r="C386" s="155"/>
      <c r="E386" s="124"/>
      <c r="F386" s="124"/>
      <c r="G386" s="124"/>
      <c r="H386" s="124"/>
      <c r="J386" s="124"/>
      <c r="K386" s="124"/>
    </row>
    <row r="387" ht="15.75" customHeight="1">
      <c r="C387" s="155"/>
      <c r="E387" s="124"/>
      <c r="F387" s="124"/>
      <c r="G387" s="124"/>
      <c r="H387" s="124"/>
      <c r="J387" s="124"/>
      <c r="K387" s="124"/>
    </row>
    <row r="388" ht="15.75" customHeight="1">
      <c r="C388" s="155"/>
      <c r="E388" s="124"/>
      <c r="F388" s="124"/>
      <c r="G388" s="124"/>
      <c r="H388" s="124"/>
      <c r="J388" s="124"/>
      <c r="K388" s="124"/>
    </row>
    <row r="389" ht="15.75" customHeight="1">
      <c r="C389" s="155"/>
      <c r="E389" s="124"/>
      <c r="F389" s="124"/>
      <c r="G389" s="124"/>
      <c r="H389" s="124"/>
      <c r="J389" s="124"/>
      <c r="K389" s="124"/>
    </row>
    <row r="390" ht="15.75" customHeight="1">
      <c r="C390" s="155"/>
      <c r="E390" s="124"/>
      <c r="F390" s="124"/>
      <c r="G390" s="124"/>
      <c r="H390" s="124"/>
      <c r="J390" s="124"/>
      <c r="K390" s="124"/>
    </row>
    <row r="391" ht="15.75" customHeight="1">
      <c r="C391" s="155"/>
      <c r="E391" s="124"/>
      <c r="F391" s="124"/>
      <c r="G391" s="124"/>
      <c r="H391" s="124"/>
      <c r="J391" s="124"/>
      <c r="K391" s="124"/>
    </row>
    <row r="392" ht="15.75" customHeight="1">
      <c r="C392" s="155"/>
      <c r="E392" s="124"/>
      <c r="F392" s="124"/>
      <c r="G392" s="124"/>
      <c r="H392" s="124"/>
      <c r="J392" s="124"/>
      <c r="K392" s="124"/>
    </row>
    <row r="393" ht="15.75" customHeight="1">
      <c r="C393" s="155"/>
      <c r="E393" s="124"/>
      <c r="F393" s="124"/>
      <c r="G393" s="124"/>
      <c r="H393" s="124"/>
      <c r="J393" s="124"/>
      <c r="K393" s="124"/>
    </row>
    <row r="394" ht="15.75" customHeight="1">
      <c r="C394" s="155"/>
      <c r="E394" s="124"/>
      <c r="F394" s="124"/>
      <c r="G394" s="124"/>
      <c r="H394" s="124"/>
      <c r="J394" s="124"/>
      <c r="K394" s="124"/>
    </row>
    <row r="395" ht="15.75" customHeight="1">
      <c r="C395" s="155"/>
      <c r="E395" s="124"/>
      <c r="F395" s="124"/>
      <c r="G395" s="124"/>
      <c r="H395" s="124"/>
      <c r="J395" s="124"/>
      <c r="K395" s="124"/>
    </row>
    <row r="396" ht="15.75" customHeight="1">
      <c r="C396" s="155"/>
      <c r="E396" s="124"/>
      <c r="F396" s="124"/>
      <c r="G396" s="124"/>
      <c r="H396" s="124"/>
      <c r="J396" s="124"/>
      <c r="K396" s="124"/>
    </row>
    <row r="397" ht="15.75" customHeight="1">
      <c r="C397" s="155"/>
      <c r="E397" s="124"/>
      <c r="F397" s="124"/>
      <c r="G397" s="124"/>
      <c r="H397" s="124"/>
      <c r="J397" s="124"/>
      <c r="K397" s="124"/>
    </row>
    <row r="398" ht="15.75" customHeight="1">
      <c r="C398" s="155"/>
      <c r="E398" s="124"/>
      <c r="F398" s="124"/>
      <c r="G398" s="124"/>
      <c r="H398" s="124"/>
      <c r="J398" s="124"/>
      <c r="K398" s="124"/>
    </row>
    <row r="399" ht="15.75" customHeight="1">
      <c r="C399" s="155"/>
      <c r="E399" s="124"/>
      <c r="F399" s="124"/>
      <c r="G399" s="124"/>
      <c r="H399" s="124"/>
      <c r="J399" s="124"/>
      <c r="K399" s="124"/>
    </row>
    <row r="400" ht="15.75" customHeight="1">
      <c r="C400" s="155"/>
      <c r="E400" s="124"/>
      <c r="F400" s="124"/>
      <c r="G400" s="124"/>
      <c r="H400" s="124"/>
      <c r="J400" s="124"/>
      <c r="K400" s="124"/>
    </row>
    <row r="401" ht="15.75" customHeight="1">
      <c r="C401" s="155"/>
      <c r="E401" s="124"/>
      <c r="F401" s="124"/>
      <c r="G401" s="124"/>
      <c r="H401" s="124"/>
      <c r="J401" s="124"/>
      <c r="K401" s="124"/>
    </row>
    <row r="402" ht="15.75" customHeight="1">
      <c r="C402" s="155"/>
      <c r="E402" s="124"/>
      <c r="F402" s="124"/>
      <c r="G402" s="124"/>
      <c r="H402" s="124"/>
      <c r="J402" s="124"/>
      <c r="K402" s="124"/>
    </row>
    <row r="403" ht="15.75" customHeight="1">
      <c r="C403" s="155"/>
      <c r="E403" s="124"/>
      <c r="F403" s="124"/>
      <c r="G403" s="124"/>
      <c r="H403" s="124"/>
      <c r="J403" s="124"/>
      <c r="K403" s="124"/>
    </row>
    <row r="404" ht="15.75" customHeight="1">
      <c r="C404" s="155"/>
      <c r="E404" s="124"/>
      <c r="F404" s="124"/>
      <c r="G404" s="124"/>
      <c r="H404" s="124"/>
      <c r="J404" s="124"/>
      <c r="K404" s="124"/>
    </row>
    <row r="405" ht="15.75" customHeight="1">
      <c r="C405" s="155"/>
      <c r="E405" s="124"/>
      <c r="F405" s="124"/>
      <c r="G405" s="124"/>
      <c r="H405" s="124"/>
      <c r="J405" s="124"/>
      <c r="K405" s="124"/>
    </row>
    <row r="406" ht="15.75" customHeight="1">
      <c r="C406" s="155"/>
      <c r="E406" s="124"/>
      <c r="F406" s="124"/>
      <c r="G406" s="124"/>
      <c r="H406" s="124"/>
      <c r="J406" s="124"/>
      <c r="K406" s="124"/>
    </row>
    <row r="407" ht="15.75" customHeight="1">
      <c r="C407" s="155"/>
      <c r="E407" s="124"/>
      <c r="F407" s="124"/>
      <c r="G407" s="124"/>
      <c r="H407" s="124"/>
      <c r="J407" s="124"/>
      <c r="K407" s="124"/>
    </row>
    <row r="408" ht="15.75" customHeight="1">
      <c r="C408" s="155"/>
      <c r="E408" s="124"/>
      <c r="F408" s="124"/>
      <c r="G408" s="124"/>
      <c r="H408" s="124"/>
      <c r="J408" s="124"/>
      <c r="K408" s="124"/>
    </row>
    <row r="409" ht="15.75" customHeight="1">
      <c r="C409" s="155"/>
      <c r="E409" s="124"/>
      <c r="F409" s="124"/>
      <c r="G409" s="124"/>
      <c r="H409" s="124"/>
      <c r="J409" s="124"/>
      <c r="K409" s="124"/>
    </row>
    <row r="410" ht="15.75" customHeight="1">
      <c r="C410" s="155"/>
      <c r="E410" s="124"/>
      <c r="F410" s="124"/>
      <c r="G410" s="124"/>
      <c r="H410" s="124"/>
      <c r="J410" s="124"/>
      <c r="K410" s="124"/>
    </row>
    <row r="411" ht="15.75" customHeight="1">
      <c r="C411" s="155"/>
      <c r="E411" s="124"/>
      <c r="F411" s="124"/>
      <c r="G411" s="124"/>
      <c r="H411" s="124"/>
      <c r="J411" s="124"/>
      <c r="K411" s="124"/>
    </row>
    <row r="412" ht="15.75" customHeight="1">
      <c r="C412" s="155"/>
      <c r="E412" s="124"/>
      <c r="F412" s="124"/>
      <c r="G412" s="124"/>
      <c r="H412" s="124"/>
      <c r="J412" s="124"/>
      <c r="K412" s="124"/>
    </row>
    <row r="413" ht="15.75" customHeight="1">
      <c r="C413" s="155"/>
      <c r="E413" s="124"/>
      <c r="F413" s="124"/>
      <c r="G413" s="124"/>
      <c r="H413" s="124"/>
      <c r="J413" s="124"/>
      <c r="K413" s="124"/>
    </row>
    <row r="414" ht="15.75" customHeight="1">
      <c r="C414" s="155"/>
      <c r="E414" s="124"/>
      <c r="F414" s="124"/>
      <c r="G414" s="124"/>
      <c r="H414" s="124"/>
      <c r="J414" s="124"/>
      <c r="K414" s="124"/>
    </row>
    <row r="415" ht="15.75" customHeight="1">
      <c r="C415" s="155"/>
      <c r="E415" s="124"/>
      <c r="F415" s="124"/>
      <c r="G415" s="124"/>
      <c r="H415" s="124"/>
      <c r="J415" s="124"/>
      <c r="K415" s="124"/>
    </row>
    <row r="416" ht="15.75" customHeight="1">
      <c r="C416" s="155"/>
      <c r="E416" s="124"/>
      <c r="F416" s="124"/>
      <c r="G416" s="124"/>
      <c r="H416" s="124"/>
      <c r="J416" s="124"/>
      <c r="K416" s="124"/>
    </row>
    <row r="417" ht="15.75" customHeight="1">
      <c r="C417" s="155"/>
      <c r="E417" s="124"/>
      <c r="F417" s="124"/>
      <c r="G417" s="124"/>
      <c r="H417" s="124"/>
      <c r="J417" s="124"/>
      <c r="K417" s="124"/>
    </row>
    <row r="418" ht="15.75" customHeight="1">
      <c r="C418" s="155"/>
      <c r="E418" s="124"/>
      <c r="F418" s="124"/>
      <c r="G418" s="124"/>
      <c r="H418" s="124"/>
      <c r="J418" s="124"/>
      <c r="K418" s="124"/>
    </row>
    <row r="419" ht="15.75" customHeight="1">
      <c r="C419" s="155"/>
      <c r="E419" s="124"/>
      <c r="F419" s="124"/>
      <c r="G419" s="124"/>
      <c r="H419" s="124"/>
      <c r="J419" s="124"/>
      <c r="K419" s="124"/>
    </row>
    <row r="420" ht="15.75" customHeight="1">
      <c r="C420" s="155"/>
      <c r="E420" s="124"/>
      <c r="F420" s="124"/>
      <c r="G420" s="124"/>
      <c r="H420" s="124"/>
      <c r="J420" s="124"/>
      <c r="K420" s="124"/>
    </row>
    <row r="421" ht="15.75" customHeight="1">
      <c r="C421" s="155"/>
      <c r="E421" s="124"/>
      <c r="F421" s="124"/>
      <c r="G421" s="124"/>
      <c r="H421" s="124"/>
      <c r="J421" s="124"/>
      <c r="K421" s="124"/>
    </row>
    <row r="422" ht="15.75" customHeight="1">
      <c r="C422" s="155"/>
      <c r="E422" s="124"/>
      <c r="F422" s="124"/>
      <c r="G422" s="124"/>
      <c r="H422" s="124"/>
      <c r="J422" s="124"/>
      <c r="K422" s="124"/>
    </row>
    <row r="423" ht="15.75" customHeight="1">
      <c r="C423" s="155"/>
      <c r="E423" s="124"/>
      <c r="F423" s="124"/>
      <c r="G423" s="124"/>
      <c r="H423" s="124"/>
      <c r="J423" s="124"/>
      <c r="K423" s="124"/>
    </row>
    <row r="424" ht="15.75" customHeight="1">
      <c r="C424" s="155"/>
      <c r="E424" s="124"/>
      <c r="F424" s="124"/>
      <c r="G424" s="124"/>
      <c r="H424" s="124"/>
      <c r="J424" s="124"/>
      <c r="K424" s="124"/>
    </row>
    <row r="425" ht="15.75" customHeight="1">
      <c r="C425" s="155"/>
      <c r="E425" s="124"/>
      <c r="F425" s="124"/>
      <c r="G425" s="124"/>
      <c r="H425" s="124"/>
      <c r="J425" s="124"/>
      <c r="K425" s="124"/>
    </row>
    <row r="426" ht="15.75" customHeight="1">
      <c r="C426" s="155"/>
      <c r="E426" s="124"/>
      <c r="F426" s="124"/>
      <c r="G426" s="124"/>
      <c r="H426" s="124"/>
      <c r="J426" s="124"/>
      <c r="K426" s="124"/>
    </row>
    <row r="427" ht="15.75" customHeight="1">
      <c r="C427" s="155"/>
      <c r="E427" s="124"/>
      <c r="F427" s="124"/>
      <c r="G427" s="124"/>
      <c r="H427" s="124"/>
      <c r="J427" s="124"/>
      <c r="K427" s="124"/>
    </row>
    <row r="428" ht="15.75" customHeight="1">
      <c r="C428" s="155"/>
      <c r="E428" s="124"/>
      <c r="F428" s="124"/>
      <c r="G428" s="124"/>
      <c r="H428" s="124"/>
      <c r="J428" s="124"/>
      <c r="K428" s="124"/>
    </row>
    <row r="429" ht="15.75" customHeight="1">
      <c r="C429" s="155"/>
      <c r="E429" s="124"/>
      <c r="F429" s="124"/>
      <c r="G429" s="124"/>
      <c r="H429" s="124"/>
      <c r="J429" s="124"/>
      <c r="K429" s="124"/>
    </row>
    <row r="430" ht="15.75" customHeight="1">
      <c r="C430" s="155"/>
      <c r="E430" s="124"/>
      <c r="F430" s="124"/>
      <c r="G430" s="124"/>
      <c r="H430" s="124"/>
      <c r="J430" s="124"/>
      <c r="K430" s="124"/>
    </row>
    <row r="431" ht="15.75" customHeight="1">
      <c r="C431" s="155"/>
      <c r="E431" s="124"/>
      <c r="F431" s="124"/>
      <c r="G431" s="124"/>
      <c r="H431" s="124"/>
      <c r="J431" s="124"/>
      <c r="K431" s="124"/>
    </row>
    <row r="432" ht="15.75" customHeight="1">
      <c r="C432" s="155"/>
      <c r="E432" s="124"/>
      <c r="F432" s="124"/>
      <c r="G432" s="124"/>
      <c r="H432" s="124"/>
      <c r="J432" s="124"/>
      <c r="K432" s="124"/>
    </row>
    <row r="433" ht="15.75" customHeight="1">
      <c r="C433" s="155"/>
      <c r="E433" s="124"/>
      <c r="F433" s="124"/>
      <c r="G433" s="124"/>
      <c r="H433" s="124"/>
      <c r="J433" s="124"/>
      <c r="K433" s="124"/>
    </row>
    <row r="434" ht="15.75" customHeight="1">
      <c r="C434" s="155"/>
      <c r="E434" s="124"/>
      <c r="F434" s="124"/>
      <c r="G434" s="124"/>
      <c r="H434" s="124"/>
      <c r="J434" s="124"/>
      <c r="K434" s="124"/>
    </row>
    <row r="435" ht="15.75" customHeight="1">
      <c r="C435" s="155"/>
      <c r="E435" s="124"/>
      <c r="F435" s="124"/>
      <c r="G435" s="124"/>
      <c r="H435" s="124"/>
      <c r="J435" s="124"/>
      <c r="K435" s="124"/>
    </row>
    <row r="436" ht="15.75" customHeight="1">
      <c r="C436" s="155"/>
      <c r="E436" s="124"/>
      <c r="F436" s="124"/>
      <c r="G436" s="124"/>
      <c r="H436" s="124"/>
      <c r="J436" s="124"/>
      <c r="K436" s="124"/>
    </row>
    <row r="437" ht="15.75" customHeight="1">
      <c r="C437" s="155"/>
      <c r="E437" s="124"/>
      <c r="F437" s="124"/>
      <c r="G437" s="124"/>
      <c r="H437" s="124"/>
      <c r="J437" s="124"/>
      <c r="K437" s="124"/>
    </row>
    <row r="438" ht="15.75" customHeight="1">
      <c r="C438" s="155"/>
      <c r="E438" s="124"/>
      <c r="F438" s="124"/>
      <c r="G438" s="124"/>
      <c r="H438" s="124"/>
      <c r="J438" s="124"/>
      <c r="K438" s="124"/>
    </row>
    <row r="439" ht="15.75" customHeight="1">
      <c r="C439" s="155"/>
      <c r="E439" s="124"/>
      <c r="F439" s="124"/>
      <c r="G439" s="124"/>
      <c r="H439" s="124"/>
      <c r="J439" s="124"/>
      <c r="K439" s="124"/>
    </row>
    <row r="440" ht="15.75" customHeight="1">
      <c r="C440" s="155"/>
      <c r="E440" s="124"/>
      <c r="F440" s="124"/>
      <c r="G440" s="124"/>
      <c r="H440" s="124"/>
      <c r="J440" s="124"/>
      <c r="K440" s="124"/>
    </row>
    <row r="441" ht="15.75" customHeight="1">
      <c r="C441" s="155"/>
      <c r="E441" s="124"/>
      <c r="F441" s="124"/>
      <c r="G441" s="124"/>
      <c r="H441" s="124"/>
      <c r="J441" s="124"/>
      <c r="K441" s="124"/>
    </row>
    <row r="442" ht="15.75" customHeight="1">
      <c r="C442" s="155"/>
      <c r="E442" s="124"/>
      <c r="F442" s="124"/>
      <c r="G442" s="124"/>
      <c r="H442" s="124"/>
      <c r="J442" s="124"/>
      <c r="K442" s="124"/>
    </row>
    <row r="443" ht="15.75" customHeight="1">
      <c r="C443" s="155"/>
      <c r="E443" s="124"/>
      <c r="F443" s="124"/>
      <c r="G443" s="124"/>
      <c r="H443" s="124"/>
      <c r="J443" s="124"/>
      <c r="K443" s="124"/>
    </row>
    <row r="444" ht="15.75" customHeight="1">
      <c r="C444" s="155"/>
      <c r="E444" s="124"/>
      <c r="F444" s="124"/>
      <c r="G444" s="124"/>
      <c r="H444" s="124"/>
      <c r="J444" s="124"/>
      <c r="K444" s="124"/>
    </row>
    <row r="445" ht="15.75" customHeight="1">
      <c r="C445" s="155"/>
      <c r="E445" s="124"/>
      <c r="F445" s="124"/>
      <c r="G445" s="124"/>
      <c r="H445" s="124"/>
      <c r="J445" s="124"/>
      <c r="K445" s="124"/>
    </row>
    <row r="446" ht="15.75" customHeight="1">
      <c r="C446" s="155"/>
      <c r="E446" s="124"/>
      <c r="F446" s="124"/>
      <c r="G446" s="124"/>
      <c r="H446" s="124"/>
      <c r="J446" s="124"/>
      <c r="K446" s="124"/>
    </row>
    <row r="447" ht="15.75" customHeight="1">
      <c r="C447" s="155"/>
      <c r="E447" s="124"/>
      <c r="F447" s="124"/>
      <c r="G447" s="124"/>
      <c r="H447" s="124"/>
      <c r="J447" s="124"/>
      <c r="K447" s="124"/>
    </row>
    <row r="448" ht="15.75" customHeight="1">
      <c r="C448" s="155"/>
      <c r="E448" s="124"/>
      <c r="F448" s="124"/>
      <c r="G448" s="124"/>
      <c r="H448" s="124"/>
      <c r="J448" s="124"/>
      <c r="K448" s="124"/>
    </row>
    <row r="449" ht="15.75" customHeight="1">
      <c r="C449" s="155"/>
      <c r="E449" s="124"/>
      <c r="F449" s="124"/>
      <c r="G449" s="124"/>
      <c r="H449" s="124"/>
      <c r="J449" s="124"/>
      <c r="K449" s="124"/>
    </row>
    <row r="450" ht="15.75" customHeight="1">
      <c r="C450" s="155"/>
      <c r="E450" s="124"/>
      <c r="F450" s="124"/>
      <c r="G450" s="124"/>
      <c r="H450" s="124"/>
      <c r="J450" s="124"/>
      <c r="K450" s="124"/>
    </row>
    <row r="451" ht="15.75" customHeight="1">
      <c r="C451" s="155"/>
      <c r="E451" s="124"/>
      <c r="F451" s="124"/>
      <c r="G451" s="124"/>
      <c r="H451" s="124"/>
      <c r="J451" s="124"/>
      <c r="K451" s="124"/>
    </row>
    <row r="452" ht="15.75" customHeight="1">
      <c r="C452" s="155"/>
      <c r="E452" s="124"/>
      <c r="F452" s="124"/>
      <c r="G452" s="124"/>
      <c r="H452" s="124"/>
      <c r="J452" s="124"/>
      <c r="K452" s="124"/>
    </row>
    <row r="453" ht="15.75" customHeight="1">
      <c r="C453" s="155"/>
      <c r="E453" s="124"/>
      <c r="F453" s="124"/>
      <c r="G453" s="124"/>
      <c r="H453" s="124"/>
      <c r="J453" s="124"/>
      <c r="K453" s="124"/>
    </row>
    <row r="454" ht="15.75" customHeight="1">
      <c r="C454" s="155"/>
      <c r="E454" s="124"/>
      <c r="F454" s="124"/>
      <c r="G454" s="124"/>
      <c r="H454" s="124"/>
      <c r="J454" s="124"/>
      <c r="K454" s="124"/>
    </row>
    <row r="455" ht="15.75" customHeight="1">
      <c r="C455" s="155"/>
      <c r="E455" s="124"/>
      <c r="F455" s="124"/>
      <c r="G455" s="124"/>
      <c r="H455" s="124"/>
      <c r="J455" s="124"/>
      <c r="K455" s="124"/>
    </row>
    <row r="456" ht="15.75" customHeight="1">
      <c r="C456" s="155"/>
      <c r="E456" s="124"/>
      <c r="F456" s="124"/>
      <c r="G456" s="124"/>
      <c r="H456" s="124"/>
      <c r="J456" s="124"/>
      <c r="K456" s="124"/>
    </row>
    <row r="457" ht="15.75" customHeight="1">
      <c r="C457" s="155"/>
      <c r="E457" s="124"/>
      <c r="F457" s="124"/>
      <c r="G457" s="124"/>
      <c r="H457" s="124"/>
      <c r="J457" s="124"/>
      <c r="K457" s="124"/>
    </row>
    <row r="458" ht="15.75" customHeight="1">
      <c r="C458" s="155"/>
      <c r="E458" s="124"/>
      <c r="F458" s="124"/>
      <c r="G458" s="124"/>
      <c r="H458" s="124"/>
      <c r="J458" s="124"/>
      <c r="K458" s="124"/>
    </row>
    <row r="459" ht="15.75" customHeight="1">
      <c r="C459" s="155"/>
      <c r="E459" s="124"/>
      <c r="F459" s="124"/>
      <c r="G459" s="124"/>
      <c r="H459" s="124"/>
      <c r="J459" s="124"/>
      <c r="K459" s="124"/>
    </row>
    <row r="460" ht="15.75" customHeight="1">
      <c r="C460" s="155"/>
      <c r="E460" s="124"/>
      <c r="F460" s="124"/>
      <c r="G460" s="124"/>
      <c r="H460" s="124"/>
      <c r="J460" s="124"/>
      <c r="K460" s="124"/>
    </row>
    <row r="461" ht="15.75" customHeight="1">
      <c r="C461" s="155"/>
      <c r="E461" s="124"/>
      <c r="F461" s="124"/>
      <c r="G461" s="124"/>
      <c r="H461" s="124"/>
      <c r="J461" s="124"/>
      <c r="K461" s="124"/>
    </row>
    <row r="462" ht="15.75" customHeight="1">
      <c r="C462" s="155"/>
      <c r="E462" s="124"/>
      <c r="F462" s="124"/>
      <c r="G462" s="124"/>
      <c r="H462" s="124"/>
      <c r="J462" s="124"/>
      <c r="K462" s="124"/>
    </row>
    <row r="463" ht="15.75" customHeight="1">
      <c r="C463" s="155"/>
      <c r="E463" s="124"/>
      <c r="F463" s="124"/>
      <c r="G463" s="124"/>
      <c r="H463" s="124"/>
      <c r="J463" s="124"/>
      <c r="K463" s="124"/>
    </row>
    <row r="464" ht="15.75" customHeight="1">
      <c r="C464" s="155"/>
      <c r="E464" s="124"/>
      <c r="F464" s="124"/>
      <c r="G464" s="124"/>
      <c r="H464" s="124"/>
      <c r="J464" s="124"/>
      <c r="K464" s="124"/>
    </row>
    <row r="465" ht="15.75" customHeight="1">
      <c r="C465" s="155"/>
      <c r="E465" s="124"/>
      <c r="F465" s="124"/>
      <c r="G465" s="124"/>
      <c r="H465" s="124"/>
      <c r="J465" s="124"/>
      <c r="K465" s="124"/>
    </row>
    <row r="466" ht="15.75" customHeight="1">
      <c r="C466" s="155"/>
      <c r="E466" s="124"/>
      <c r="F466" s="124"/>
      <c r="G466" s="124"/>
      <c r="H466" s="124"/>
      <c r="J466" s="124"/>
      <c r="K466" s="124"/>
    </row>
    <row r="467" ht="15.75" customHeight="1">
      <c r="C467" s="155"/>
      <c r="E467" s="124"/>
      <c r="F467" s="124"/>
      <c r="G467" s="124"/>
      <c r="H467" s="124"/>
      <c r="J467" s="124"/>
      <c r="K467" s="124"/>
    </row>
    <row r="468" ht="15.75" customHeight="1">
      <c r="C468" s="155"/>
      <c r="E468" s="124"/>
      <c r="F468" s="124"/>
      <c r="G468" s="124"/>
      <c r="H468" s="124"/>
      <c r="J468" s="124"/>
      <c r="K468" s="124"/>
    </row>
    <row r="469" ht="15.75" customHeight="1">
      <c r="C469" s="155"/>
      <c r="E469" s="124"/>
      <c r="F469" s="124"/>
      <c r="G469" s="124"/>
      <c r="H469" s="124"/>
      <c r="J469" s="124"/>
      <c r="K469" s="124"/>
    </row>
    <row r="470" ht="15.75" customHeight="1">
      <c r="C470" s="155"/>
      <c r="E470" s="124"/>
      <c r="F470" s="124"/>
      <c r="G470" s="124"/>
      <c r="H470" s="124"/>
      <c r="J470" s="124"/>
      <c r="K470" s="124"/>
    </row>
    <row r="471" ht="15.75" customHeight="1">
      <c r="C471" s="155"/>
      <c r="E471" s="124"/>
      <c r="F471" s="124"/>
      <c r="G471" s="124"/>
      <c r="H471" s="124"/>
      <c r="J471" s="124"/>
      <c r="K471" s="124"/>
    </row>
    <row r="472" ht="15.75" customHeight="1">
      <c r="C472" s="155"/>
      <c r="E472" s="124"/>
      <c r="F472" s="124"/>
      <c r="G472" s="124"/>
      <c r="H472" s="124"/>
      <c r="J472" s="124"/>
      <c r="K472" s="124"/>
    </row>
    <row r="473" ht="15.75" customHeight="1">
      <c r="C473" s="155"/>
      <c r="E473" s="124"/>
      <c r="F473" s="124"/>
      <c r="G473" s="124"/>
      <c r="H473" s="124"/>
      <c r="J473" s="124"/>
      <c r="K473" s="124"/>
    </row>
    <row r="474" ht="15.75" customHeight="1">
      <c r="C474" s="155"/>
      <c r="E474" s="124"/>
      <c r="F474" s="124"/>
      <c r="G474" s="124"/>
      <c r="H474" s="124"/>
      <c r="J474" s="124"/>
      <c r="K474" s="124"/>
    </row>
    <row r="475" ht="15.75" customHeight="1">
      <c r="C475" s="155"/>
      <c r="E475" s="124"/>
      <c r="F475" s="124"/>
      <c r="G475" s="124"/>
      <c r="H475" s="124"/>
      <c r="J475" s="124"/>
      <c r="K475" s="124"/>
    </row>
    <row r="476" ht="15.75" customHeight="1">
      <c r="C476" s="155"/>
      <c r="E476" s="124"/>
      <c r="F476" s="124"/>
      <c r="G476" s="124"/>
      <c r="H476" s="124"/>
      <c r="J476" s="124"/>
      <c r="K476" s="124"/>
    </row>
    <row r="477" ht="15.75" customHeight="1">
      <c r="C477" s="155"/>
      <c r="E477" s="124"/>
      <c r="F477" s="124"/>
      <c r="G477" s="124"/>
      <c r="H477" s="124"/>
      <c r="J477" s="124"/>
      <c r="K477" s="124"/>
    </row>
    <row r="478" ht="15.75" customHeight="1">
      <c r="C478" s="155"/>
      <c r="E478" s="124"/>
      <c r="F478" s="124"/>
      <c r="G478" s="124"/>
      <c r="H478" s="124"/>
      <c r="J478" s="124"/>
      <c r="K478" s="124"/>
    </row>
    <row r="479" ht="15.75" customHeight="1">
      <c r="C479" s="155"/>
      <c r="E479" s="124"/>
      <c r="F479" s="124"/>
      <c r="G479" s="124"/>
      <c r="H479" s="124"/>
      <c r="J479" s="124"/>
      <c r="K479" s="124"/>
    </row>
    <row r="480" ht="15.75" customHeight="1">
      <c r="C480" s="155"/>
      <c r="E480" s="124"/>
      <c r="F480" s="124"/>
      <c r="G480" s="124"/>
      <c r="H480" s="124"/>
      <c r="J480" s="124"/>
      <c r="K480" s="124"/>
    </row>
    <row r="481" ht="15.75" customHeight="1">
      <c r="C481" s="155"/>
      <c r="E481" s="124"/>
      <c r="F481" s="124"/>
      <c r="G481" s="124"/>
      <c r="H481" s="124"/>
      <c r="J481" s="124"/>
      <c r="K481" s="124"/>
    </row>
    <row r="482" ht="15.75" customHeight="1">
      <c r="C482" s="155"/>
      <c r="E482" s="124"/>
      <c r="F482" s="124"/>
      <c r="G482" s="124"/>
      <c r="H482" s="124"/>
      <c r="J482" s="124"/>
      <c r="K482" s="124"/>
    </row>
    <row r="483" ht="15.75" customHeight="1">
      <c r="C483" s="155"/>
      <c r="E483" s="124"/>
      <c r="F483" s="124"/>
      <c r="G483" s="124"/>
      <c r="H483" s="124"/>
      <c r="J483" s="124"/>
      <c r="K483" s="124"/>
    </row>
    <row r="484" ht="15.75" customHeight="1">
      <c r="C484" s="155"/>
      <c r="E484" s="124"/>
      <c r="F484" s="124"/>
      <c r="G484" s="124"/>
      <c r="H484" s="124"/>
      <c r="J484" s="124"/>
      <c r="K484" s="124"/>
    </row>
    <row r="485" ht="15.75" customHeight="1">
      <c r="C485" s="155"/>
      <c r="E485" s="124"/>
      <c r="F485" s="124"/>
      <c r="G485" s="124"/>
      <c r="H485" s="124"/>
      <c r="J485" s="124"/>
      <c r="K485" s="124"/>
    </row>
    <row r="486" ht="15.75" customHeight="1">
      <c r="C486" s="155"/>
      <c r="E486" s="124"/>
      <c r="F486" s="124"/>
      <c r="G486" s="124"/>
      <c r="H486" s="124"/>
      <c r="J486" s="124"/>
      <c r="K486" s="124"/>
    </row>
    <row r="487" ht="15.75" customHeight="1">
      <c r="C487" s="155"/>
      <c r="E487" s="124"/>
      <c r="F487" s="124"/>
      <c r="G487" s="124"/>
      <c r="H487" s="124"/>
      <c r="J487" s="124"/>
      <c r="K487" s="124"/>
    </row>
    <row r="488" ht="15.75" customHeight="1">
      <c r="C488" s="155"/>
      <c r="E488" s="124"/>
      <c r="F488" s="124"/>
      <c r="G488" s="124"/>
      <c r="H488" s="124"/>
      <c r="J488" s="124"/>
      <c r="K488" s="124"/>
    </row>
    <row r="489" ht="15.75" customHeight="1">
      <c r="C489" s="155"/>
      <c r="E489" s="124"/>
      <c r="F489" s="124"/>
      <c r="G489" s="124"/>
      <c r="H489" s="124"/>
      <c r="J489" s="124"/>
      <c r="K489" s="124"/>
    </row>
    <row r="490" ht="15.75" customHeight="1">
      <c r="C490" s="155"/>
      <c r="E490" s="124"/>
      <c r="F490" s="124"/>
      <c r="G490" s="124"/>
      <c r="H490" s="124"/>
      <c r="J490" s="124"/>
      <c r="K490" s="124"/>
    </row>
    <row r="491" ht="15.75" customHeight="1">
      <c r="C491" s="155"/>
      <c r="E491" s="124"/>
      <c r="F491" s="124"/>
      <c r="G491" s="124"/>
      <c r="H491" s="124"/>
      <c r="J491" s="124"/>
      <c r="K491" s="124"/>
    </row>
    <row r="492" ht="15.75" customHeight="1">
      <c r="C492" s="155"/>
      <c r="E492" s="124"/>
      <c r="F492" s="124"/>
      <c r="G492" s="124"/>
      <c r="H492" s="124"/>
      <c r="J492" s="124"/>
      <c r="K492" s="124"/>
    </row>
    <row r="493" ht="15.75" customHeight="1">
      <c r="C493" s="155"/>
      <c r="E493" s="124"/>
      <c r="F493" s="124"/>
      <c r="G493" s="124"/>
      <c r="H493" s="124"/>
      <c r="J493" s="124"/>
      <c r="K493" s="124"/>
    </row>
    <row r="494" ht="15.75" customHeight="1">
      <c r="C494" s="155"/>
      <c r="E494" s="124"/>
      <c r="F494" s="124"/>
      <c r="G494" s="124"/>
      <c r="H494" s="124"/>
      <c r="J494" s="124"/>
      <c r="K494" s="124"/>
    </row>
    <row r="495" ht="15.75" customHeight="1">
      <c r="C495" s="155"/>
      <c r="E495" s="124"/>
      <c r="F495" s="124"/>
      <c r="G495" s="124"/>
      <c r="H495" s="124"/>
      <c r="J495" s="124"/>
      <c r="K495" s="124"/>
    </row>
    <row r="496" ht="15.75" customHeight="1">
      <c r="C496" s="155"/>
      <c r="E496" s="124"/>
      <c r="F496" s="124"/>
      <c r="G496" s="124"/>
      <c r="H496" s="124"/>
      <c r="J496" s="124"/>
      <c r="K496" s="124"/>
    </row>
    <row r="497" ht="15.75" customHeight="1">
      <c r="C497" s="155"/>
      <c r="E497" s="124"/>
      <c r="F497" s="124"/>
      <c r="G497" s="124"/>
      <c r="H497" s="124"/>
      <c r="J497" s="124"/>
      <c r="K497" s="124"/>
    </row>
    <row r="498" ht="15.75" customHeight="1">
      <c r="C498" s="155"/>
      <c r="E498" s="124"/>
      <c r="F498" s="124"/>
      <c r="G498" s="124"/>
      <c r="H498" s="124"/>
      <c r="J498" s="124"/>
      <c r="K498" s="124"/>
    </row>
    <row r="499" ht="15.75" customHeight="1">
      <c r="C499" s="155"/>
      <c r="E499" s="124"/>
      <c r="F499" s="124"/>
      <c r="G499" s="124"/>
      <c r="H499" s="124"/>
      <c r="J499" s="124"/>
      <c r="K499" s="124"/>
    </row>
    <row r="500" ht="15.75" customHeight="1">
      <c r="C500" s="155"/>
      <c r="E500" s="124"/>
      <c r="F500" s="124"/>
      <c r="G500" s="124"/>
      <c r="H500" s="124"/>
      <c r="J500" s="124"/>
      <c r="K500" s="124"/>
    </row>
    <row r="501" ht="15.75" customHeight="1">
      <c r="C501" s="155"/>
      <c r="E501" s="124"/>
      <c r="F501" s="124"/>
      <c r="G501" s="124"/>
      <c r="H501" s="124"/>
      <c r="J501" s="124"/>
      <c r="K501" s="124"/>
    </row>
    <row r="502" ht="15.75" customHeight="1">
      <c r="C502" s="155"/>
      <c r="E502" s="124"/>
      <c r="F502" s="124"/>
      <c r="G502" s="124"/>
      <c r="H502" s="124"/>
      <c r="J502" s="124"/>
      <c r="K502" s="124"/>
    </row>
    <row r="503" ht="15.75" customHeight="1">
      <c r="C503" s="155"/>
      <c r="E503" s="124"/>
      <c r="F503" s="124"/>
      <c r="G503" s="124"/>
      <c r="H503" s="124"/>
      <c r="J503" s="124"/>
      <c r="K503" s="124"/>
    </row>
    <row r="504" ht="15.75" customHeight="1">
      <c r="C504" s="155"/>
      <c r="E504" s="124"/>
      <c r="F504" s="124"/>
      <c r="G504" s="124"/>
      <c r="H504" s="124"/>
      <c r="J504" s="124"/>
      <c r="K504" s="124"/>
    </row>
    <row r="505" ht="15.75" customHeight="1">
      <c r="C505" s="155"/>
      <c r="E505" s="124"/>
      <c r="F505" s="124"/>
      <c r="G505" s="124"/>
      <c r="H505" s="124"/>
      <c r="J505" s="124"/>
      <c r="K505" s="124"/>
    </row>
    <row r="506" ht="15.75" customHeight="1">
      <c r="C506" s="155"/>
      <c r="E506" s="124"/>
      <c r="F506" s="124"/>
      <c r="G506" s="124"/>
      <c r="H506" s="124"/>
      <c r="J506" s="124"/>
      <c r="K506" s="124"/>
    </row>
    <row r="507" ht="15.75" customHeight="1">
      <c r="C507" s="155"/>
      <c r="E507" s="124"/>
      <c r="F507" s="124"/>
      <c r="G507" s="124"/>
      <c r="H507" s="124"/>
      <c r="J507" s="124"/>
      <c r="K507" s="124"/>
    </row>
    <row r="508" ht="15.75" customHeight="1">
      <c r="C508" s="155"/>
      <c r="E508" s="124"/>
      <c r="F508" s="124"/>
      <c r="G508" s="124"/>
      <c r="H508" s="124"/>
      <c r="J508" s="124"/>
      <c r="K508" s="124"/>
    </row>
    <row r="509" ht="15.75" customHeight="1">
      <c r="C509" s="155"/>
      <c r="E509" s="124"/>
      <c r="F509" s="124"/>
      <c r="G509" s="124"/>
      <c r="H509" s="124"/>
      <c r="J509" s="124"/>
      <c r="K509" s="124"/>
    </row>
    <row r="510" ht="15.75" customHeight="1">
      <c r="C510" s="155"/>
      <c r="E510" s="124"/>
      <c r="F510" s="124"/>
      <c r="G510" s="124"/>
      <c r="H510" s="124"/>
      <c r="J510" s="124"/>
      <c r="K510" s="124"/>
    </row>
    <row r="511" ht="15.75" customHeight="1">
      <c r="C511" s="155"/>
      <c r="E511" s="124"/>
      <c r="F511" s="124"/>
      <c r="G511" s="124"/>
      <c r="H511" s="124"/>
      <c r="J511" s="124"/>
      <c r="K511" s="124"/>
    </row>
    <row r="512" ht="15.75" customHeight="1">
      <c r="C512" s="155"/>
      <c r="E512" s="124"/>
      <c r="F512" s="124"/>
      <c r="G512" s="124"/>
      <c r="H512" s="124"/>
      <c r="J512" s="124"/>
      <c r="K512" s="124"/>
    </row>
    <row r="513" ht="15.75" customHeight="1">
      <c r="C513" s="155"/>
      <c r="E513" s="124"/>
      <c r="F513" s="124"/>
      <c r="G513" s="124"/>
      <c r="H513" s="124"/>
      <c r="J513" s="124"/>
      <c r="K513" s="124"/>
    </row>
    <row r="514" ht="15.75" customHeight="1">
      <c r="C514" s="155"/>
      <c r="E514" s="124"/>
      <c r="F514" s="124"/>
      <c r="G514" s="124"/>
      <c r="H514" s="124"/>
      <c r="J514" s="124"/>
      <c r="K514" s="124"/>
    </row>
    <row r="515" ht="15.75" customHeight="1">
      <c r="C515" s="155"/>
      <c r="E515" s="124"/>
      <c r="F515" s="124"/>
      <c r="G515" s="124"/>
      <c r="H515" s="124"/>
      <c r="J515" s="124"/>
      <c r="K515" s="124"/>
    </row>
    <row r="516" ht="15.75" customHeight="1">
      <c r="C516" s="155"/>
      <c r="E516" s="124"/>
      <c r="F516" s="124"/>
      <c r="G516" s="124"/>
      <c r="H516" s="124"/>
      <c r="J516" s="124"/>
      <c r="K516" s="124"/>
    </row>
    <row r="517" ht="15.75" customHeight="1">
      <c r="C517" s="155"/>
      <c r="E517" s="124"/>
      <c r="F517" s="124"/>
      <c r="G517" s="124"/>
      <c r="H517" s="124"/>
      <c r="J517" s="124"/>
      <c r="K517" s="124"/>
    </row>
    <row r="518" ht="15.75" customHeight="1">
      <c r="C518" s="155"/>
      <c r="E518" s="124"/>
      <c r="F518" s="124"/>
      <c r="G518" s="124"/>
      <c r="H518" s="124"/>
      <c r="J518" s="124"/>
      <c r="K518" s="124"/>
    </row>
    <row r="519" ht="15.75" customHeight="1">
      <c r="C519" s="155"/>
      <c r="E519" s="124"/>
      <c r="F519" s="124"/>
      <c r="G519" s="124"/>
      <c r="H519" s="124"/>
      <c r="J519" s="124"/>
      <c r="K519" s="124"/>
    </row>
    <row r="520" ht="15.75" customHeight="1">
      <c r="C520" s="155"/>
      <c r="E520" s="124"/>
      <c r="F520" s="124"/>
      <c r="G520" s="124"/>
      <c r="H520" s="124"/>
      <c r="J520" s="124"/>
      <c r="K520" s="124"/>
    </row>
    <row r="521" ht="15.75" customHeight="1">
      <c r="C521" s="155"/>
      <c r="E521" s="124"/>
      <c r="F521" s="124"/>
      <c r="G521" s="124"/>
      <c r="H521" s="124"/>
      <c r="J521" s="124"/>
      <c r="K521" s="124"/>
    </row>
    <row r="522" ht="15.75" customHeight="1">
      <c r="C522" s="155"/>
      <c r="E522" s="124"/>
      <c r="F522" s="124"/>
      <c r="G522" s="124"/>
      <c r="H522" s="124"/>
      <c r="J522" s="124"/>
      <c r="K522" s="124"/>
    </row>
    <row r="523" ht="15.75" customHeight="1">
      <c r="C523" s="155"/>
      <c r="E523" s="124"/>
      <c r="F523" s="124"/>
      <c r="G523" s="124"/>
      <c r="H523" s="124"/>
      <c r="J523" s="124"/>
      <c r="K523" s="124"/>
    </row>
    <row r="524" ht="15.75" customHeight="1">
      <c r="C524" s="155"/>
      <c r="E524" s="124"/>
      <c r="F524" s="124"/>
      <c r="G524" s="124"/>
      <c r="H524" s="124"/>
      <c r="J524" s="124"/>
      <c r="K524" s="124"/>
    </row>
    <row r="525" ht="15.75" customHeight="1">
      <c r="C525" s="155"/>
      <c r="E525" s="124"/>
      <c r="F525" s="124"/>
      <c r="G525" s="124"/>
      <c r="H525" s="124"/>
      <c r="J525" s="124"/>
      <c r="K525" s="124"/>
    </row>
    <row r="526" ht="15.75" customHeight="1">
      <c r="C526" s="155"/>
      <c r="E526" s="124"/>
      <c r="F526" s="124"/>
      <c r="G526" s="124"/>
      <c r="H526" s="124"/>
      <c r="J526" s="124"/>
      <c r="K526" s="124"/>
    </row>
    <row r="527" ht="15.75" customHeight="1">
      <c r="C527" s="155"/>
      <c r="E527" s="124"/>
      <c r="F527" s="124"/>
      <c r="G527" s="124"/>
      <c r="H527" s="124"/>
      <c r="J527" s="124"/>
      <c r="K527" s="124"/>
    </row>
    <row r="528" ht="15.75" customHeight="1">
      <c r="C528" s="155"/>
      <c r="E528" s="124"/>
      <c r="F528" s="124"/>
      <c r="G528" s="124"/>
      <c r="H528" s="124"/>
      <c r="J528" s="124"/>
      <c r="K528" s="124"/>
    </row>
    <row r="529" ht="15.75" customHeight="1">
      <c r="C529" s="155"/>
      <c r="E529" s="124"/>
      <c r="F529" s="124"/>
      <c r="G529" s="124"/>
      <c r="H529" s="124"/>
      <c r="J529" s="124"/>
      <c r="K529" s="124"/>
    </row>
    <row r="530" ht="15.75" customHeight="1">
      <c r="C530" s="155"/>
      <c r="E530" s="124"/>
      <c r="F530" s="124"/>
      <c r="G530" s="124"/>
      <c r="H530" s="124"/>
      <c r="J530" s="124"/>
      <c r="K530" s="124"/>
    </row>
    <row r="531" ht="15.75" customHeight="1">
      <c r="C531" s="155"/>
      <c r="E531" s="124"/>
      <c r="F531" s="124"/>
      <c r="G531" s="124"/>
      <c r="H531" s="124"/>
      <c r="J531" s="124"/>
      <c r="K531" s="124"/>
    </row>
    <row r="532" ht="15.75" customHeight="1">
      <c r="C532" s="155"/>
      <c r="E532" s="124"/>
      <c r="F532" s="124"/>
      <c r="G532" s="124"/>
      <c r="H532" s="124"/>
      <c r="J532" s="124"/>
      <c r="K532" s="124"/>
    </row>
    <row r="533" ht="15.75" customHeight="1">
      <c r="C533" s="155"/>
      <c r="E533" s="124"/>
      <c r="F533" s="124"/>
      <c r="G533" s="124"/>
      <c r="H533" s="124"/>
      <c r="J533" s="124"/>
      <c r="K533" s="124"/>
    </row>
    <row r="534" ht="15.75" customHeight="1">
      <c r="C534" s="155"/>
      <c r="E534" s="124"/>
      <c r="F534" s="124"/>
      <c r="G534" s="124"/>
      <c r="H534" s="124"/>
      <c r="J534" s="124"/>
      <c r="K534" s="124"/>
    </row>
    <row r="535" ht="15.75" customHeight="1">
      <c r="C535" s="155"/>
      <c r="E535" s="124"/>
      <c r="F535" s="124"/>
      <c r="G535" s="124"/>
      <c r="H535" s="124"/>
      <c r="J535" s="124"/>
      <c r="K535" s="124"/>
    </row>
    <row r="536" ht="15.75" customHeight="1">
      <c r="C536" s="155"/>
      <c r="E536" s="124"/>
      <c r="F536" s="124"/>
      <c r="G536" s="124"/>
      <c r="H536" s="124"/>
      <c r="J536" s="124"/>
      <c r="K536" s="124"/>
    </row>
    <row r="537" ht="15.75" customHeight="1">
      <c r="C537" s="155"/>
      <c r="E537" s="124"/>
      <c r="F537" s="124"/>
      <c r="G537" s="124"/>
      <c r="H537" s="124"/>
      <c r="J537" s="124"/>
      <c r="K537" s="124"/>
    </row>
    <row r="538" ht="15.75" customHeight="1">
      <c r="C538" s="155"/>
      <c r="E538" s="124"/>
      <c r="F538" s="124"/>
      <c r="G538" s="124"/>
      <c r="H538" s="124"/>
      <c r="J538" s="124"/>
      <c r="K538" s="124"/>
    </row>
    <row r="539" ht="15.75" customHeight="1">
      <c r="C539" s="155"/>
      <c r="E539" s="124"/>
      <c r="F539" s="124"/>
      <c r="G539" s="124"/>
      <c r="H539" s="124"/>
      <c r="J539" s="124"/>
      <c r="K539" s="124"/>
    </row>
    <row r="540" ht="15.75" customHeight="1">
      <c r="C540" s="155"/>
      <c r="E540" s="124"/>
      <c r="F540" s="124"/>
      <c r="G540" s="124"/>
      <c r="H540" s="124"/>
      <c r="J540" s="124"/>
      <c r="K540" s="124"/>
    </row>
    <row r="541" ht="15.75" customHeight="1">
      <c r="C541" s="155"/>
      <c r="E541" s="124"/>
      <c r="F541" s="124"/>
      <c r="G541" s="124"/>
      <c r="H541" s="124"/>
      <c r="J541" s="124"/>
      <c r="K541" s="124"/>
    </row>
    <row r="542" ht="15.75" customHeight="1">
      <c r="C542" s="155"/>
      <c r="E542" s="124"/>
      <c r="F542" s="124"/>
      <c r="G542" s="124"/>
      <c r="H542" s="124"/>
      <c r="J542" s="124"/>
      <c r="K542" s="124"/>
    </row>
    <row r="543" ht="15.75" customHeight="1">
      <c r="C543" s="155"/>
      <c r="E543" s="124"/>
      <c r="F543" s="124"/>
      <c r="G543" s="124"/>
      <c r="H543" s="124"/>
      <c r="J543" s="124"/>
      <c r="K543" s="124"/>
    </row>
    <row r="544" ht="15.75" customHeight="1">
      <c r="C544" s="155"/>
      <c r="E544" s="124"/>
      <c r="F544" s="124"/>
      <c r="G544" s="124"/>
      <c r="H544" s="124"/>
      <c r="J544" s="124"/>
      <c r="K544" s="124"/>
    </row>
    <row r="545" ht="15.75" customHeight="1">
      <c r="C545" s="155"/>
      <c r="E545" s="124"/>
      <c r="F545" s="124"/>
      <c r="G545" s="124"/>
      <c r="H545" s="124"/>
      <c r="J545" s="124"/>
      <c r="K545" s="124"/>
    </row>
    <row r="546" ht="15.75" customHeight="1">
      <c r="C546" s="155"/>
      <c r="E546" s="124"/>
      <c r="F546" s="124"/>
      <c r="G546" s="124"/>
      <c r="H546" s="124"/>
      <c r="J546" s="124"/>
      <c r="K546" s="124"/>
    </row>
    <row r="547" ht="15.75" customHeight="1">
      <c r="C547" s="155"/>
      <c r="E547" s="124"/>
      <c r="F547" s="124"/>
      <c r="G547" s="124"/>
      <c r="H547" s="124"/>
      <c r="J547" s="124"/>
      <c r="K547" s="124"/>
    </row>
    <row r="548" ht="15.75" customHeight="1">
      <c r="C548" s="155"/>
      <c r="E548" s="124"/>
      <c r="F548" s="124"/>
      <c r="G548" s="124"/>
      <c r="H548" s="124"/>
      <c r="J548" s="124"/>
      <c r="K548" s="124"/>
    </row>
    <row r="549" ht="15.75" customHeight="1">
      <c r="C549" s="155"/>
      <c r="E549" s="124"/>
      <c r="F549" s="124"/>
      <c r="G549" s="124"/>
      <c r="H549" s="124"/>
      <c r="J549" s="124"/>
      <c r="K549" s="124"/>
    </row>
    <row r="550" ht="15.75" customHeight="1">
      <c r="C550" s="155"/>
      <c r="E550" s="124"/>
      <c r="F550" s="124"/>
      <c r="G550" s="124"/>
      <c r="H550" s="124"/>
      <c r="J550" s="124"/>
      <c r="K550" s="124"/>
    </row>
    <row r="551" ht="15.75" customHeight="1">
      <c r="C551" s="155"/>
      <c r="E551" s="124"/>
      <c r="F551" s="124"/>
      <c r="G551" s="124"/>
      <c r="H551" s="124"/>
      <c r="J551" s="124"/>
      <c r="K551" s="124"/>
    </row>
    <row r="552" ht="15.75" customHeight="1">
      <c r="C552" s="155"/>
      <c r="E552" s="124"/>
      <c r="F552" s="124"/>
      <c r="G552" s="124"/>
      <c r="H552" s="124"/>
      <c r="J552" s="124"/>
      <c r="K552" s="124"/>
    </row>
    <row r="553" ht="15.75" customHeight="1">
      <c r="C553" s="155"/>
      <c r="E553" s="124"/>
      <c r="F553" s="124"/>
      <c r="G553" s="124"/>
      <c r="H553" s="124"/>
      <c r="J553" s="124"/>
      <c r="K553" s="124"/>
    </row>
    <row r="554" ht="15.75" customHeight="1">
      <c r="C554" s="155"/>
      <c r="E554" s="124"/>
      <c r="F554" s="124"/>
      <c r="G554" s="124"/>
      <c r="H554" s="124"/>
      <c r="J554" s="124"/>
      <c r="K554" s="124"/>
    </row>
    <row r="555" ht="15.75" customHeight="1">
      <c r="C555" s="155"/>
      <c r="E555" s="124"/>
      <c r="F555" s="124"/>
      <c r="G555" s="124"/>
      <c r="H555" s="124"/>
      <c r="J555" s="124"/>
      <c r="K555" s="124"/>
    </row>
    <row r="556" ht="15.75" customHeight="1">
      <c r="C556" s="155"/>
      <c r="E556" s="124"/>
      <c r="F556" s="124"/>
      <c r="G556" s="124"/>
      <c r="H556" s="124"/>
      <c r="J556" s="124"/>
      <c r="K556" s="124"/>
    </row>
    <row r="557" ht="15.75" customHeight="1">
      <c r="C557" s="155"/>
      <c r="E557" s="124"/>
      <c r="F557" s="124"/>
      <c r="G557" s="124"/>
      <c r="H557" s="124"/>
      <c r="J557" s="124"/>
      <c r="K557" s="124"/>
    </row>
    <row r="558" ht="15.75" customHeight="1">
      <c r="C558" s="155"/>
      <c r="E558" s="124"/>
      <c r="F558" s="124"/>
      <c r="G558" s="124"/>
      <c r="H558" s="124"/>
      <c r="J558" s="124"/>
      <c r="K558" s="124"/>
    </row>
    <row r="559" ht="15.75" customHeight="1">
      <c r="C559" s="155"/>
      <c r="E559" s="124"/>
      <c r="F559" s="124"/>
      <c r="G559" s="124"/>
      <c r="H559" s="124"/>
      <c r="J559" s="124"/>
      <c r="K559" s="124"/>
    </row>
    <row r="560" ht="15.75" customHeight="1">
      <c r="C560" s="155"/>
      <c r="E560" s="124"/>
      <c r="F560" s="124"/>
      <c r="G560" s="124"/>
      <c r="H560" s="124"/>
      <c r="J560" s="124"/>
      <c r="K560" s="124"/>
    </row>
    <row r="561" ht="15.75" customHeight="1">
      <c r="C561" s="155"/>
      <c r="E561" s="124"/>
      <c r="F561" s="124"/>
      <c r="G561" s="124"/>
      <c r="H561" s="124"/>
      <c r="J561" s="124"/>
      <c r="K561" s="124"/>
    </row>
    <row r="562" ht="15.75" customHeight="1">
      <c r="C562" s="155"/>
      <c r="E562" s="124"/>
      <c r="F562" s="124"/>
      <c r="G562" s="124"/>
      <c r="H562" s="124"/>
      <c r="J562" s="124"/>
      <c r="K562" s="124"/>
    </row>
    <row r="563" ht="15.75" customHeight="1">
      <c r="C563" s="155"/>
      <c r="E563" s="124"/>
      <c r="F563" s="124"/>
      <c r="G563" s="124"/>
      <c r="H563" s="124"/>
      <c r="J563" s="124"/>
      <c r="K563" s="124"/>
    </row>
    <row r="564" ht="15.75" customHeight="1">
      <c r="C564" s="155"/>
      <c r="E564" s="124"/>
      <c r="F564" s="124"/>
      <c r="G564" s="124"/>
      <c r="H564" s="124"/>
      <c r="J564" s="124"/>
      <c r="K564" s="124"/>
    </row>
    <row r="565" ht="15.75" customHeight="1">
      <c r="C565" s="155"/>
      <c r="E565" s="124"/>
      <c r="F565" s="124"/>
      <c r="G565" s="124"/>
      <c r="H565" s="124"/>
      <c r="J565" s="124"/>
      <c r="K565" s="124"/>
    </row>
    <row r="566" ht="15.75" customHeight="1">
      <c r="C566" s="155"/>
      <c r="E566" s="124"/>
      <c r="F566" s="124"/>
      <c r="G566" s="124"/>
      <c r="H566" s="124"/>
      <c r="J566" s="124"/>
      <c r="K566" s="124"/>
    </row>
    <row r="567" ht="15.75" customHeight="1">
      <c r="C567" s="155"/>
      <c r="E567" s="124"/>
      <c r="F567" s="124"/>
      <c r="G567" s="124"/>
      <c r="H567" s="124"/>
      <c r="J567" s="124"/>
      <c r="K567" s="124"/>
    </row>
    <row r="568" ht="15.75" customHeight="1">
      <c r="C568" s="155"/>
      <c r="E568" s="124"/>
      <c r="F568" s="124"/>
      <c r="G568" s="124"/>
      <c r="H568" s="124"/>
      <c r="J568" s="124"/>
      <c r="K568" s="124"/>
    </row>
    <row r="569" ht="15.75" customHeight="1">
      <c r="C569" s="155"/>
      <c r="E569" s="124"/>
      <c r="F569" s="124"/>
      <c r="G569" s="124"/>
      <c r="H569" s="124"/>
      <c r="J569" s="124"/>
      <c r="K569" s="124"/>
    </row>
    <row r="570" ht="15.75" customHeight="1">
      <c r="C570" s="155"/>
      <c r="E570" s="124"/>
      <c r="F570" s="124"/>
      <c r="G570" s="124"/>
      <c r="H570" s="124"/>
      <c r="J570" s="124"/>
      <c r="K570" s="124"/>
    </row>
    <row r="571" ht="15.75" customHeight="1">
      <c r="C571" s="155"/>
      <c r="E571" s="124"/>
      <c r="F571" s="124"/>
      <c r="G571" s="124"/>
      <c r="H571" s="124"/>
      <c r="J571" s="124"/>
      <c r="K571" s="124"/>
    </row>
    <row r="572" ht="15.75" customHeight="1">
      <c r="C572" s="155"/>
      <c r="E572" s="124"/>
      <c r="F572" s="124"/>
      <c r="G572" s="124"/>
      <c r="H572" s="124"/>
      <c r="J572" s="124"/>
      <c r="K572" s="124"/>
    </row>
    <row r="573" ht="15.75" customHeight="1">
      <c r="C573" s="155"/>
      <c r="E573" s="124"/>
      <c r="F573" s="124"/>
      <c r="G573" s="124"/>
      <c r="H573" s="124"/>
      <c r="J573" s="124"/>
      <c r="K573" s="124"/>
    </row>
    <row r="574" ht="15.75" customHeight="1">
      <c r="C574" s="155"/>
      <c r="E574" s="124"/>
      <c r="F574" s="124"/>
      <c r="G574" s="124"/>
      <c r="H574" s="124"/>
      <c r="J574" s="124"/>
      <c r="K574" s="124"/>
    </row>
    <row r="575" ht="15.75" customHeight="1">
      <c r="C575" s="155"/>
      <c r="E575" s="124"/>
      <c r="F575" s="124"/>
      <c r="G575" s="124"/>
      <c r="H575" s="124"/>
      <c r="J575" s="124"/>
      <c r="K575" s="124"/>
    </row>
    <row r="576" ht="15.75" customHeight="1">
      <c r="C576" s="155"/>
      <c r="E576" s="124"/>
      <c r="F576" s="124"/>
      <c r="G576" s="124"/>
      <c r="H576" s="124"/>
      <c r="J576" s="124"/>
      <c r="K576" s="124"/>
    </row>
    <row r="577" ht="15.75" customHeight="1">
      <c r="C577" s="155"/>
      <c r="E577" s="124"/>
      <c r="F577" s="124"/>
      <c r="G577" s="124"/>
      <c r="H577" s="124"/>
      <c r="J577" s="124"/>
      <c r="K577" s="124"/>
    </row>
    <row r="578" ht="15.75" customHeight="1">
      <c r="C578" s="155"/>
      <c r="E578" s="124"/>
      <c r="F578" s="124"/>
      <c r="G578" s="124"/>
      <c r="H578" s="124"/>
      <c r="J578" s="124"/>
      <c r="K578" s="124"/>
    </row>
    <row r="579" ht="15.75" customHeight="1">
      <c r="C579" s="155"/>
      <c r="E579" s="124"/>
      <c r="F579" s="124"/>
      <c r="G579" s="124"/>
      <c r="H579" s="124"/>
      <c r="J579" s="124"/>
      <c r="K579" s="124"/>
    </row>
    <row r="580" ht="15.75" customHeight="1">
      <c r="C580" s="155"/>
      <c r="E580" s="124"/>
      <c r="F580" s="124"/>
      <c r="G580" s="124"/>
      <c r="H580" s="124"/>
      <c r="J580" s="124"/>
      <c r="K580" s="124"/>
    </row>
    <row r="581" ht="15.75" customHeight="1">
      <c r="C581" s="155"/>
      <c r="E581" s="124"/>
      <c r="F581" s="124"/>
      <c r="G581" s="124"/>
      <c r="H581" s="124"/>
      <c r="J581" s="124"/>
      <c r="K581" s="124"/>
    </row>
    <row r="582" ht="15.75" customHeight="1">
      <c r="C582" s="155"/>
      <c r="E582" s="124"/>
      <c r="F582" s="124"/>
      <c r="G582" s="124"/>
      <c r="H582" s="124"/>
      <c r="J582" s="124"/>
      <c r="K582" s="124"/>
    </row>
    <row r="583" ht="15.75" customHeight="1">
      <c r="C583" s="155"/>
      <c r="E583" s="124"/>
      <c r="F583" s="124"/>
      <c r="G583" s="124"/>
      <c r="H583" s="124"/>
      <c r="J583" s="124"/>
      <c r="K583" s="124"/>
    </row>
    <row r="584" ht="15.75" customHeight="1">
      <c r="C584" s="155"/>
      <c r="E584" s="124"/>
      <c r="F584" s="124"/>
      <c r="G584" s="124"/>
      <c r="H584" s="124"/>
      <c r="J584" s="124"/>
      <c r="K584" s="124"/>
    </row>
    <row r="585" ht="15.75" customHeight="1">
      <c r="C585" s="155"/>
      <c r="E585" s="124"/>
      <c r="F585" s="124"/>
      <c r="G585" s="124"/>
      <c r="H585" s="124"/>
      <c r="J585" s="124"/>
      <c r="K585" s="124"/>
    </row>
    <row r="586" ht="15.75" customHeight="1">
      <c r="C586" s="155"/>
      <c r="E586" s="124"/>
      <c r="F586" s="124"/>
      <c r="G586" s="124"/>
      <c r="H586" s="124"/>
      <c r="J586" s="124"/>
      <c r="K586" s="124"/>
    </row>
    <row r="587" ht="15.75" customHeight="1">
      <c r="C587" s="155"/>
      <c r="E587" s="124"/>
      <c r="F587" s="124"/>
      <c r="G587" s="124"/>
      <c r="H587" s="124"/>
      <c r="J587" s="124"/>
      <c r="K587" s="124"/>
    </row>
    <row r="588" ht="15.75" customHeight="1">
      <c r="C588" s="155"/>
      <c r="E588" s="124"/>
      <c r="F588" s="124"/>
      <c r="G588" s="124"/>
      <c r="H588" s="124"/>
      <c r="J588" s="124"/>
      <c r="K588" s="124"/>
    </row>
    <row r="589" ht="15.75" customHeight="1">
      <c r="C589" s="155"/>
      <c r="E589" s="124"/>
      <c r="F589" s="124"/>
      <c r="G589" s="124"/>
      <c r="H589" s="124"/>
      <c r="J589" s="124"/>
      <c r="K589" s="124"/>
    </row>
    <row r="590" ht="15.75" customHeight="1">
      <c r="C590" s="155"/>
      <c r="E590" s="124"/>
      <c r="F590" s="124"/>
      <c r="G590" s="124"/>
      <c r="H590" s="124"/>
      <c r="J590" s="124"/>
      <c r="K590" s="124"/>
    </row>
    <row r="591" ht="15.75" customHeight="1">
      <c r="C591" s="155"/>
      <c r="E591" s="124"/>
      <c r="F591" s="124"/>
      <c r="G591" s="124"/>
      <c r="H591" s="124"/>
      <c r="J591" s="124"/>
      <c r="K591" s="124"/>
    </row>
    <row r="592" ht="15.75" customHeight="1">
      <c r="C592" s="155"/>
      <c r="E592" s="124"/>
      <c r="F592" s="124"/>
      <c r="G592" s="124"/>
      <c r="H592" s="124"/>
      <c r="J592" s="124"/>
      <c r="K592" s="124"/>
    </row>
    <row r="593" ht="15.75" customHeight="1">
      <c r="C593" s="155"/>
      <c r="E593" s="124"/>
      <c r="F593" s="124"/>
      <c r="G593" s="124"/>
      <c r="H593" s="124"/>
      <c r="J593" s="124"/>
      <c r="K593" s="124"/>
    </row>
    <row r="594" ht="15.75" customHeight="1">
      <c r="C594" s="155"/>
      <c r="E594" s="124"/>
      <c r="F594" s="124"/>
      <c r="G594" s="124"/>
      <c r="H594" s="124"/>
      <c r="J594" s="124"/>
      <c r="K594" s="124"/>
    </row>
    <row r="595" ht="15.75" customHeight="1">
      <c r="C595" s="155"/>
      <c r="E595" s="124"/>
      <c r="F595" s="124"/>
      <c r="G595" s="124"/>
      <c r="H595" s="124"/>
      <c r="J595" s="124"/>
      <c r="K595" s="124"/>
    </row>
    <row r="596" ht="15.75" customHeight="1">
      <c r="C596" s="155"/>
      <c r="E596" s="124"/>
      <c r="F596" s="124"/>
      <c r="G596" s="124"/>
      <c r="H596" s="124"/>
      <c r="J596" s="124"/>
      <c r="K596" s="124"/>
    </row>
    <row r="597" ht="15.75" customHeight="1">
      <c r="C597" s="155"/>
      <c r="E597" s="124"/>
      <c r="F597" s="124"/>
      <c r="G597" s="124"/>
      <c r="H597" s="124"/>
      <c r="J597" s="124"/>
      <c r="K597" s="124"/>
    </row>
    <row r="598" ht="15.75" customHeight="1">
      <c r="C598" s="155"/>
      <c r="E598" s="124"/>
      <c r="F598" s="124"/>
      <c r="G598" s="124"/>
      <c r="H598" s="124"/>
      <c r="J598" s="124"/>
      <c r="K598" s="124"/>
    </row>
    <row r="599" ht="15.75" customHeight="1">
      <c r="C599" s="155"/>
      <c r="E599" s="124"/>
      <c r="F599" s="124"/>
      <c r="G599" s="124"/>
      <c r="H599" s="124"/>
      <c r="J599" s="124"/>
      <c r="K599" s="124"/>
    </row>
    <row r="600" ht="15.75" customHeight="1">
      <c r="C600" s="155"/>
      <c r="E600" s="124"/>
      <c r="F600" s="124"/>
      <c r="G600" s="124"/>
      <c r="H600" s="124"/>
      <c r="J600" s="124"/>
      <c r="K600" s="124"/>
    </row>
    <row r="601" ht="15.75" customHeight="1">
      <c r="C601" s="155"/>
      <c r="E601" s="124"/>
      <c r="F601" s="124"/>
      <c r="G601" s="124"/>
      <c r="H601" s="124"/>
      <c r="J601" s="124"/>
      <c r="K601" s="124"/>
    </row>
    <row r="602" ht="15.75" customHeight="1">
      <c r="C602" s="155"/>
      <c r="E602" s="124"/>
      <c r="F602" s="124"/>
      <c r="G602" s="124"/>
      <c r="H602" s="124"/>
      <c r="J602" s="124"/>
      <c r="K602" s="124"/>
    </row>
    <row r="603" ht="15.75" customHeight="1">
      <c r="C603" s="155"/>
      <c r="E603" s="124"/>
      <c r="F603" s="124"/>
      <c r="G603" s="124"/>
      <c r="H603" s="124"/>
      <c r="J603" s="124"/>
      <c r="K603" s="124"/>
    </row>
    <row r="604" ht="15.75" customHeight="1">
      <c r="C604" s="155"/>
      <c r="E604" s="124"/>
      <c r="F604" s="124"/>
      <c r="G604" s="124"/>
      <c r="H604" s="124"/>
      <c r="J604" s="124"/>
      <c r="K604" s="124"/>
    </row>
    <row r="605" ht="15.75" customHeight="1">
      <c r="C605" s="155"/>
      <c r="E605" s="124"/>
      <c r="F605" s="124"/>
      <c r="G605" s="124"/>
      <c r="H605" s="124"/>
      <c r="J605" s="124"/>
      <c r="K605" s="124"/>
    </row>
    <row r="606" ht="15.75" customHeight="1">
      <c r="C606" s="155"/>
      <c r="E606" s="124"/>
      <c r="F606" s="124"/>
      <c r="G606" s="124"/>
      <c r="H606" s="124"/>
      <c r="J606" s="124"/>
      <c r="K606" s="124"/>
    </row>
    <row r="607" ht="15.75" customHeight="1">
      <c r="C607" s="155"/>
      <c r="E607" s="124"/>
      <c r="F607" s="124"/>
      <c r="G607" s="124"/>
      <c r="H607" s="124"/>
      <c r="J607" s="124"/>
      <c r="K607" s="124"/>
    </row>
    <row r="608" ht="15.75" customHeight="1">
      <c r="C608" s="155"/>
      <c r="E608" s="124"/>
      <c r="F608" s="124"/>
      <c r="G608" s="124"/>
      <c r="H608" s="124"/>
      <c r="J608" s="124"/>
      <c r="K608" s="124"/>
    </row>
    <row r="609" ht="15.75" customHeight="1">
      <c r="C609" s="155"/>
      <c r="E609" s="124"/>
      <c r="F609" s="124"/>
      <c r="G609" s="124"/>
      <c r="H609" s="124"/>
      <c r="J609" s="124"/>
      <c r="K609" s="124"/>
    </row>
    <row r="610" ht="15.75" customHeight="1">
      <c r="C610" s="155"/>
      <c r="E610" s="124"/>
      <c r="F610" s="124"/>
      <c r="G610" s="124"/>
      <c r="H610" s="124"/>
      <c r="J610" s="124"/>
      <c r="K610" s="124"/>
    </row>
    <row r="611" ht="15.75" customHeight="1">
      <c r="C611" s="155"/>
      <c r="E611" s="124"/>
      <c r="F611" s="124"/>
      <c r="G611" s="124"/>
      <c r="H611" s="124"/>
      <c r="J611" s="124"/>
      <c r="K611" s="124"/>
    </row>
    <row r="612" ht="15.75" customHeight="1">
      <c r="C612" s="155"/>
      <c r="E612" s="124"/>
      <c r="F612" s="124"/>
      <c r="G612" s="124"/>
      <c r="H612" s="124"/>
      <c r="J612" s="124"/>
      <c r="K612" s="124"/>
    </row>
    <row r="613" ht="15.75" customHeight="1">
      <c r="C613" s="155"/>
      <c r="E613" s="124"/>
      <c r="F613" s="124"/>
      <c r="G613" s="124"/>
      <c r="H613" s="124"/>
      <c r="J613" s="124"/>
      <c r="K613" s="124"/>
    </row>
    <row r="614" ht="15.75" customHeight="1">
      <c r="C614" s="155"/>
      <c r="E614" s="124"/>
      <c r="F614" s="124"/>
      <c r="G614" s="124"/>
      <c r="H614" s="124"/>
      <c r="J614" s="124"/>
      <c r="K614" s="124"/>
    </row>
    <row r="615" ht="15.75" customHeight="1">
      <c r="C615" s="155"/>
      <c r="E615" s="124"/>
      <c r="F615" s="124"/>
      <c r="G615" s="124"/>
      <c r="H615" s="124"/>
      <c r="J615" s="124"/>
      <c r="K615" s="124"/>
    </row>
    <row r="616" ht="15.75" customHeight="1">
      <c r="C616" s="155"/>
      <c r="E616" s="124"/>
      <c r="F616" s="124"/>
      <c r="G616" s="124"/>
      <c r="H616" s="124"/>
      <c r="J616" s="124"/>
      <c r="K616" s="124"/>
    </row>
    <row r="617" ht="15.75" customHeight="1">
      <c r="C617" s="155"/>
      <c r="E617" s="124"/>
      <c r="F617" s="124"/>
      <c r="G617" s="124"/>
      <c r="H617" s="124"/>
      <c r="J617" s="124"/>
      <c r="K617" s="124"/>
    </row>
    <row r="618" ht="15.75" customHeight="1">
      <c r="C618" s="155"/>
      <c r="E618" s="124"/>
      <c r="F618" s="124"/>
      <c r="G618" s="124"/>
      <c r="H618" s="124"/>
      <c r="J618" s="124"/>
      <c r="K618" s="124"/>
    </row>
    <row r="619" ht="15.75" customHeight="1">
      <c r="C619" s="155"/>
      <c r="E619" s="124"/>
      <c r="F619" s="124"/>
      <c r="G619" s="124"/>
      <c r="H619" s="124"/>
      <c r="J619" s="124"/>
      <c r="K619" s="124"/>
    </row>
    <row r="620" ht="15.75" customHeight="1">
      <c r="C620" s="155"/>
      <c r="E620" s="124"/>
      <c r="F620" s="124"/>
      <c r="G620" s="124"/>
      <c r="H620" s="124"/>
      <c r="J620" s="124"/>
      <c r="K620" s="124"/>
    </row>
    <row r="621" ht="15.75" customHeight="1">
      <c r="C621" s="155"/>
      <c r="E621" s="124"/>
      <c r="F621" s="124"/>
      <c r="G621" s="124"/>
      <c r="H621" s="124"/>
      <c r="J621" s="124"/>
      <c r="K621" s="124"/>
    </row>
    <row r="622" ht="15.75" customHeight="1">
      <c r="C622" s="155"/>
      <c r="E622" s="124"/>
      <c r="F622" s="124"/>
      <c r="G622" s="124"/>
      <c r="H622" s="124"/>
      <c r="J622" s="124"/>
      <c r="K622" s="124"/>
    </row>
    <row r="623" ht="15.75" customHeight="1">
      <c r="C623" s="155"/>
      <c r="E623" s="124"/>
      <c r="F623" s="124"/>
      <c r="G623" s="124"/>
      <c r="H623" s="124"/>
      <c r="J623" s="124"/>
      <c r="K623" s="124"/>
    </row>
    <row r="624" ht="15.75" customHeight="1">
      <c r="C624" s="155"/>
      <c r="E624" s="124"/>
      <c r="F624" s="124"/>
      <c r="G624" s="124"/>
      <c r="H624" s="124"/>
      <c r="J624" s="124"/>
      <c r="K624" s="124"/>
    </row>
    <row r="625" ht="15.75" customHeight="1">
      <c r="C625" s="155"/>
      <c r="E625" s="124"/>
      <c r="F625" s="124"/>
      <c r="G625" s="124"/>
      <c r="H625" s="124"/>
      <c r="J625" s="124"/>
      <c r="K625" s="124"/>
    </row>
    <row r="626" ht="15.75" customHeight="1">
      <c r="C626" s="155"/>
      <c r="E626" s="124"/>
      <c r="F626" s="124"/>
      <c r="G626" s="124"/>
      <c r="H626" s="124"/>
      <c r="J626" s="124"/>
      <c r="K626" s="124"/>
    </row>
    <row r="627" ht="15.75" customHeight="1">
      <c r="C627" s="155"/>
      <c r="E627" s="124"/>
      <c r="F627" s="124"/>
      <c r="G627" s="124"/>
      <c r="H627" s="124"/>
      <c r="J627" s="124"/>
      <c r="K627" s="124"/>
    </row>
    <row r="628" ht="15.75" customHeight="1">
      <c r="C628" s="155"/>
      <c r="E628" s="124"/>
      <c r="F628" s="124"/>
      <c r="G628" s="124"/>
      <c r="H628" s="124"/>
      <c r="J628" s="124"/>
      <c r="K628" s="124"/>
    </row>
    <row r="629" ht="15.75" customHeight="1">
      <c r="C629" s="155"/>
      <c r="E629" s="124"/>
      <c r="F629" s="124"/>
      <c r="G629" s="124"/>
      <c r="H629" s="124"/>
      <c r="J629" s="124"/>
      <c r="K629" s="124"/>
    </row>
    <row r="630" ht="15.75" customHeight="1">
      <c r="C630" s="155"/>
      <c r="E630" s="124"/>
      <c r="F630" s="124"/>
      <c r="G630" s="124"/>
      <c r="H630" s="124"/>
      <c r="J630" s="124"/>
      <c r="K630" s="124"/>
    </row>
    <row r="631" ht="15.75" customHeight="1">
      <c r="C631" s="155"/>
      <c r="E631" s="124"/>
      <c r="F631" s="124"/>
      <c r="G631" s="124"/>
      <c r="H631" s="124"/>
      <c r="J631" s="124"/>
      <c r="K631" s="124"/>
    </row>
    <row r="632" ht="15.75" customHeight="1">
      <c r="C632" s="155"/>
      <c r="E632" s="124"/>
      <c r="F632" s="124"/>
      <c r="G632" s="124"/>
      <c r="H632" s="124"/>
      <c r="J632" s="124"/>
      <c r="K632" s="124"/>
    </row>
    <row r="633" ht="15.75" customHeight="1">
      <c r="C633" s="155"/>
      <c r="E633" s="124"/>
      <c r="F633" s="124"/>
      <c r="G633" s="124"/>
      <c r="H633" s="124"/>
      <c r="J633" s="124"/>
      <c r="K633" s="124"/>
    </row>
    <row r="634" ht="15.75" customHeight="1">
      <c r="C634" s="155"/>
      <c r="E634" s="124"/>
      <c r="F634" s="124"/>
      <c r="G634" s="124"/>
      <c r="H634" s="124"/>
      <c r="J634" s="124"/>
      <c r="K634" s="124"/>
    </row>
    <row r="635" ht="15.75" customHeight="1">
      <c r="C635" s="155"/>
      <c r="E635" s="124"/>
      <c r="F635" s="124"/>
      <c r="G635" s="124"/>
      <c r="H635" s="124"/>
      <c r="J635" s="124"/>
      <c r="K635" s="124"/>
    </row>
    <row r="636" ht="15.75" customHeight="1">
      <c r="C636" s="155"/>
      <c r="E636" s="124"/>
      <c r="F636" s="124"/>
      <c r="G636" s="124"/>
      <c r="H636" s="124"/>
      <c r="J636" s="124"/>
      <c r="K636" s="124"/>
    </row>
    <row r="637" ht="15.75" customHeight="1">
      <c r="C637" s="155"/>
      <c r="E637" s="124"/>
      <c r="F637" s="124"/>
      <c r="G637" s="124"/>
      <c r="H637" s="124"/>
      <c r="J637" s="124"/>
      <c r="K637" s="124"/>
    </row>
    <row r="638" ht="15.75" customHeight="1">
      <c r="C638" s="155"/>
      <c r="E638" s="124"/>
      <c r="F638" s="124"/>
      <c r="G638" s="124"/>
      <c r="H638" s="124"/>
      <c r="J638" s="124"/>
      <c r="K638" s="124"/>
    </row>
    <row r="639" ht="15.75" customHeight="1">
      <c r="C639" s="155"/>
      <c r="E639" s="124"/>
      <c r="F639" s="124"/>
      <c r="G639" s="124"/>
      <c r="H639" s="124"/>
      <c r="J639" s="124"/>
      <c r="K639" s="124"/>
    </row>
    <row r="640" ht="15.75" customHeight="1">
      <c r="C640" s="155"/>
      <c r="E640" s="124"/>
      <c r="F640" s="124"/>
      <c r="G640" s="124"/>
      <c r="H640" s="124"/>
      <c r="J640" s="124"/>
      <c r="K640" s="124"/>
    </row>
    <row r="641" ht="15.75" customHeight="1">
      <c r="C641" s="155"/>
      <c r="E641" s="124"/>
      <c r="F641" s="124"/>
      <c r="G641" s="124"/>
      <c r="H641" s="124"/>
      <c r="J641" s="124"/>
      <c r="K641" s="124"/>
    </row>
    <row r="642" ht="15.75" customHeight="1">
      <c r="C642" s="155"/>
      <c r="E642" s="124"/>
      <c r="F642" s="124"/>
      <c r="G642" s="124"/>
      <c r="H642" s="124"/>
      <c r="J642" s="124"/>
      <c r="K642" s="124"/>
    </row>
    <row r="643" ht="15.75" customHeight="1">
      <c r="C643" s="155"/>
      <c r="E643" s="124"/>
      <c r="F643" s="124"/>
      <c r="G643" s="124"/>
      <c r="H643" s="124"/>
      <c r="J643" s="124"/>
      <c r="K643" s="124"/>
    </row>
    <row r="644" ht="15.75" customHeight="1">
      <c r="C644" s="155"/>
      <c r="E644" s="124"/>
      <c r="F644" s="124"/>
      <c r="G644" s="124"/>
      <c r="H644" s="124"/>
      <c r="J644" s="124"/>
      <c r="K644" s="124"/>
    </row>
    <row r="645" ht="15.75" customHeight="1">
      <c r="C645" s="155"/>
      <c r="E645" s="124"/>
      <c r="F645" s="124"/>
      <c r="G645" s="124"/>
      <c r="H645" s="124"/>
      <c r="J645" s="124"/>
      <c r="K645" s="124"/>
    </row>
    <row r="646" ht="15.75" customHeight="1">
      <c r="C646" s="155"/>
      <c r="E646" s="124"/>
      <c r="F646" s="124"/>
      <c r="G646" s="124"/>
      <c r="H646" s="124"/>
      <c r="J646" s="124"/>
      <c r="K646" s="124"/>
    </row>
    <row r="647" ht="15.75" customHeight="1">
      <c r="C647" s="155"/>
      <c r="E647" s="124"/>
      <c r="F647" s="124"/>
      <c r="G647" s="124"/>
      <c r="H647" s="124"/>
      <c r="J647" s="124"/>
      <c r="K647" s="124"/>
    </row>
    <row r="648" ht="15.75" customHeight="1">
      <c r="C648" s="155"/>
      <c r="E648" s="124"/>
      <c r="F648" s="124"/>
      <c r="G648" s="124"/>
      <c r="H648" s="124"/>
      <c r="J648" s="124"/>
      <c r="K648" s="124"/>
    </row>
    <row r="649" ht="15.75" customHeight="1">
      <c r="C649" s="155"/>
      <c r="E649" s="124"/>
      <c r="F649" s="124"/>
      <c r="G649" s="124"/>
      <c r="H649" s="124"/>
      <c r="J649" s="124"/>
      <c r="K649" s="124"/>
    </row>
    <row r="650" ht="15.75" customHeight="1">
      <c r="C650" s="155"/>
      <c r="E650" s="124"/>
      <c r="F650" s="124"/>
      <c r="G650" s="124"/>
      <c r="H650" s="124"/>
      <c r="J650" s="124"/>
      <c r="K650" s="124"/>
    </row>
    <row r="651" ht="15.75" customHeight="1">
      <c r="C651" s="155"/>
      <c r="E651" s="124"/>
      <c r="F651" s="124"/>
      <c r="G651" s="124"/>
      <c r="H651" s="124"/>
      <c r="J651" s="124"/>
      <c r="K651" s="124"/>
    </row>
    <row r="652" ht="15.75" customHeight="1">
      <c r="C652" s="155"/>
      <c r="E652" s="124"/>
      <c r="F652" s="124"/>
      <c r="G652" s="124"/>
      <c r="H652" s="124"/>
      <c r="J652" s="124"/>
      <c r="K652" s="124"/>
    </row>
    <row r="653" ht="15.75" customHeight="1">
      <c r="C653" s="155"/>
      <c r="E653" s="124"/>
      <c r="F653" s="124"/>
      <c r="G653" s="124"/>
      <c r="H653" s="124"/>
      <c r="J653" s="124"/>
      <c r="K653" s="124"/>
    </row>
    <row r="654" ht="15.75" customHeight="1">
      <c r="C654" s="155"/>
      <c r="E654" s="124"/>
      <c r="F654" s="124"/>
      <c r="G654" s="124"/>
      <c r="H654" s="124"/>
      <c r="J654" s="124"/>
      <c r="K654" s="124"/>
    </row>
    <row r="655" ht="15.75" customHeight="1">
      <c r="C655" s="155"/>
      <c r="E655" s="124"/>
      <c r="F655" s="124"/>
      <c r="G655" s="124"/>
      <c r="H655" s="124"/>
      <c r="J655" s="124"/>
      <c r="K655" s="124"/>
    </row>
    <row r="656" ht="15.75" customHeight="1">
      <c r="C656" s="155"/>
      <c r="E656" s="124"/>
      <c r="F656" s="124"/>
      <c r="G656" s="124"/>
      <c r="H656" s="124"/>
      <c r="J656" s="124"/>
      <c r="K656" s="124"/>
    </row>
    <row r="657" ht="15.75" customHeight="1">
      <c r="C657" s="155"/>
      <c r="E657" s="124"/>
      <c r="F657" s="124"/>
      <c r="G657" s="124"/>
      <c r="H657" s="124"/>
      <c r="J657" s="124"/>
      <c r="K657" s="124"/>
    </row>
    <row r="658" ht="15.75" customHeight="1">
      <c r="C658" s="155"/>
      <c r="E658" s="124"/>
      <c r="F658" s="124"/>
      <c r="G658" s="124"/>
      <c r="H658" s="124"/>
      <c r="J658" s="124"/>
      <c r="K658" s="124"/>
    </row>
    <row r="659" ht="15.75" customHeight="1">
      <c r="C659" s="155"/>
      <c r="E659" s="124"/>
      <c r="F659" s="124"/>
      <c r="G659" s="124"/>
      <c r="H659" s="124"/>
      <c r="J659" s="124"/>
      <c r="K659" s="124"/>
    </row>
    <row r="660" ht="15.75" customHeight="1">
      <c r="C660" s="155"/>
      <c r="E660" s="124"/>
      <c r="F660" s="124"/>
      <c r="G660" s="124"/>
      <c r="H660" s="124"/>
      <c r="J660" s="124"/>
      <c r="K660" s="124"/>
    </row>
    <row r="661" ht="15.75" customHeight="1">
      <c r="C661" s="155"/>
      <c r="E661" s="124"/>
      <c r="F661" s="124"/>
      <c r="G661" s="124"/>
      <c r="H661" s="124"/>
      <c r="J661" s="124"/>
      <c r="K661" s="124"/>
    </row>
    <row r="662" ht="15.75" customHeight="1">
      <c r="C662" s="155"/>
      <c r="E662" s="124"/>
      <c r="F662" s="124"/>
      <c r="G662" s="124"/>
      <c r="H662" s="124"/>
      <c r="J662" s="124"/>
      <c r="K662" s="124"/>
    </row>
    <row r="663" ht="15.75" customHeight="1">
      <c r="C663" s="155"/>
      <c r="E663" s="124"/>
      <c r="F663" s="124"/>
      <c r="G663" s="124"/>
      <c r="H663" s="124"/>
      <c r="J663" s="124"/>
      <c r="K663" s="124"/>
    </row>
    <row r="664" ht="15.75" customHeight="1">
      <c r="C664" s="155"/>
      <c r="E664" s="124"/>
      <c r="F664" s="124"/>
      <c r="G664" s="124"/>
      <c r="H664" s="124"/>
      <c r="J664" s="124"/>
      <c r="K664" s="124"/>
    </row>
    <row r="665" ht="15.75" customHeight="1">
      <c r="C665" s="155"/>
      <c r="E665" s="124"/>
      <c r="F665" s="124"/>
      <c r="G665" s="124"/>
      <c r="H665" s="124"/>
      <c r="J665" s="124"/>
      <c r="K665" s="124"/>
    </row>
    <row r="666" ht="15.75" customHeight="1">
      <c r="C666" s="155"/>
      <c r="E666" s="124"/>
      <c r="F666" s="124"/>
      <c r="G666" s="124"/>
      <c r="H666" s="124"/>
      <c r="J666" s="124"/>
      <c r="K666" s="124"/>
    </row>
    <row r="667" ht="15.75" customHeight="1">
      <c r="C667" s="155"/>
      <c r="E667" s="124"/>
      <c r="F667" s="124"/>
      <c r="G667" s="124"/>
      <c r="H667" s="124"/>
      <c r="J667" s="124"/>
      <c r="K667" s="124"/>
    </row>
    <row r="668" ht="15.75" customHeight="1">
      <c r="C668" s="155"/>
      <c r="E668" s="124"/>
      <c r="F668" s="124"/>
      <c r="G668" s="124"/>
      <c r="H668" s="124"/>
      <c r="J668" s="124"/>
      <c r="K668" s="124"/>
    </row>
    <row r="669" ht="15.75" customHeight="1">
      <c r="C669" s="155"/>
      <c r="E669" s="124"/>
      <c r="F669" s="124"/>
      <c r="G669" s="124"/>
      <c r="H669" s="124"/>
      <c r="J669" s="124"/>
      <c r="K669" s="124"/>
    </row>
    <row r="670" ht="15.75" customHeight="1">
      <c r="C670" s="155"/>
      <c r="E670" s="124"/>
      <c r="F670" s="124"/>
      <c r="G670" s="124"/>
      <c r="H670" s="124"/>
      <c r="J670" s="124"/>
      <c r="K670" s="124"/>
    </row>
    <row r="671" ht="15.75" customHeight="1">
      <c r="C671" s="155"/>
      <c r="E671" s="124"/>
      <c r="F671" s="124"/>
      <c r="G671" s="124"/>
      <c r="H671" s="124"/>
      <c r="J671" s="124"/>
      <c r="K671" s="124"/>
    </row>
    <row r="672" ht="15.75" customHeight="1">
      <c r="C672" s="155"/>
      <c r="E672" s="124"/>
      <c r="F672" s="124"/>
      <c r="G672" s="124"/>
      <c r="H672" s="124"/>
      <c r="J672" s="124"/>
      <c r="K672" s="124"/>
    </row>
    <row r="673" ht="15.75" customHeight="1">
      <c r="C673" s="155"/>
      <c r="E673" s="124"/>
      <c r="F673" s="124"/>
      <c r="G673" s="124"/>
      <c r="H673" s="124"/>
      <c r="J673" s="124"/>
      <c r="K673" s="124"/>
    </row>
    <row r="674" ht="15.75" customHeight="1">
      <c r="C674" s="155"/>
      <c r="E674" s="124"/>
      <c r="F674" s="124"/>
      <c r="G674" s="124"/>
      <c r="H674" s="124"/>
      <c r="J674" s="124"/>
      <c r="K674" s="124"/>
    </row>
    <row r="675" ht="15.75" customHeight="1">
      <c r="C675" s="155"/>
      <c r="E675" s="124"/>
      <c r="F675" s="124"/>
      <c r="G675" s="124"/>
      <c r="H675" s="124"/>
      <c r="J675" s="124"/>
      <c r="K675" s="124"/>
    </row>
    <row r="676" ht="15.75" customHeight="1">
      <c r="C676" s="155"/>
      <c r="E676" s="124"/>
      <c r="F676" s="124"/>
      <c r="G676" s="124"/>
      <c r="H676" s="124"/>
      <c r="J676" s="124"/>
      <c r="K676" s="124"/>
    </row>
    <row r="677" ht="15.75" customHeight="1">
      <c r="C677" s="155"/>
      <c r="E677" s="124"/>
      <c r="F677" s="124"/>
      <c r="G677" s="124"/>
      <c r="H677" s="124"/>
      <c r="J677" s="124"/>
      <c r="K677" s="124"/>
    </row>
    <row r="678" ht="15.75" customHeight="1">
      <c r="C678" s="155"/>
      <c r="E678" s="124"/>
      <c r="F678" s="124"/>
      <c r="G678" s="124"/>
      <c r="H678" s="124"/>
      <c r="J678" s="124"/>
      <c r="K678" s="124"/>
    </row>
    <row r="679" ht="15.75" customHeight="1">
      <c r="C679" s="155"/>
      <c r="E679" s="124"/>
      <c r="F679" s="124"/>
      <c r="G679" s="124"/>
      <c r="H679" s="124"/>
      <c r="J679" s="124"/>
      <c r="K679" s="124"/>
    </row>
    <row r="680" ht="15.75" customHeight="1">
      <c r="C680" s="155"/>
      <c r="E680" s="124"/>
      <c r="F680" s="124"/>
      <c r="G680" s="124"/>
      <c r="H680" s="124"/>
      <c r="J680" s="124"/>
      <c r="K680" s="124"/>
    </row>
    <row r="681" ht="15.75" customHeight="1">
      <c r="C681" s="155"/>
      <c r="E681" s="124"/>
      <c r="F681" s="124"/>
      <c r="G681" s="124"/>
      <c r="H681" s="124"/>
      <c r="J681" s="124"/>
      <c r="K681" s="124"/>
    </row>
    <row r="682" ht="15.75" customHeight="1">
      <c r="C682" s="155"/>
      <c r="E682" s="124"/>
      <c r="F682" s="124"/>
      <c r="G682" s="124"/>
      <c r="H682" s="124"/>
      <c r="J682" s="124"/>
      <c r="K682" s="124"/>
    </row>
    <row r="683" ht="15.75" customHeight="1">
      <c r="C683" s="155"/>
      <c r="E683" s="124"/>
      <c r="F683" s="124"/>
      <c r="G683" s="124"/>
      <c r="H683" s="124"/>
      <c r="J683" s="124"/>
      <c r="K683" s="124"/>
    </row>
    <row r="684" ht="15.75" customHeight="1">
      <c r="C684" s="155"/>
      <c r="E684" s="124"/>
      <c r="F684" s="124"/>
      <c r="G684" s="124"/>
      <c r="H684" s="124"/>
      <c r="J684" s="124"/>
      <c r="K684" s="124"/>
    </row>
    <row r="685" ht="15.75" customHeight="1">
      <c r="C685" s="155"/>
      <c r="E685" s="124"/>
      <c r="F685" s="124"/>
      <c r="G685" s="124"/>
      <c r="H685" s="124"/>
      <c r="J685" s="124"/>
      <c r="K685" s="124"/>
    </row>
    <row r="686" ht="15.75" customHeight="1">
      <c r="C686" s="155"/>
      <c r="E686" s="124"/>
      <c r="F686" s="124"/>
      <c r="G686" s="124"/>
      <c r="H686" s="124"/>
      <c r="J686" s="124"/>
      <c r="K686" s="124"/>
    </row>
    <row r="687" ht="15.75" customHeight="1">
      <c r="C687" s="155"/>
      <c r="E687" s="124"/>
      <c r="F687" s="124"/>
      <c r="G687" s="124"/>
      <c r="H687" s="124"/>
      <c r="J687" s="124"/>
      <c r="K687" s="124"/>
    </row>
    <row r="688" ht="15.75" customHeight="1">
      <c r="C688" s="155"/>
      <c r="E688" s="124"/>
      <c r="F688" s="124"/>
      <c r="G688" s="124"/>
      <c r="H688" s="124"/>
      <c r="J688" s="124"/>
      <c r="K688" s="124"/>
    </row>
    <row r="689" ht="15.75" customHeight="1">
      <c r="C689" s="155"/>
      <c r="E689" s="124"/>
      <c r="F689" s="124"/>
      <c r="G689" s="124"/>
      <c r="H689" s="124"/>
      <c r="J689" s="124"/>
      <c r="K689" s="124"/>
    </row>
    <row r="690" ht="15.75" customHeight="1">
      <c r="C690" s="155"/>
      <c r="E690" s="124"/>
      <c r="F690" s="124"/>
      <c r="G690" s="124"/>
      <c r="H690" s="124"/>
      <c r="J690" s="124"/>
      <c r="K690" s="124"/>
    </row>
    <row r="691" ht="15.75" customHeight="1">
      <c r="C691" s="155"/>
      <c r="E691" s="124"/>
      <c r="F691" s="124"/>
      <c r="G691" s="124"/>
      <c r="H691" s="124"/>
      <c r="J691" s="124"/>
      <c r="K691" s="124"/>
    </row>
    <row r="692" ht="15.75" customHeight="1">
      <c r="C692" s="155"/>
      <c r="E692" s="124"/>
      <c r="F692" s="124"/>
      <c r="G692" s="124"/>
      <c r="H692" s="124"/>
      <c r="J692" s="124"/>
      <c r="K692" s="124"/>
    </row>
    <row r="693" ht="15.75" customHeight="1">
      <c r="C693" s="155"/>
      <c r="E693" s="124"/>
      <c r="F693" s="124"/>
      <c r="G693" s="124"/>
      <c r="H693" s="124"/>
      <c r="J693" s="124"/>
      <c r="K693" s="124"/>
    </row>
    <row r="694" ht="15.75" customHeight="1">
      <c r="C694" s="155"/>
      <c r="E694" s="124"/>
      <c r="F694" s="124"/>
      <c r="G694" s="124"/>
      <c r="H694" s="124"/>
      <c r="J694" s="124"/>
      <c r="K694" s="124"/>
    </row>
    <row r="695" ht="15.75" customHeight="1">
      <c r="C695" s="155"/>
      <c r="E695" s="124"/>
      <c r="F695" s="124"/>
      <c r="G695" s="124"/>
      <c r="H695" s="124"/>
      <c r="J695" s="124"/>
      <c r="K695" s="124"/>
    </row>
    <row r="696" ht="15.75" customHeight="1">
      <c r="C696" s="155"/>
      <c r="E696" s="124"/>
      <c r="F696" s="124"/>
      <c r="G696" s="124"/>
      <c r="H696" s="124"/>
      <c r="J696" s="124"/>
      <c r="K696" s="124"/>
    </row>
    <row r="697" ht="15.75" customHeight="1">
      <c r="C697" s="155"/>
      <c r="E697" s="124"/>
      <c r="F697" s="124"/>
      <c r="G697" s="124"/>
      <c r="H697" s="124"/>
      <c r="J697" s="124"/>
      <c r="K697" s="124"/>
    </row>
    <row r="698" ht="15.75" customHeight="1">
      <c r="C698" s="155"/>
      <c r="E698" s="124"/>
      <c r="F698" s="124"/>
      <c r="G698" s="124"/>
      <c r="H698" s="124"/>
      <c r="J698" s="124"/>
      <c r="K698" s="124"/>
    </row>
    <row r="699" ht="15.75" customHeight="1">
      <c r="C699" s="155"/>
      <c r="E699" s="124"/>
      <c r="F699" s="124"/>
      <c r="G699" s="124"/>
      <c r="H699" s="124"/>
      <c r="J699" s="124"/>
      <c r="K699" s="124"/>
    </row>
    <row r="700" ht="15.75" customHeight="1">
      <c r="C700" s="155"/>
      <c r="E700" s="124"/>
      <c r="F700" s="124"/>
      <c r="G700" s="124"/>
      <c r="H700" s="124"/>
      <c r="J700" s="124"/>
      <c r="K700" s="124"/>
    </row>
    <row r="701" ht="15.75" customHeight="1">
      <c r="C701" s="155"/>
      <c r="E701" s="124"/>
      <c r="F701" s="124"/>
      <c r="G701" s="124"/>
      <c r="H701" s="124"/>
      <c r="J701" s="124"/>
      <c r="K701" s="124"/>
    </row>
    <row r="702" ht="15.75" customHeight="1">
      <c r="C702" s="155"/>
      <c r="E702" s="124"/>
      <c r="F702" s="124"/>
      <c r="G702" s="124"/>
      <c r="H702" s="124"/>
      <c r="J702" s="124"/>
      <c r="K702" s="124"/>
    </row>
    <row r="703" ht="15.75" customHeight="1">
      <c r="C703" s="155"/>
      <c r="E703" s="124"/>
      <c r="F703" s="124"/>
      <c r="G703" s="124"/>
      <c r="H703" s="124"/>
      <c r="J703" s="124"/>
      <c r="K703" s="124"/>
    </row>
    <row r="704" ht="15.75" customHeight="1">
      <c r="C704" s="155"/>
      <c r="E704" s="124"/>
      <c r="F704" s="124"/>
      <c r="G704" s="124"/>
      <c r="H704" s="124"/>
      <c r="J704" s="124"/>
      <c r="K704" s="124"/>
    </row>
    <row r="705" ht="15.75" customHeight="1">
      <c r="C705" s="155"/>
      <c r="E705" s="124"/>
      <c r="F705" s="124"/>
      <c r="G705" s="124"/>
      <c r="H705" s="124"/>
      <c r="J705" s="124"/>
      <c r="K705" s="124"/>
    </row>
    <row r="706" ht="15.75" customHeight="1">
      <c r="C706" s="155"/>
      <c r="E706" s="124"/>
      <c r="F706" s="124"/>
      <c r="G706" s="124"/>
      <c r="H706" s="124"/>
      <c r="J706" s="124"/>
      <c r="K706" s="124"/>
    </row>
    <row r="707" ht="15.75" customHeight="1">
      <c r="C707" s="155"/>
      <c r="E707" s="124"/>
      <c r="F707" s="124"/>
      <c r="G707" s="124"/>
      <c r="H707" s="124"/>
      <c r="J707" s="124"/>
      <c r="K707" s="124"/>
    </row>
    <row r="708" ht="15.75" customHeight="1">
      <c r="C708" s="155"/>
      <c r="E708" s="124"/>
      <c r="F708" s="124"/>
      <c r="G708" s="124"/>
      <c r="H708" s="124"/>
      <c r="J708" s="124"/>
      <c r="K708" s="124"/>
    </row>
    <row r="709" ht="15.75" customHeight="1">
      <c r="C709" s="155"/>
      <c r="E709" s="124"/>
      <c r="F709" s="124"/>
      <c r="G709" s="124"/>
      <c r="H709" s="124"/>
      <c r="J709" s="124"/>
      <c r="K709" s="124"/>
    </row>
    <row r="710" ht="15.75" customHeight="1">
      <c r="C710" s="155"/>
      <c r="E710" s="124"/>
      <c r="F710" s="124"/>
      <c r="G710" s="124"/>
      <c r="H710" s="124"/>
      <c r="J710" s="124"/>
      <c r="K710" s="124"/>
    </row>
    <row r="711" ht="15.75" customHeight="1">
      <c r="C711" s="155"/>
      <c r="E711" s="124"/>
      <c r="F711" s="124"/>
      <c r="G711" s="124"/>
      <c r="H711" s="124"/>
      <c r="J711" s="124"/>
      <c r="K711" s="124"/>
    </row>
    <row r="712" ht="15.75" customHeight="1">
      <c r="C712" s="155"/>
      <c r="E712" s="124"/>
      <c r="F712" s="124"/>
      <c r="G712" s="124"/>
      <c r="H712" s="124"/>
      <c r="J712" s="124"/>
      <c r="K712" s="124"/>
    </row>
    <row r="713" ht="15.75" customHeight="1">
      <c r="C713" s="155"/>
      <c r="E713" s="124"/>
      <c r="F713" s="124"/>
      <c r="G713" s="124"/>
      <c r="H713" s="124"/>
      <c r="J713" s="124"/>
      <c r="K713" s="124"/>
    </row>
    <row r="714" ht="15.75" customHeight="1">
      <c r="C714" s="155"/>
      <c r="E714" s="124"/>
      <c r="F714" s="124"/>
      <c r="G714" s="124"/>
      <c r="H714" s="124"/>
      <c r="J714" s="124"/>
      <c r="K714" s="124"/>
    </row>
    <row r="715" ht="15.75" customHeight="1">
      <c r="C715" s="155"/>
      <c r="E715" s="124"/>
      <c r="F715" s="124"/>
      <c r="G715" s="124"/>
      <c r="H715" s="124"/>
      <c r="J715" s="124"/>
      <c r="K715" s="124"/>
    </row>
    <row r="716" ht="15.75" customHeight="1">
      <c r="C716" s="155"/>
      <c r="E716" s="124"/>
      <c r="F716" s="124"/>
      <c r="G716" s="124"/>
      <c r="H716" s="124"/>
      <c r="J716" s="124"/>
      <c r="K716" s="124"/>
    </row>
    <row r="717" ht="15.75" customHeight="1">
      <c r="C717" s="155"/>
      <c r="E717" s="124"/>
      <c r="F717" s="124"/>
      <c r="G717" s="124"/>
      <c r="H717" s="124"/>
      <c r="J717" s="124"/>
      <c r="K717" s="124"/>
    </row>
    <row r="718" ht="15.75" customHeight="1">
      <c r="C718" s="155"/>
      <c r="E718" s="124"/>
      <c r="F718" s="124"/>
      <c r="G718" s="124"/>
      <c r="H718" s="124"/>
      <c r="J718" s="124"/>
      <c r="K718" s="124"/>
    </row>
    <row r="719" ht="15.75" customHeight="1">
      <c r="C719" s="155"/>
      <c r="E719" s="124"/>
      <c r="F719" s="124"/>
      <c r="G719" s="124"/>
      <c r="H719" s="124"/>
      <c r="J719" s="124"/>
      <c r="K719" s="124"/>
    </row>
    <row r="720" ht="15.75" customHeight="1">
      <c r="C720" s="155"/>
      <c r="E720" s="124"/>
      <c r="F720" s="124"/>
      <c r="G720" s="124"/>
      <c r="H720" s="124"/>
      <c r="J720" s="124"/>
      <c r="K720" s="124"/>
    </row>
    <row r="721" ht="15.75" customHeight="1">
      <c r="C721" s="155"/>
      <c r="E721" s="124"/>
      <c r="F721" s="124"/>
      <c r="G721" s="124"/>
      <c r="H721" s="124"/>
      <c r="J721" s="124"/>
      <c r="K721" s="124"/>
    </row>
    <row r="722" ht="15.75" customHeight="1">
      <c r="C722" s="155"/>
      <c r="E722" s="124"/>
      <c r="F722" s="124"/>
      <c r="G722" s="124"/>
      <c r="H722" s="124"/>
      <c r="J722" s="124"/>
      <c r="K722" s="124"/>
    </row>
    <row r="723" ht="15.75" customHeight="1">
      <c r="C723" s="155"/>
      <c r="E723" s="124"/>
      <c r="F723" s="124"/>
      <c r="G723" s="124"/>
      <c r="H723" s="124"/>
      <c r="J723" s="124"/>
      <c r="K723" s="124"/>
    </row>
    <row r="724" ht="15.75" customHeight="1">
      <c r="C724" s="155"/>
      <c r="E724" s="124"/>
      <c r="F724" s="124"/>
      <c r="G724" s="124"/>
      <c r="H724" s="124"/>
      <c r="J724" s="124"/>
      <c r="K724" s="124"/>
    </row>
    <row r="725" ht="15.75" customHeight="1">
      <c r="C725" s="155"/>
      <c r="E725" s="124"/>
      <c r="F725" s="124"/>
      <c r="G725" s="124"/>
      <c r="H725" s="124"/>
      <c r="J725" s="124"/>
      <c r="K725" s="124"/>
    </row>
    <row r="726" ht="15.75" customHeight="1">
      <c r="C726" s="155"/>
      <c r="E726" s="124"/>
      <c r="F726" s="124"/>
      <c r="G726" s="124"/>
      <c r="H726" s="124"/>
      <c r="J726" s="124"/>
      <c r="K726" s="124"/>
    </row>
    <row r="727" ht="15.75" customHeight="1">
      <c r="C727" s="155"/>
      <c r="E727" s="124"/>
      <c r="F727" s="124"/>
      <c r="G727" s="124"/>
      <c r="H727" s="124"/>
      <c r="J727" s="124"/>
      <c r="K727" s="124"/>
    </row>
    <row r="728" ht="15.75" customHeight="1">
      <c r="C728" s="155"/>
      <c r="E728" s="124"/>
      <c r="F728" s="124"/>
      <c r="G728" s="124"/>
      <c r="H728" s="124"/>
      <c r="J728" s="124"/>
      <c r="K728" s="124"/>
    </row>
    <row r="729" ht="15.75" customHeight="1">
      <c r="C729" s="155"/>
      <c r="E729" s="124"/>
      <c r="F729" s="124"/>
      <c r="G729" s="124"/>
      <c r="H729" s="124"/>
      <c r="J729" s="124"/>
      <c r="K729" s="124"/>
    </row>
    <row r="730" ht="15.75" customHeight="1">
      <c r="C730" s="155"/>
      <c r="E730" s="124"/>
      <c r="F730" s="124"/>
      <c r="G730" s="124"/>
      <c r="H730" s="124"/>
      <c r="J730" s="124"/>
      <c r="K730" s="124"/>
    </row>
    <row r="731" ht="15.75" customHeight="1">
      <c r="C731" s="155"/>
      <c r="E731" s="124"/>
      <c r="F731" s="124"/>
      <c r="G731" s="124"/>
      <c r="H731" s="124"/>
      <c r="J731" s="124"/>
      <c r="K731" s="124"/>
    </row>
    <row r="732" ht="15.75" customHeight="1">
      <c r="C732" s="155"/>
      <c r="E732" s="124"/>
      <c r="F732" s="124"/>
      <c r="G732" s="124"/>
      <c r="H732" s="124"/>
      <c r="J732" s="124"/>
      <c r="K732" s="124"/>
    </row>
    <row r="733" ht="15.75" customHeight="1">
      <c r="C733" s="155"/>
      <c r="E733" s="124"/>
      <c r="F733" s="124"/>
      <c r="G733" s="124"/>
      <c r="H733" s="124"/>
      <c r="J733" s="124"/>
      <c r="K733" s="124"/>
    </row>
    <row r="734" ht="15.75" customHeight="1">
      <c r="C734" s="155"/>
      <c r="E734" s="124"/>
      <c r="F734" s="124"/>
      <c r="G734" s="124"/>
      <c r="H734" s="124"/>
      <c r="J734" s="124"/>
      <c r="K734" s="124"/>
    </row>
    <row r="735" ht="15.75" customHeight="1">
      <c r="C735" s="155"/>
      <c r="E735" s="124"/>
      <c r="F735" s="124"/>
      <c r="G735" s="124"/>
      <c r="H735" s="124"/>
      <c r="J735" s="124"/>
      <c r="K735" s="124"/>
    </row>
    <row r="736" ht="15.75" customHeight="1">
      <c r="C736" s="155"/>
      <c r="E736" s="124"/>
      <c r="F736" s="124"/>
      <c r="G736" s="124"/>
      <c r="H736" s="124"/>
      <c r="J736" s="124"/>
      <c r="K736" s="124"/>
    </row>
    <row r="737" ht="15.75" customHeight="1">
      <c r="C737" s="155"/>
      <c r="E737" s="124"/>
      <c r="F737" s="124"/>
      <c r="G737" s="124"/>
      <c r="H737" s="124"/>
      <c r="J737" s="124"/>
      <c r="K737" s="124"/>
    </row>
    <row r="738" ht="15.75" customHeight="1">
      <c r="C738" s="155"/>
      <c r="E738" s="124"/>
      <c r="F738" s="124"/>
      <c r="G738" s="124"/>
      <c r="H738" s="124"/>
      <c r="J738" s="124"/>
      <c r="K738" s="124"/>
    </row>
    <row r="739" ht="15.75" customHeight="1">
      <c r="C739" s="155"/>
      <c r="E739" s="124"/>
      <c r="F739" s="124"/>
      <c r="G739" s="124"/>
      <c r="H739" s="124"/>
      <c r="J739" s="124"/>
      <c r="K739" s="124"/>
    </row>
    <row r="740" ht="15.75" customHeight="1">
      <c r="C740" s="155"/>
      <c r="E740" s="124"/>
      <c r="F740" s="124"/>
      <c r="G740" s="124"/>
      <c r="H740" s="124"/>
      <c r="J740" s="124"/>
      <c r="K740" s="124"/>
    </row>
    <row r="741" ht="15.75" customHeight="1">
      <c r="C741" s="155"/>
      <c r="E741" s="124"/>
      <c r="F741" s="124"/>
      <c r="G741" s="124"/>
      <c r="H741" s="124"/>
      <c r="J741" s="124"/>
      <c r="K741" s="124"/>
    </row>
    <row r="742" ht="15.75" customHeight="1">
      <c r="C742" s="155"/>
      <c r="E742" s="124"/>
      <c r="F742" s="124"/>
      <c r="G742" s="124"/>
      <c r="H742" s="124"/>
      <c r="J742" s="124"/>
      <c r="K742" s="124"/>
    </row>
    <row r="743" ht="15.75" customHeight="1">
      <c r="C743" s="155"/>
      <c r="E743" s="124"/>
      <c r="F743" s="124"/>
      <c r="G743" s="124"/>
      <c r="H743" s="124"/>
      <c r="J743" s="124"/>
      <c r="K743" s="124"/>
    </row>
    <row r="744" ht="15.75" customHeight="1">
      <c r="C744" s="155"/>
      <c r="E744" s="124"/>
      <c r="F744" s="124"/>
      <c r="G744" s="124"/>
      <c r="H744" s="124"/>
      <c r="J744" s="124"/>
      <c r="K744" s="124"/>
    </row>
    <row r="745" ht="15.75" customHeight="1">
      <c r="C745" s="155"/>
      <c r="E745" s="124"/>
      <c r="F745" s="124"/>
      <c r="G745" s="124"/>
      <c r="H745" s="124"/>
      <c r="J745" s="124"/>
      <c r="K745" s="124"/>
    </row>
    <row r="746" ht="15.75" customHeight="1">
      <c r="C746" s="155"/>
      <c r="E746" s="124"/>
      <c r="F746" s="124"/>
      <c r="G746" s="124"/>
      <c r="H746" s="124"/>
      <c r="J746" s="124"/>
      <c r="K746" s="124"/>
    </row>
    <row r="747" ht="15.75" customHeight="1">
      <c r="C747" s="155"/>
      <c r="E747" s="124"/>
      <c r="F747" s="124"/>
      <c r="G747" s="124"/>
      <c r="H747" s="124"/>
      <c r="J747" s="124"/>
      <c r="K747" s="124"/>
    </row>
    <row r="748" ht="15.75" customHeight="1">
      <c r="C748" s="155"/>
      <c r="E748" s="124"/>
      <c r="F748" s="124"/>
      <c r="G748" s="124"/>
      <c r="H748" s="124"/>
      <c r="J748" s="124"/>
      <c r="K748" s="124"/>
    </row>
    <row r="749" ht="15.75" customHeight="1">
      <c r="C749" s="155"/>
      <c r="E749" s="124"/>
      <c r="F749" s="124"/>
      <c r="G749" s="124"/>
      <c r="H749" s="124"/>
      <c r="J749" s="124"/>
      <c r="K749" s="124"/>
    </row>
    <row r="750" ht="15.75" customHeight="1">
      <c r="C750" s="155"/>
      <c r="E750" s="124"/>
      <c r="F750" s="124"/>
      <c r="G750" s="124"/>
      <c r="H750" s="124"/>
      <c r="J750" s="124"/>
      <c r="K750" s="124"/>
    </row>
    <row r="751" ht="15.75" customHeight="1">
      <c r="C751" s="155"/>
      <c r="E751" s="124"/>
      <c r="F751" s="124"/>
      <c r="G751" s="124"/>
      <c r="H751" s="124"/>
      <c r="J751" s="124"/>
      <c r="K751" s="124"/>
    </row>
    <row r="752" ht="15.75" customHeight="1">
      <c r="C752" s="155"/>
      <c r="E752" s="124"/>
      <c r="F752" s="124"/>
      <c r="G752" s="124"/>
      <c r="H752" s="124"/>
      <c r="J752" s="124"/>
      <c r="K752" s="124"/>
    </row>
    <row r="753" ht="15.75" customHeight="1">
      <c r="C753" s="155"/>
      <c r="E753" s="124"/>
      <c r="F753" s="124"/>
      <c r="G753" s="124"/>
      <c r="H753" s="124"/>
      <c r="J753" s="124"/>
      <c r="K753" s="124"/>
    </row>
    <row r="754" ht="15.75" customHeight="1">
      <c r="C754" s="155"/>
      <c r="E754" s="124"/>
      <c r="F754" s="124"/>
      <c r="G754" s="124"/>
      <c r="H754" s="124"/>
      <c r="J754" s="124"/>
      <c r="K754" s="124"/>
    </row>
    <row r="755" ht="15.75" customHeight="1">
      <c r="C755" s="155"/>
      <c r="E755" s="124"/>
      <c r="F755" s="124"/>
      <c r="G755" s="124"/>
      <c r="H755" s="124"/>
      <c r="J755" s="124"/>
      <c r="K755" s="124"/>
    </row>
    <row r="756" ht="15.75" customHeight="1">
      <c r="C756" s="155"/>
      <c r="E756" s="124"/>
      <c r="F756" s="124"/>
      <c r="G756" s="124"/>
      <c r="H756" s="124"/>
      <c r="J756" s="124"/>
      <c r="K756" s="124"/>
    </row>
    <row r="757" ht="15.75" customHeight="1">
      <c r="C757" s="155"/>
      <c r="E757" s="124"/>
      <c r="F757" s="124"/>
      <c r="G757" s="124"/>
      <c r="H757" s="124"/>
      <c r="J757" s="124"/>
      <c r="K757" s="124"/>
    </row>
    <row r="758" ht="15.75" customHeight="1">
      <c r="C758" s="155"/>
      <c r="E758" s="124"/>
      <c r="F758" s="124"/>
      <c r="G758" s="124"/>
      <c r="H758" s="124"/>
      <c r="J758" s="124"/>
      <c r="K758" s="124"/>
    </row>
    <row r="759" ht="15.75" customHeight="1">
      <c r="C759" s="155"/>
      <c r="E759" s="124"/>
      <c r="F759" s="124"/>
      <c r="G759" s="124"/>
      <c r="H759" s="124"/>
      <c r="J759" s="124"/>
      <c r="K759" s="124"/>
    </row>
    <row r="760" ht="15.75" customHeight="1">
      <c r="C760" s="155"/>
      <c r="E760" s="124"/>
      <c r="F760" s="124"/>
      <c r="G760" s="124"/>
      <c r="H760" s="124"/>
      <c r="J760" s="124"/>
      <c r="K760" s="124"/>
    </row>
    <row r="761" ht="15.75" customHeight="1">
      <c r="C761" s="155"/>
      <c r="E761" s="124"/>
      <c r="F761" s="124"/>
      <c r="G761" s="124"/>
      <c r="H761" s="124"/>
      <c r="J761" s="124"/>
      <c r="K761" s="124"/>
    </row>
    <row r="762" ht="15.75" customHeight="1">
      <c r="C762" s="155"/>
      <c r="E762" s="124"/>
      <c r="F762" s="124"/>
      <c r="G762" s="124"/>
      <c r="H762" s="124"/>
      <c r="J762" s="124"/>
      <c r="K762" s="124"/>
    </row>
    <row r="763" ht="15.75" customHeight="1">
      <c r="C763" s="155"/>
      <c r="E763" s="124"/>
      <c r="F763" s="124"/>
      <c r="G763" s="124"/>
      <c r="H763" s="124"/>
      <c r="J763" s="124"/>
      <c r="K763" s="124"/>
    </row>
    <row r="764" ht="15.75" customHeight="1">
      <c r="C764" s="155"/>
      <c r="E764" s="124"/>
      <c r="F764" s="124"/>
      <c r="G764" s="124"/>
      <c r="H764" s="124"/>
      <c r="J764" s="124"/>
      <c r="K764" s="124"/>
    </row>
    <row r="765" ht="15.75" customHeight="1">
      <c r="C765" s="155"/>
      <c r="E765" s="124"/>
      <c r="F765" s="124"/>
      <c r="G765" s="124"/>
      <c r="H765" s="124"/>
      <c r="J765" s="124"/>
      <c r="K765" s="124"/>
    </row>
    <row r="766" ht="15.75" customHeight="1">
      <c r="C766" s="155"/>
      <c r="E766" s="124"/>
      <c r="F766" s="124"/>
      <c r="G766" s="124"/>
      <c r="H766" s="124"/>
      <c r="J766" s="124"/>
      <c r="K766" s="124"/>
    </row>
    <row r="767" ht="15.75" customHeight="1">
      <c r="C767" s="155"/>
      <c r="E767" s="124"/>
      <c r="F767" s="124"/>
      <c r="G767" s="124"/>
      <c r="H767" s="124"/>
      <c r="J767" s="124"/>
      <c r="K767" s="124"/>
    </row>
    <row r="768" ht="15.75" customHeight="1">
      <c r="C768" s="155"/>
      <c r="E768" s="124"/>
      <c r="F768" s="124"/>
      <c r="G768" s="124"/>
      <c r="H768" s="124"/>
      <c r="J768" s="124"/>
      <c r="K768" s="124"/>
    </row>
    <row r="769" ht="15.75" customHeight="1">
      <c r="C769" s="155"/>
      <c r="E769" s="124"/>
      <c r="F769" s="124"/>
      <c r="G769" s="124"/>
      <c r="H769" s="124"/>
      <c r="J769" s="124"/>
      <c r="K769" s="124"/>
    </row>
    <row r="770" ht="15.75" customHeight="1">
      <c r="C770" s="155"/>
      <c r="E770" s="124"/>
      <c r="F770" s="124"/>
      <c r="G770" s="124"/>
      <c r="H770" s="124"/>
      <c r="J770" s="124"/>
      <c r="K770" s="124"/>
    </row>
    <row r="771" ht="15.75" customHeight="1">
      <c r="C771" s="155"/>
      <c r="E771" s="124"/>
      <c r="F771" s="124"/>
      <c r="G771" s="124"/>
      <c r="H771" s="124"/>
      <c r="J771" s="124"/>
      <c r="K771" s="124"/>
    </row>
    <row r="772" ht="15.75" customHeight="1">
      <c r="C772" s="155"/>
      <c r="E772" s="124"/>
      <c r="F772" s="124"/>
      <c r="G772" s="124"/>
      <c r="H772" s="124"/>
      <c r="J772" s="124"/>
      <c r="K772" s="124"/>
    </row>
    <row r="773" ht="15.75" customHeight="1">
      <c r="C773" s="155"/>
      <c r="E773" s="124"/>
      <c r="F773" s="124"/>
      <c r="G773" s="124"/>
      <c r="H773" s="124"/>
      <c r="J773" s="124"/>
      <c r="K773" s="124"/>
    </row>
    <row r="774" ht="15.75" customHeight="1">
      <c r="C774" s="155"/>
      <c r="E774" s="124"/>
      <c r="F774" s="124"/>
      <c r="G774" s="124"/>
      <c r="H774" s="124"/>
      <c r="J774" s="124"/>
      <c r="K774" s="124"/>
    </row>
    <row r="775" ht="15.75" customHeight="1">
      <c r="C775" s="155"/>
      <c r="E775" s="124"/>
      <c r="F775" s="124"/>
      <c r="G775" s="124"/>
      <c r="H775" s="124"/>
      <c r="J775" s="124"/>
      <c r="K775" s="124"/>
    </row>
    <row r="776" ht="15.75" customHeight="1">
      <c r="C776" s="155"/>
      <c r="E776" s="124"/>
      <c r="F776" s="124"/>
      <c r="G776" s="124"/>
      <c r="H776" s="124"/>
      <c r="J776" s="124"/>
      <c r="K776" s="124"/>
    </row>
    <row r="777" ht="15.75" customHeight="1">
      <c r="C777" s="155"/>
      <c r="E777" s="124"/>
      <c r="F777" s="124"/>
      <c r="G777" s="124"/>
      <c r="H777" s="124"/>
      <c r="J777" s="124"/>
      <c r="K777" s="124"/>
    </row>
    <row r="778" ht="15.75" customHeight="1">
      <c r="C778" s="155"/>
      <c r="E778" s="124"/>
      <c r="F778" s="124"/>
      <c r="G778" s="124"/>
      <c r="H778" s="124"/>
      <c r="J778" s="124"/>
      <c r="K778" s="124"/>
    </row>
    <row r="779" ht="15.75" customHeight="1">
      <c r="C779" s="155"/>
      <c r="E779" s="124"/>
      <c r="F779" s="124"/>
      <c r="G779" s="124"/>
      <c r="H779" s="124"/>
      <c r="J779" s="124"/>
      <c r="K779" s="124"/>
    </row>
    <row r="780" ht="15.75" customHeight="1">
      <c r="C780" s="155"/>
      <c r="E780" s="124"/>
      <c r="F780" s="124"/>
      <c r="G780" s="124"/>
      <c r="H780" s="124"/>
      <c r="J780" s="124"/>
      <c r="K780" s="124"/>
    </row>
    <row r="781" ht="15.75" customHeight="1">
      <c r="C781" s="155"/>
      <c r="E781" s="124"/>
      <c r="F781" s="124"/>
      <c r="G781" s="124"/>
      <c r="H781" s="124"/>
      <c r="J781" s="124"/>
      <c r="K781" s="124"/>
    </row>
    <row r="782" ht="15.75" customHeight="1">
      <c r="C782" s="155"/>
      <c r="E782" s="124"/>
      <c r="F782" s="124"/>
      <c r="G782" s="124"/>
      <c r="H782" s="124"/>
      <c r="J782" s="124"/>
      <c r="K782" s="124"/>
    </row>
    <row r="783" ht="15.75" customHeight="1">
      <c r="C783" s="155"/>
      <c r="E783" s="124"/>
      <c r="F783" s="124"/>
      <c r="G783" s="124"/>
      <c r="H783" s="124"/>
      <c r="J783" s="124"/>
      <c r="K783" s="124"/>
    </row>
    <row r="784" ht="15.75" customHeight="1">
      <c r="C784" s="155"/>
      <c r="E784" s="124"/>
      <c r="F784" s="124"/>
      <c r="G784" s="124"/>
      <c r="H784" s="124"/>
      <c r="J784" s="124"/>
      <c r="K784" s="124"/>
    </row>
    <row r="785" ht="15.75" customHeight="1">
      <c r="C785" s="155"/>
      <c r="E785" s="124"/>
      <c r="F785" s="124"/>
      <c r="G785" s="124"/>
      <c r="H785" s="124"/>
      <c r="J785" s="124"/>
      <c r="K785" s="124"/>
    </row>
    <row r="786" ht="15.75" customHeight="1">
      <c r="C786" s="155"/>
      <c r="E786" s="124"/>
      <c r="F786" s="124"/>
      <c r="G786" s="124"/>
      <c r="H786" s="124"/>
      <c r="J786" s="124"/>
      <c r="K786" s="124"/>
    </row>
    <row r="787" ht="15.75" customHeight="1">
      <c r="C787" s="155"/>
      <c r="E787" s="124"/>
      <c r="F787" s="124"/>
      <c r="G787" s="124"/>
      <c r="H787" s="124"/>
      <c r="J787" s="124"/>
      <c r="K787" s="124"/>
    </row>
    <row r="788" ht="15.75" customHeight="1">
      <c r="C788" s="155"/>
      <c r="E788" s="124"/>
      <c r="F788" s="124"/>
      <c r="G788" s="124"/>
      <c r="H788" s="124"/>
      <c r="J788" s="124"/>
      <c r="K788" s="124"/>
    </row>
    <row r="789" ht="15.75" customHeight="1">
      <c r="C789" s="155"/>
      <c r="E789" s="124"/>
      <c r="F789" s="124"/>
      <c r="G789" s="124"/>
      <c r="H789" s="124"/>
      <c r="J789" s="124"/>
      <c r="K789" s="124"/>
    </row>
    <row r="790" ht="15.75" customHeight="1">
      <c r="C790" s="155"/>
      <c r="E790" s="124"/>
      <c r="F790" s="124"/>
      <c r="G790" s="124"/>
      <c r="H790" s="124"/>
      <c r="J790" s="124"/>
      <c r="K790" s="124"/>
    </row>
    <row r="791" ht="15.75" customHeight="1">
      <c r="C791" s="155"/>
      <c r="E791" s="124"/>
      <c r="F791" s="124"/>
      <c r="G791" s="124"/>
      <c r="H791" s="124"/>
      <c r="J791" s="124"/>
      <c r="K791" s="124"/>
    </row>
    <row r="792" ht="15.75" customHeight="1">
      <c r="C792" s="155"/>
      <c r="E792" s="124"/>
      <c r="F792" s="124"/>
      <c r="G792" s="124"/>
      <c r="H792" s="124"/>
      <c r="J792" s="124"/>
      <c r="K792" s="124"/>
    </row>
    <row r="793" ht="15.75" customHeight="1">
      <c r="C793" s="155"/>
      <c r="E793" s="124"/>
      <c r="F793" s="124"/>
      <c r="G793" s="124"/>
      <c r="H793" s="124"/>
      <c r="J793" s="124"/>
      <c r="K793" s="124"/>
    </row>
    <row r="794" ht="15.75" customHeight="1">
      <c r="C794" s="155"/>
      <c r="E794" s="124"/>
      <c r="F794" s="124"/>
      <c r="G794" s="124"/>
      <c r="H794" s="124"/>
      <c r="J794" s="124"/>
      <c r="K794" s="124"/>
    </row>
    <row r="795" ht="15.75" customHeight="1">
      <c r="C795" s="155"/>
      <c r="E795" s="124"/>
      <c r="F795" s="124"/>
      <c r="G795" s="124"/>
      <c r="H795" s="124"/>
      <c r="J795" s="124"/>
      <c r="K795" s="124"/>
    </row>
    <row r="796" ht="15.75" customHeight="1">
      <c r="C796" s="155"/>
      <c r="E796" s="124"/>
      <c r="F796" s="124"/>
      <c r="G796" s="124"/>
      <c r="H796" s="124"/>
      <c r="J796" s="124"/>
      <c r="K796" s="124"/>
    </row>
    <row r="797" ht="15.75" customHeight="1">
      <c r="C797" s="155"/>
      <c r="E797" s="124"/>
      <c r="F797" s="124"/>
      <c r="G797" s="124"/>
      <c r="H797" s="124"/>
      <c r="J797" s="124"/>
      <c r="K797" s="124"/>
    </row>
    <row r="798" ht="15.75" customHeight="1">
      <c r="C798" s="155"/>
      <c r="E798" s="124"/>
      <c r="F798" s="124"/>
      <c r="G798" s="124"/>
      <c r="H798" s="124"/>
      <c r="J798" s="124"/>
      <c r="K798" s="124"/>
    </row>
    <row r="799" ht="15.75" customHeight="1">
      <c r="C799" s="155"/>
      <c r="E799" s="124"/>
      <c r="F799" s="124"/>
      <c r="G799" s="124"/>
      <c r="H799" s="124"/>
      <c r="J799" s="124"/>
      <c r="K799" s="124"/>
    </row>
    <row r="800" ht="15.75" customHeight="1">
      <c r="C800" s="155"/>
      <c r="E800" s="124"/>
      <c r="F800" s="124"/>
      <c r="G800" s="124"/>
      <c r="H800" s="124"/>
      <c r="J800" s="124"/>
      <c r="K800" s="124"/>
    </row>
    <row r="801" ht="15.75" customHeight="1">
      <c r="C801" s="155"/>
      <c r="E801" s="124"/>
      <c r="F801" s="124"/>
      <c r="G801" s="124"/>
      <c r="H801" s="124"/>
      <c r="J801" s="124"/>
      <c r="K801" s="124"/>
    </row>
    <row r="802" ht="15.75" customHeight="1">
      <c r="C802" s="155"/>
      <c r="E802" s="124"/>
      <c r="F802" s="124"/>
      <c r="G802" s="124"/>
      <c r="H802" s="124"/>
      <c r="J802" s="124"/>
      <c r="K802" s="124"/>
    </row>
    <row r="803" ht="15.75" customHeight="1">
      <c r="C803" s="155"/>
      <c r="E803" s="124"/>
      <c r="F803" s="124"/>
      <c r="G803" s="124"/>
      <c r="H803" s="124"/>
      <c r="J803" s="124"/>
      <c r="K803" s="124"/>
    </row>
    <row r="804" ht="15.75" customHeight="1">
      <c r="C804" s="155"/>
      <c r="E804" s="124"/>
      <c r="F804" s="124"/>
      <c r="G804" s="124"/>
      <c r="H804" s="124"/>
      <c r="J804" s="124"/>
      <c r="K804" s="124"/>
    </row>
    <row r="805" ht="15.75" customHeight="1">
      <c r="C805" s="155"/>
      <c r="E805" s="124"/>
      <c r="F805" s="124"/>
      <c r="G805" s="124"/>
      <c r="H805" s="124"/>
      <c r="J805" s="124"/>
      <c r="K805" s="124"/>
    </row>
    <row r="806" ht="15.75" customHeight="1">
      <c r="C806" s="155"/>
      <c r="E806" s="124"/>
      <c r="F806" s="124"/>
      <c r="G806" s="124"/>
      <c r="H806" s="124"/>
      <c r="J806" s="124"/>
      <c r="K806" s="124"/>
    </row>
    <row r="807" ht="15.75" customHeight="1">
      <c r="C807" s="155"/>
      <c r="E807" s="124"/>
      <c r="F807" s="124"/>
      <c r="G807" s="124"/>
      <c r="H807" s="124"/>
      <c r="J807" s="124"/>
      <c r="K807" s="124"/>
    </row>
    <row r="808" ht="15.75" customHeight="1">
      <c r="C808" s="155"/>
      <c r="E808" s="124"/>
      <c r="F808" s="124"/>
      <c r="G808" s="124"/>
      <c r="H808" s="124"/>
      <c r="J808" s="124"/>
      <c r="K808" s="124"/>
    </row>
    <row r="809" ht="15.75" customHeight="1">
      <c r="C809" s="155"/>
      <c r="E809" s="124"/>
      <c r="F809" s="124"/>
      <c r="G809" s="124"/>
      <c r="H809" s="124"/>
      <c r="J809" s="124"/>
      <c r="K809" s="124"/>
    </row>
    <row r="810" ht="15.75" customHeight="1">
      <c r="C810" s="155"/>
      <c r="E810" s="124"/>
      <c r="F810" s="124"/>
      <c r="G810" s="124"/>
      <c r="H810" s="124"/>
      <c r="J810" s="124"/>
      <c r="K810" s="124"/>
    </row>
    <row r="811" ht="15.75" customHeight="1">
      <c r="C811" s="155"/>
      <c r="E811" s="124"/>
      <c r="F811" s="124"/>
      <c r="G811" s="124"/>
      <c r="H811" s="124"/>
      <c r="J811" s="124"/>
      <c r="K811" s="124"/>
    </row>
    <row r="812" ht="15.75" customHeight="1">
      <c r="C812" s="155"/>
      <c r="E812" s="124"/>
      <c r="F812" s="124"/>
      <c r="G812" s="124"/>
      <c r="H812" s="124"/>
      <c r="J812" s="124"/>
      <c r="K812" s="124"/>
    </row>
    <row r="813" ht="15.75" customHeight="1">
      <c r="C813" s="155"/>
      <c r="E813" s="124"/>
      <c r="F813" s="124"/>
      <c r="G813" s="124"/>
      <c r="H813" s="124"/>
      <c r="J813" s="124"/>
      <c r="K813" s="124"/>
    </row>
    <row r="814" ht="15.75" customHeight="1">
      <c r="C814" s="155"/>
      <c r="E814" s="124"/>
      <c r="F814" s="124"/>
      <c r="G814" s="124"/>
      <c r="H814" s="124"/>
      <c r="J814" s="124"/>
      <c r="K814" s="124"/>
    </row>
    <row r="815" ht="15.75" customHeight="1">
      <c r="C815" s="155"/>
      <c r="E815" s="124"/>
      <c r="F815" s="124"/>
      <c r="G815" s="124"/>
      <c r="H815" s="124"/>
      <c r="J815" s="124"/>
      <c r="K815" s="124"/>
    </row>
    <row r="816" ht="15.75" customHeight="1">
      <c r="C816" s="155"/>
      <c r="E816" s="124"/>
      <c r="F816" s="124"/>
      <c r="G816" s="124"/>
      <c r="H816" s="124"/>
      <c r="J816" s="124"/>
      <c r="K816" s="124"/>
    </row>
    <row r="817" ht="15.75" customHeight="1">
      <c r="C817" s="155"/>
      <c r="E817" s="124"/>
      <c r="F817" s="124"/>
      <c r="G817" s="124"/>
      <c r="H817" s="124"/>
      <c r="J817" s="124"/>
      <c r="K817" s="124"/>
    </row>
    <row r="818" ht="15.75" customHeight="1">
      <c r="C818" s="155"/>
      <c r="E818" s="124"/>
      <c r="F818" s="124"/>
      <c r="G818" s="124"/>
      <c r="H818" s="124"/>
      <c r="J818" s="124"/>
      <c r="K818" s="124"/>
    </row>
    <row r="819" ht="15.75" customHeight="1">
      <c r="C819" s="155"/>
      <c r="E819" s="124"/>
      <c r="F819" s="124"/>
      <c r="G819" s="124"/>
      <c r="H819" s="124"/>
      <c r="J819" s="124"/>
      <c r="K819" s="124"/>
    </row>
    <row r="820" ht="15.75" customHeight="1">
      <c r="C820" s="155"/>
      <c r="E820" s="124"/>
      <c r="F820" s="124"/>
      <c r="G820" s="124"/>
      <c r="H820" s="124"/>
      <c r="J820" s="124"/>
      <c r="K820" s="124"/>
    </row>
    <row r="821" ht="15.75" customHeight="1">
      <c r="C821" s="155"/>
      <c r="E821" s="124"/>
      <c r="F821" s="124"/>
      <c r="G821" s="124"/>
      <c r="H821" s="124"/>
      <c r="J821" s="124"/>
      <c r="K821" s="124"/>
    </row>
    <row r="822" ht="15.75" customHeight="1">
      <c r="C822" s="155"/>
      <c r="E822" s="124"/>
      <c r="F822" s="124"/>
      <c r="G822" s="124"/>
      <c r="H822" s="124"/>
      <c r="J822" s="124"/>
      <c r="K822" s="124"/>
    </row>
    <row r="823" ht="15.75" customHeight="1">
      <c r="C823" s="155"/>
      <c r="E823" s="124"/>
      <c r="F823" s="124"/>
      <c r="G823" s="124"/>
      <c r="H823" s="124"/>
      <c r="J823" s="124"/>
      <c r="K823" s="124"/>
    </row>
    <row r="824" ht="15.75" customHeight="1">
      <c r="C824" s="155"/>
      <c r="E824" s="124"/>
      <c r="F824" s="124"/>
      <c r="G824" s="124"/>
      <c r="H824" s="124"/>
      <c r="J824" s="124"/>
      <c r="K824" s="124"/>
    </row>
    <row r="825" ht="15.75" customHeight="1">
      <c r="C825" s="155"/>
      <c r="E825" s="124"/>
      <c r="F825" s="124"/>
      <c r="G825" s="124"/>
      <c r="H825" s="124"/>
      <c r="J825" s="124"/>
      <c r="K825" s="124"/>
    </row>
    <row r="826" ht="15.75" customHeight="1">
      <c r="C826" s="155"/>
      <c r="E826" s="124"/>
      <c r="F826" s="124"/>
      <c r="G826" s="124"/>
      <c r="H826" s="124"/>
      <c r="J826" s="124"/>
      <c r="K826" s="124"/>
    </row>
    <row r="827" ht="15.75" customHeight="1">
      <c r="C827" s="155"/>
      <c r="E827" s="124"/>
      <c r="F827" s="124"/>
      <c r="G827" s="124"/>
      <c r="H827" s="124"/>
      <c r="J827" s="124"/>
      <c r="K827" s="124"/>
    </row>
    <row r="828" ht="15.75" customHeight="1">
      <c r="C828" s="155"/>
      <c r="E828" s="124"/>
      <c r="F828" s="124"/>
      <c r="G828" s="124"/>
      <c r="H828" s="124"/>
      <c r="J828" s="124"/>
      <c r="K828" s="124"/>
    </row>
    <row r="829" ht="15.75" customHeight="1">
      <c r="C829" s="155"/>
      <c r="E829" s="124"/>
      <c r="F829" s="124"/>
      <c r="G829" s="124"/>
      <c r="H829" s="124"/>
      <c r="J829" s="124"/>
      <c r="K829" s="124"/>
    </row>
    <row r="830" ht="15.75" customHeight="1">
      <c r="C830" s="155"/>
      <c r="E830" s="124"/>
      <c r="F830" s="124"/>
      <c r="G830" s="124"/>
      <c r="H830" s="124"/>
      <c r="J830" s="124"/>
      <c r="K830" s="124"/>
    </row>
    <row r="831" ht="15.75" customHeight="1">
      <c r="C831" s="155"/>
      <c r="E831" s="124"/>
      <c r="F831" s="124"/>
      <c r="G831" s="124"/>
      <c r="H831" s="124"/>
      <c r="J831" s="124"/>
      <c r="K831" s="124"/>
    </row>
    <row r="832" ht="15.75" customHeight="1">
      <c r="C832" s="155"/>
      <c r="E832" s="124"/>
      <c r="F832" s="124"/>
      <c r="G832" s="124"/>
      <c r="H832" s="124"/>
      <c r="J832" s="124"/>
      <c r="K832" s="124"/>
    </row>
    <row r="833" ht="15.75" customHeight="1">
      <c r="C833" s="155"/>
      <c r="E833" s="124"/>
      <c r="F833" s="124"/>
      <c r="G833" s="124"/>
      <c r="H833" s="124"/>
      <c r="J833" s="124"/>
      <c r="K833" s="124"/>
    </row>
    <row r="834" ht="15.75" customHeight="1">
      <c r="C834" s="155"/>
      <c r="E834" s="124"/>
      <c r="F834" s="124"/>
      <c r="G834" s="124"/>
      <c r="H834" s="124"/>
      <c r="J834" s="124"/>
      <c r="K834" s="124"/>
    </row>
    <row r="835" ht="15.75" customHeight="1">
      <c r="C835" s="155"/>
      <c r="E835" s="124"/>
      <c r="F835" s="124"/>
      <c r="G835" s="124"/>
      <c r="H835" s="124"/>
      <c r="J835" s="124"/>
      <c r="K835" s="124"/>
    </row>
    <row r="836" ht="15.75" customHeight="1">
      <c r="C836" s="155"/>
      <c r="E836" s="124"/>
      <c r="F836" s="124"/>
      <c r="G836" s="124"/>
      <c r="H836" s="124"/>
      <c r="J836" s="124"/>
      <c r="K836" s="124"/>
    </row>
    <row r="837" ht="15.75" customHeight="1">
      <c r="C837" s="155"/>
      <c r="E837" s="124"/>
      <c r="F837" s="124"/>
      <c r="G837" s="124"/>
      <c r="H837" s="124"/>
      <c r="J837" s="124"/>
      <c r="K837" s="124"/>
    </row>
    <row r="838" ht="15.75" customHeight="1">
      <c r="C838" s="155"/>
      <c r="E838" s="124"/>
      <c r="F838" s="124"/>
      <c r="G838" s="124"/>
      <c r="H838" s="124"/>
      <c r="J838" s="124"/>
      <c r="K838" s="124"/>
    </row>
    <row r="839" ht="15.75" customHeight="1">
      <c r="C839" s="155"/>
      <c r="E839" s="124"/>
      <c r="F839" s="124"/>
      <c r="G839" s="124"/>
      <c r="H839" s="124"/>
      <c r="J839" s="124"/>
      <c r="K839" s="124"/>
    </row>
    <row r="840" ht="15.75" customHeight="1">
      <c r="C840" s="155"/>
      <c r="E840" s="124"/>
      <c r="F840" s="124"/>
      <c r="G840" s="124"/>
      <c r="H840" s="124"/>
      <c r="J840" s="124"/>
      <c r="K840" s="124"/>
    </row>
    <row r="841" ht="15.75" customHeight="1">
      <c r="C841" s="155"/>
      <c r="E841" s="124"/>
      <c r="F841" s="124"/>
      <c r="G841" s="124"/>
      <c r="H841" s="124"/>
      <c r="J841" s="124"/>
      <c r="K841" s="124"/>
    </row>
    <row r="842" ht="15.75" customHeight="1">
      <c r="C842" s="155"/>
      <c r="E842" s="124"/>
      <c r="F842" s="124"/>
      <c r="G842" s="124"/>
      <c r="H842" s="124"/>
      <c r="J842" s="124"/>
      <c r="K842" s="124"/>
    </row>
    <row r="843" ht="15.75" customHeight="1">
      <c r="C843" s="155"/>
      <c r="E843" s="124"/>
      <c r="F843" s="124"/>
      <c r="G843" s="124"/>
      <c r="H843" s="124"/>
      <c r="J843" s="124"/>
      <c r="K843" s="124"/>
    </row>
    <row r="844" ht="15.75" customHeight="1">
      <c r="C844" s="155"/>
      <c r="E844" s="124"/>
      <c r="F844" s="124"/>
      <c r="G844" s="124"/>
      <c r="H844" s="124"/>
      <c r="J844" s="124"/>
      <c r="K844" s="124"/>
    </row>
    <row r="845" ht="15.75" customHeight="1">
      <c r="C845" s="155"/>
      <c r="E845" s="124"/>
      <c r="F845" s="124"/>
      <c r="G845" s="124"/>
      <c r="H845" s="124"/>
      <c r="J845" s="124"/>
      <c r="K845" s="124"/>
    </row>
    <row r="846" ht="15.75" customHeight="1">
      <c r="C846" s="155"/>
      <c r="E846" s="124"/>
      <c r="F846" s="124"/>
      <c r="G846" s="124"/>
      <c r="H846" s="124"/>
      <c r="J846" s="124"/>
      <c r="K846" s="124"/>
    </row>
    <row r="847" ht="15.75" customHeight="1">
      <c r="C847" s="155"/>
      <c r="E847" s="124"/>
      <c r="F847" s="124"/>
      <c r="G847" s="124"/>
      <c r="H847" s="124"/>
      <c r="J847" s="124"/>
      <c r="K847" s="124"/>
    </row>
    <row r="848" ht="15.75" customHeight="1">
      <c r="C848" s="155"/>
      <c r="E848" s="124"/>
      <c r="F848" s="124"/>
      <c r="G848" s="124"/>
      <c r="H848" s="124"/>
      <c r="J848" s="124"/>
      <c r="K848" s="124"/>
    </row>
    <row r="849" ht="15.75" customHeight="1">
      <c r="C849" s="155"/>
      <c r="E849" s="124"/>
      <c r="F849" s="124"/>
      <c r="G849" s="124"/>
      <c r="H849" s="124"/>
      <c r="J849" s="124"/>
      <c r="K849" s="124"/>
    </row>
    <row r="850" ht="15.75" customHeight="1">
      <c r="C850" s="155"/>
      <c r="E850" s="124"/>
      <c r="F850" s="124"/>
      <c r="G850" s="124"/>
      <c r="H850" s="124"/>
      <c r="J850" s="124"/>
      <c r="K850" s="124"/>
    </row>
    <row r="851" ht="15.75" customHeight="1">
      <c r="C851" s="155"/>
      <c r="E851" s="124"/>
      <c r="F851" s="124"/>
      <c r="G851" s="124"/>
      <c r="H851" s="124"/>
      <c r="J851" s="124"/>
      <c r="K851" s="124"/>
    </row>
    <row r="852" ht="15.75" customHeight="1">
      <c r="C852" s="155"/>
      <c r="E852" s="124"/>
      <c r="F852" s="124"/>
      <c r="G852" s="124"/>
      <c r="H852" s="124"/>
      <c r="J852" s="124"/>
      <c r="K852" s="124"/>
    </row>
    <row r="853" ht="15.75" customHeight="1">
      <c r="C853" s="155"/>
      <c r="E853" s="124"/>
      <c r="F853" s="124"/>
      <c r="G853" s="124"/>
      <c r="H853" s="124"/>
      <c r="J853" s="124"/>
      <c r="K853" s="124"/>
    </row>
    <row r="854" ht="15.75" customHeight="1">
      <c r="C854" s="155"/>
      <c r="E854" s="124"/>
      <c r="F854" s="124"/>
      <c r="G854" s="124"/>
      <c r="H854" s="124"/>
      <c r="J854" s="124"/>
      <c r="K854" s="124"/>
    </row>
    <row r="855" ht="15.75" customHeight="1">
      <c r="C855" s="155"/>
      <c r="E855" s="124"/>
      <c r="F855" s="124"/>
      <c r="G855" s="124"/>
      <c r="H855" s="124"/>
      <c r="J855" s="124"/>
      <c r="K855" s="124"/>
    </row>
    <row r="856" ht="15.75" customHeight="1">
      <c r="C856" s="155"/>
      <c r="E856" s="124"/>
      <c r="F856" s="124"/>
      <c r="G856" s="124"/>
      <c r="H856" s="124"/>
      <c r="J856" s="124"/>
      <c r="K856" s="124"/>
    </row>
    <row r="857" ht="15.75" customHeight="1">
      <c r="C857" s="155"/>
      <c r="E857" s="124"/>
      <c r="F857" s="124"/>
      <c r="G857" s="124"/>
      <c r="H857" s="124"/>
      <c r="J857" s="124"/>
      <c r="K857" s="124"/>
    </row>
    <row r="858" ht="15.75" customHeight="1">
      <c r="C858" s="155"/>
      <c r="E858" s="124"/>
      <c r="F858" s="124"/>
      <c r="G858" s="124"/>
      <c r="H858" s="124"/>
      <c r="J858" s="124"/>
      <c r="K858" s="124"/>
    </row>
    <row r="859" ht="15.75" customHeight="1">
      <c r="C859" s="155"/>
      <c r="E859" s="124"/>
      <c r="F859" s="124"/>
      <c r="G859" s="124"/>
      <c r="H859" s="124"/>
      <c r="J859" s="124"/>
      <c r="K859" s="124"/>
    </row>
    <row r="860" ht="15.75" customHeight="1">
      <c r="C860" s="155"/>
      <c r="E860" s="124"/>
      <c r="F860" s="124"/>
      <c r="G860" s="124"/>
      <c r="H860" s="124"/>
      <c r="J860" s="124"/>
      <c r="K860" s="124"/>
    </row>
    <row r="861" ht="15.75" customHeight="1">
      <c r="C861" s="155"/>
      <c r="E861" s="124"/>
      <c r="F861" s="124"/>
      <c r="G861" s="124"/>
      <c r="H861" s="124"/>
      <c r="J861" s="124"/>
      <c r="K861" s="124"/>
    </row>
    <row r="862" ht="15.75" customHeight="1">
      <c r="C862" s="155"/>
      <c r="E862" s="124"/>
      <c r="F862" s="124"/>
      <c r="G862" s="124"/>
      <c r="H862" s="124"/>
      <c r="J862" s="124"/>
      <c r="K862" s="124"/>
    </row>
    <row r="863" ht="15.75" customHeight="1">
      <c r="C863" s="155"/>
      <c r="E863" s="124"/>
      <c r="F863" s="124"/>
      <c r="G863" s="124"/>
      <c r="H863" s="124"/>
      <c r="J863" s="124"/>
      <c r="K863" s="124"/>
    </row>
    <row r="864" ht="15.75" customHeight="1">
      <c r="C864" s="155"/>
      <c r="E864" s="124"/>
      <c r="F864" s="124"/>
      <c r="G864" s="124"/>
      <c r="H864" s="124"/>
      <c r="J864" s="124"/>
      <c r="K864" s="124"/>
    </row>
    <row r="865" ht="15.75" customHeight="1">
      <c r="C865" s="155"/>
      <c r="E865" s="124"/>
      <c r="F865" s="124"/>
      <c r="G865" s="124"/>
      <c r="H865" s="124"/>
      <c r="J865" s="124"/>
      <c r="K865" s="124"/>
    </row>
    <row r="866" ht="15.75" customHeight="1">
      <c r="C866" s="155"/>
      <c r="E866" s="124"/>
      <c r="F866" s="124"/>
      <c r="G866" s="124"/>
      <c r="H866" s="124"/>
      <c r="J866" s="124"/>
      <c r="K866" s="124"/>
    </row>
    <row r="867" ht="15.75" customHeight="1">
      <c r="C867" s="155"/>
      <c r="E867" s="124"/>
      <c r="F867" s="124"/>
      <c r="G867" s="124"/>
      <c r="H867" s="124"/>
      <c r="J867" s="124"/>
      <c r="K867" s="124"/>
    </row>
    <row r="868" ht="15.75" customHeight="1">
      <c r="C868" s="155"/>
      <c r="E868" s="124"/>
      <c r="F868" s="124"/>
      <c r="G868" s="124"/>
      <c r="H868" s="124"/>
      <c r="J868" s="124"/>
      <c r="K868" s="124"/>
    </row>
    <row r="869" ht="15.75" customHeight="1">
      <c r="C869" s="155"/>
      <c r="E869" s="124"/>
      <c r="F869" s="124"/>
      <c r="G869" s="124"/>
      <c r="H869" s="124"/>
      <c r="J869" s="124"/>
      <c r="K869" s="124"/>
    </row>
    <row r="870" ht="15.75" customHeight="1">
      <c r="C870" s="155"/>
      <c r="E870" s="124"/>
      <c r="F870" s="124"/>
      <c r="G870" s="124"/>
      <c r="H870" s="124"/>
      <c r="J870" s="124"/>
      <c r="K870" s="124"/>
    </row>
    <row r="871" ht="15.75" customHeight="1">
      <c r="C871" s="155"/>
      <c r="E871" s="124"/>
      <c r="F871" s="124"/>
      <c r="G871" s="124"/>
      <c r="H871" s="124"/>
      <c r="J871" s="124"/>
      <c r="K871" s="124"/>
    </row>
    <row r="872" ht="15.75" customHeight="1">
      <c r="C872" s="155"/>
      <c r="E872" s="124"/>
      <c r="F872" s="124"/>
      <c r="G872" s="124"/>
      <c r="H872" s="124"/>
      <c r="J872" s="124"/>
      <c r="K872" s="124"/>
    </row>
    <row r="873" ht="15.75" customHeight="1">
      <c r="C873" s="155"/>
      <c r="E873" s="124"/>
      <c r="F873" s="124"/>
      <c r="G873" s="124"/>
      <c r="H873" s="124"/>
      <c r="J873" s="124"/>
      <c r="K873" s="124"/>
    </row>
    <row r="874" ht="15.75" customHeight="1">
      <c r="C874" s="155"/>
      <c r="E874" s="124"/>
      <c r="F874" s="124"/>
      <c r="G874" s="124"/>
      <c r="H874" s="124"/>
      <c r="J874" s="124"/>
      <c r="K874" s="124"/>
    </row>
    <row r="875" ht="15.75" customHeight="1">
      <c r="C875" s="155"/>
      <c r="E875" s="124"/>
      <c r="F875" s="124"/>
      <c r="G875" s="124"/>
      <c r="H875" s="124"/>
      <c r="J875" s="124"/>
      <c r="K875" s="124"/>
    </row>
    <row r="876" ht="15.75" customHeight="1">
      <c r="C876" s="155"/>
      <c r="E876" s="124"/>
      <c r="F876" s="124"/>
      <c r="G876" s="124"/>
      <c r="H876" s="124"/>
      <c r="J876" s="124"/>
      <c r="K876" s="124"/>
    </row>
    <row r="877" ht="15.75" customHeight="1">
      <c r="C877" s="155"/>
      <c r="E877" s="124"/>
      <c r="F877" s="124"/>
      <c r="G877" s="124"/>
      <c r="H877" s="124"/>
      <c r="J877" s="124"/>
      <c r="K877" s="124"/>
    </row>
    <row r="878" ht="15.75" customHeight="1">
      <c r="C878" s="155"/>
      <c r="E878" s="124"/>
      <c r="F878" s="124"/>
      <c r="G878" s="124"/>
      <c r="H878" s="124"/>
      <c r="J878" s="124"/>
      <c r="K878" s="124"/>
    </row>
    <row r="879" ht="15.75" customHeight="1">
      <c r="C879" s="155"/>
      <c r="E879" s="124"/>
      <c r="F879" s="124"/>
      <c r="G879" s="124"/>
      <c r="H879" s="124"/>
      <c r="J879" s="124"/>
      <c r="K879" s="124"/>
    </row>
    <row r="880" ht="15.75" customHeight="1">
      <c r="C880" s="155"/>
      <c r="E880" s="124"/>
      <c r="F880" s="124"/>
      <c r="G880" s="124"/>
      <c r="H880" s="124"/>
      <c r="J880" s="124"/>
      <c r="K880" s="124"/>
    </row>
    <row r="881" ht="15.75" customHeight="1">
      <c r="C881" s="155"/>
      <c r="E881" s="124"/>
      <c r="F881" s="124"/>
      <c r="G881" s="124"/>
      <c r="H881" s="124"/>
      <c r="J881" s="124"/>
      <c r="K881" s="124"/>
    </row>
    <row r="882" ht="15.75" customHeight="1">
      <c r="C882" s="155"/>
      <c r="E882" s="124"/>
      <c r="F882" s="124"/>
      <c r="G882" s="124"/>
      <c r="H882" s="124"/>
      <c r="J882" s="124"/>
      <c r="K882" s="124"/>
    </row>
    <row r="883" ht="15.75" customHeight="1">
      <c r="C883" s="155"/>
      <c r="E883" s="124"/>
      <c r="F883" s="124"/>
      <c r="G883" s="124"/>
      <c r="H883" s="124"/>
      <c r="J883" s="124"/>
      <c r="K883" s="124"/>
    </row>
    <row r="884" ht="15.75" customHeight="1">
      <c r="C884" s="155"/>
      <c r="E884" s="124"/>
      <c r="F884" s="124"/>
      <c r="G884" s="124"/>
      <c r="H884" s="124"/>
      <c r="J884" s="124"/>
      <c r="K884" s="124"/>
    </row>
    <row r="885" ht="15.75" customHeight="1">
      <c r="C885" s="155"/>
      <c r="E885" s="124"/>
      <c r="F885" s="124"/>
      <c r="G885" s="124"/>
      <c r="H885" s="124"/>
      <c r="J885" s="124"/>
      <c r="K885" s="124"/>
    </row>
    <row r="886" ht="15.75" customHeight="1">
      <c r="C886" s="155"/>
      <c r="E886" s="124"/>
      <c r="F886" s="124"/>
      <c r="G886" s="124"/>
      <c r="H886" s="124"/>
      <c r="J886" s="124"/>
      <c r="K886" s="124"/>
    </row>
    <row r="887" ht="15.75" customHeight="1">
      <c r="C887" s="155"/>
      <c r="E887" s="124"/>
      <c r="F887" s="124"/>
      <c r="G887" s="124"/>
      <c r="H887" s="124"/>
      <c r="J887" s="124"/>
      <c r="K887" s="124"/>
    </row>
    <row r="888" ht="15.75" customHeight="1">
      <c r="C888" s="155"/>
      <c r="E888" s="124"/>
      <c r="F888" s="124"/>
      <c r="G888" s="124"/>
      <c r="H888" s="124"/>
      <c r="J888" s="124"/>
      <c r="K888" s="124"/>
    </row>
    <row r="889" ht="15.75" customHeight="1">
      <c r="C889" s="155"/>
      <c r="E889" s="124"/>
      <c r="F889" s="124"/>
      <c r="G889" s="124"/>
      <c r="H889" s="124"/>
      <c r="J889" s="124"/>
      <c r="K889" s="124"/>
    </row>
    <row r="890" ht="15.75" customHeight="1">
      <c r="C890" s="155"/>
      <c r="E890" s="124"/>
      <c r="F890" s="124"/>
      <c r="G890" s="124"/>
      <c r="H890" s="124"/>
      <c r="J890" s="124"/>
      <c r="K890" s="124"/>
    </row>
    <row r="891" ht="15.75" customHeight="1">
      <c r="C891" s="155"/>
      <c r="E891" s="124"/>
      <c r="F891" s="124"/>
      <c r="G891" s="124"/>
      <c r="H891" s="124"/>
      <c r="J891" s="124"/>
      <c r="K891" s="124"/>
    </row>
    <row r="892" ht="15.75" customHeight="1">
      <c r="C892" s="155"/>
      <c r="E892" s="124"/>
      <c r="F892" s="124"/>
      <c r="G892" s="124"/>
      <c r="H892" s="124"/>
      <c r="J892" s="124"/>
      <c r="K892" s="124"/>
    </row>
    <row r="893" ht="15.75" customHeight="1">
      <c r="C893" s="155"/>
      <c r="E893" s="124"/>
      <c r="F893" s="124"/>
      <c r="G893" s="124"/>
      <c r="H893" s="124"/>
      <c r="J893" s="124"/>
      <c r="K893" s="124"/>
    </row>
    <row r="894" ht="15.75" customHeight="1">
      <c r="C894" s="155"/>
      <c r="E894" s="124"/>
      <c r="F894" s="124"/>
      <c r="G894" s="124"/>
      <c r="H894" s="124"/>
      <c r="J894" s="124"/>
      <c r="K894" s="124"/>
    </row>
    <row r="895" ht="15.75" customHeight="1">
      <c r="C895" s="155"/>
      <c r="E895" s="124"/>
      <c r="F895" s="124"/>
      <c r="G895" s="124"/>
      <c r="H895" s="124"/>
      <c r="J895" s="124"/>
      <c r="K895" s="124"/>
    </row>
    <row r="896" ht="15.75" customHeight="1">
      <c r="C896" s="155"/>
      <c r="E896" s="124"/>
      <c r="F896" s="124"/>
      <c r="G896" s="124"/>
      <c r="H896" s="124"/>
      <c r="J896" s="124"/>
      <c r="K896" s="124"/>
    </row>
    <row r="897" ht="15.75" customHeight="1">
      <c r="C897" s="155"/>
      <c r="E897" s="124"/>
      <c r="F897" s="124"/>
      <c r="G897" s="124"/>
      <c r="H897" s="124"/>
      <c r="J897" s="124"/>
      <c r="K897" s="124"/>
    </row>
    <row r="898" ht="15.75" customHeight="1">
      <c r="C898" s="155"/>
      <c r="E898" s="124"/>
      <c r="F898" s="124"/>
      <c r="G898" s="124"/>
      <c r="H898" s="124"/>
      <c r="J898" s="124"/>
      <c r="K898" s="124"/>
    </row>
    <row r="899" ht="15.75" customHeight="1">
      <c r="C899" s="155"/>
      <c r="E899" s="124"/>
      <c r="F899" s="124"/>
      <c r="G899" s="124"/>
      <c r="H899" s="124"/>
      <c r="J899" s="124"/>
      <c r="K899" s="124"/>
    </row>
    <row r="900" ht="15.75" customHeight="1">
      <c r="C900" s="155"/>
      <c r="E900" s="124"/>
      <c r="F900" s="124"/>
      <c r="G900" s="124"/>
      <c r="H900" s="124"/>
      <c r="J900" s="124"/>
      <c r="K900" s="124"/>
    </row>
    <row r="901" ht="15.75" customHeight="1">
      <c r="C901" s="155"/>
      <c r="E901" s="124"/>
      <c r="F901" s="124"/>
      <c r="G901" s="124"/>
      <c r="H901" s="124"/>
      <c r="J901" s="124"/>
      <c r="K901" s="124"/>
    </row>
    <row r="902" ht="15.75" customHeight="1">
      <c r="C902" s="155"/>
      <c r="E902" s="124"/>
      <c r="F902" s="124"/>
      <c r="G902" s="124"/>
      <c r="H902" s="124"/>
      <c r="J902" s="124"/>
      <c r="K902" s="124"/>
    </row>
    <row r="903" ht="15.75" customHeight="1">
      <c r="C903" s="155"/>
      <c r="E903" s="124"/>
      <c r="F903" s="124"/>
      <c r="G903" s="124"/>
      <c r="H903" s="124"/>
      <c r="J903" s="124"/>
      <c r="K903" s="124"/>
    </row>
    <row r="904" ht="15.75" customHeight="1">
      <c r="C904" s="155"/>
      <c r="E904" s="124"/>
      <c r="F904" s="124"/>
      <c r="G904" s="124"/>
      <c r="H904" s="124"/>
      <c r="J904" s="124"/>
      <c r="K904" s="124"/>
    </row>
    <row r="905" ht="15.75" customHeight="1">
      <c r="C905" s="155"/>
      <c r="E905" s="124"/>
      <c r="F905" s="124"/>
      <c r="G905" s="124"/>
      <c r="H905" s="124"/>
      <c r="J905" s="124"/>
      <c r="K905" s="124"/>
    </row>
    <row r="906" ht="15.75" customHeight="1">
      <c r="C906" s="155"/>
      <c r="E906" s="124"/>
      <c r="F906" s="124"/>
      <c r="G906" s="124"/>
      <c r="H906" s="124"/>
      <c r="J906" s="124"/>
      <c r="K906" s="124"/>
    </row>
    <row r="907" ht="15.75" customHeight="1">
      <c r="C907" s="155"/>
      <c r="E907" s="124"/>
      <c r="F907" s="124"/>
      <c r="G907" s="124"/>
      <c r="H907" s="124"/>
      <c r="J907" s="124"/>
      <c r="K907" s="124"/>
    </row>
    <row r="908" ht="15.75" customHeight="1">
      <c r="C908" s="155"/>
      <c r="E908" s="124"/>
      <c r="F908" s="124"/>
      <c r="G908" s="124"/>
      <c r="H908" s="124"/>
      <c r="J908" s="124"/>
      <c r="K908" s="124"/>
    </row>
    <row r="909" ht="15.75" customHeight="1">
      <c r="C909" s="155"/>
      <c r="E909" s="124"/>
      <c r="F909" s="124"/>
      <c r="G909" s="124"/>
      <c r="H909" s="124"/>
      <c r="J909" s="124"/>
      <c r="K909" s="124"/>
    </row>
    <row r="910" ht="15.75" customHeight="1">
      <c r="C910" s="155"/>
      <c r="E910" s="124"/>
      <c r="F910" s="124"/>
      <c r="G910" s="124"/>
      <c r="H910" s="124"/>
      <c r="J910" s="124"/>
      <c r="K910" s="124"/>
    </row>
    <row r="911" ht="15.75" customHeight="1">
      <c r="C911" s="155"/>
      <c r="E911" s="124"/>
      <c r="F911" s="124"/>
      <c r="G911" s="124"/>
      <c r="H911" s="124"/>
      <c r="J911" s="124"/>
      <c r="K911" s="124"/>
    </row>
    <row r="912" ht="15.75" customHeight="1">
      <c r="C912" s="155"/>
      <c r="E912" s="124"/>
      <c r="F912" s="124"/>
      <c r="G912" s="124"/>
      <c r="H912" s="124"/>
      <c r="J912" s="124"/>
      <c r="K912" s="124"/>
    </row>
    <row r="913" ht="15.75" customHeight="1">
      <c r="C913" s="155"/>
      <c r="E913" s="124"/>
      <c r="F913" s="124"/>
      <c r="G913" s="124"/>
      <c r="H913" s="124"/>
      <c r="J913" s="124"/>
      <c r="K913" s="124"/>
    </row>
    <row r="914" ht="15.75" customHeight="1">
      <c r="C914" s="155"/>
      <c r="E914" s="124"/>
      <c r="F914" s="124"/>
      <c r="G914" s="124"/>
      <c r="H914" s="124"/>
      <c r="J914" s="124"/>
      <c r="K914" s="124"/>
    </row>
    <row r="915" ht="15.75" customHeight="1">
      <c r="C915" s="155"/>
      <c r="E915" s="124"/>
      <c r="F915" s="124"/>
      <c r="G915" s="124"/>
      <c r="H915" s="124"/>
      <c r="J915" s="124"/>
      <c r="K915" s="124"/>
    </row>
    <row r="916" ht="15.75" customHeight="1">
      <c r="C916" s="155"/>
      <c r="E916" s="124"/>
      <c r="F916" s="124"/>
      <c r="G916" s="124"/>
      <c r="H916" s="124"/>
      <c r="J916" s="124"/>
      <c r="K916" s="124"/>
    </row>
    <row r="917" ht="15.75" customHeight="1">
      <c r="C917" s="155"/>
      <c r="E917" s="124"/>
      <c r="F917" s="124"/>
      <c r="G917" s="124"/>
      <c r="H917" s="124"/>
      <c r="J917" s="124"/>
      <c r="K917" s="124"/>
    </row>
    <row r="918" ht="15.75" customHeight="1">
      <c r="C918" s="155"/>
      <c r="E918" s="124"/>
      <c r="F918" s="124"/>
      <c r="G918" s="124"/>
      <c r="H918" s="124"/>
      <c r="J918" s="124"/>
      <c r="K918" s="124"/>
    </row>
    <row r="919" ht="15.75" customHeight="1">
      <c r="C919" s="155"/>
      <c r="E919" s="124"/>
      <c r="F919" s="124"/>
      <c r="G919" s="124"/>
      <c r="H919" s="124"/>
      <c r="J919" s="124"/>
      <c r="K919" s="124"/>
    </row>
    <row r="920" ht="15.75" customHeight="1">
      <c r="C920" s="155"/>
      <c r="E920" s="124"/>
      <c r="F920" s="124"/>
      <c r="G920" s="124"/>
      <c r="H920" s="124"/>
      <c r="J920" s="124"/>
      <c r="K920" s="124"/>
    </row>
    <row r="921" ht="15.75" customHeight="1">
      <c r="C921" s="155"/>
      <c r="E921" s="124"/>
      <c r="F921" s="124"/>
      <c r="G921" s="124"/>
      <c r="H921" s="124"/>
      <c r="J921" s="124"/>
      <c r="K921" s="124"/>
    </row>
    <row r="922" ht="15.75" customHeight="1">
      <c r="C922" s="155"/>
      <c r="E922" s="124"/>
      <c r="F922" s="124"/>
      <c r="G922" s="124"/>
      <c r="H922" s="124"/>
      <c r="J922" s="124"/>
      <c r="K922" s="124"/>
    </row>
    <row r="923" ht="15.75" customHeight="1">
      <c r="C923" s="155"/>
      <c r="E923" s="124"/>
      <c r="F923" s="124"/>
      <c r="G923" s="124"/>
      <c r="H923" s="124"/>
      <c r="J923" s="124"/>
      <c r="K923" s="124"/>
    </row>
    <row r="924" ht="15.75" customHeight="1">
      <c r="C924" s="155"/>
      <c r="E924" s="124"/>
      <c r="F924" s="124"/>
      <c r="G924" s="124"/>
      <c r="H924" s="124"/>
      <c r="J924" s="124"/>
      <c r="K924" s="124"/>
    </row>
    <row r="925" ht="15.75" customHeight="1">
      <c r="C925" s="155"/>
      <c r="E925" s="124"/>
      <c r="F925" s="124"/>
      <c r="G925" s="124"/>
      <c r="H925" s="124"/>
      <c r="J925" s="124"/>
      <c r="K925" s="124"/>
    </row>
    <row r="926" ht="15.75" customHeight="1">
      <c r="C926" s="155"/>
      <c r="E926" s="124"/>
      <c r="F926" s="124"/>
      <c r="G926" s="124"/>
      <c r="H926" s="124"/>
      <c r="J926" s="124"/>
      <c r="K926" s="124"/>
    </row>
    <row r="927" ht="15.75" customHeight="1">
      <c r="C927" s="155"/>
      <c r="E927" s="124"/>
      <c r="F927" s="124"/>
      <c r="G927" s="124"/>
      <c r="H927" s="124"/>
      <c r="J927" s="124"/>
      <c r="K927" s="124"/>
    </row>
    <row r="928" ht="15.75" customHeight="1">
      <c r="C928" s="155"/>
      <c r="E928" s="124"/>
      <c r="F928" s="124"/>
      <c r="G928" s="124"/>
      <c r="H928" s="124"/>
      <c r="J928" s="124"/>
      <c r="K928" s="124"/>
    </row>
    <row r="929" ht="15.75" customHeight="1">
      <c r="C929" s="155"/>
      <c r="E929" s="124"/>
      <c r="F929" s="124"/>
      <c r="G929" s="124"/>
      <c r="H929" s="124"/>
      <c r="J929" s="124"/>
      <c r="K929" s="124"/>
    </row>
    <row r="930" ht="15.75" customHeight="1">
      <c r="C930" s="155"/>
      <c r="E930" s="124"/>
      <c r="F930" s="124"/>
      <c r="G930" s="124"/>
      <c r="H930" s="124"/>
      <c r="J930" s="124"/>
      <c r="K930" s="124"/>
    </row>
    <row r="931" ht="15.75" customHeight="1">
      <c r="C931" s="155"/>
      <c r="E931" s="124"/>
      <c r="F931" s="124"/>
      <c r="G931" s="124"/>
      <c r="H931" s="124"/>
      <c r="J931" s="124"/>
      <c r="K931" s="124"/>
    </row>
    <row r="932" ht="15.75" customHeight="1">
      <c r="C932" s="155"/>
      <c r="E932" s="124"/>
      <c r="F932" s="124"/>
      <c r="G932" s="124"/>
      <c r="H932" s="124"/>
      <c r="J932" s="124"/>
      <c r="K932" s="124"/>
    </row>
    <row r="933" ht="15.75" customHeight="1">
      <c r="C933" s="155"/>
      <c r="E933" s="124"/>
      <c r="F933" s="124"/>
      <c r="G933" s="124"/>
      <c r="H933" s="124"/>
      <c r="J933" s="124"/>
      <c r="K933" s="124"/>
    </row>
    <row r="934" ht="15.75" customHeight="1">
      <c r="C934" s="155"/>
      <c r="E934" s="124"/>
      <c r="F934" s="124"/>
      <c r="G934" s="124"/>
      <c r="H934" s="124"/>
      <c r="J934" s="124"/>
      <c r="K934" s="124"/>
    </row>
    <row r="935" ht="15.75" customHeight="1">
      <c r="C935" s="155"/>
      <c r="E935" s="124"/>
      <c r="F935" s="124"/>
      <c r="G935" s="124"/>
      <c r="H935" s="124"/>
      <c r="J935" s="124"/>
      <c r="K935" s="124"/>
    </row>
    <row r="936" ht="15.75" customHeight="1">
      <c r="C936" s="155"/>
      <c r="E936" s="124"/>
      <c r="F936" s="124"/>
      <c r="G936" s="124"/>
      <c r="H936" s="124"/>
      <c r="J936" s="124"/>
      <c r="K936" s="124"/>
    </row>
    <row r="937" ht="15.75" customHeight="1">
      <c r="C937" s="155"/>
      <c r="E937" s="124"/>
      <c r="F937" s="124"/>
      <c r="G937" s="124"/>
      <c r="H937" s="124"/>
      <c r="J937" s="124"/>
      <c r="K937" s="124"/>
    </row>
    <row r="938" ht="15.75" customHeight="1">
      <c r="C938" s="155"/>
      <c r="E938" s="124"/>
      <c r="F938" s="124"/>
      <c r="G938" s="124"/>
      <c r="H938" s="124"/>
      <c r="J938" s="124"/>
      <c r="K938" s="124"/>
    </row>
    <row r="939" ht="15.75" customHeight="1">
      <c r="C939" s="155"/>
      <c r="E939" s="124"/>
      <c r="F939" s="124"/>
      <c r="G939" s="124"/>
      <c r="H939" s="124"/>
      <c r="J939" s="124"/>
      <c r="K939" s="124"/>
    </row>
    <row r="940" ht="15.75" customHeight="1">
      <c r="C940" s="155"/>
      <c r="E940" s="124"/>
      <c r="F940" s="124"/>
      <c r="G940" s="124"/>
      <c r="H940" s="124"/>
      <c r="J940" s="124"/>
      <c r="K940" s="124"/>
    </row>
    <row r="941" ht="15.75" customHeight="1">
      <c r="C941" s="155"/>
      <c r="E941" s="124"/>
      <c r="F941" s="124"/>
      <c r="G941" s="124"/>
      <c r="H941" s="124"/>
      <c r="J941" s="124"/>
      <c r="K941" s="124"/>
    </row>
    <row r="942" ht="15.75" customHeight="1">
      <c r="C942" s="155"/>
      <c r="E942" s="124"/>
      <c r="F942" s="124"/>
      <c r="G942" s="124"/>
      <c r="H942" s="124"/>
      <c r="J942" s="124"/>
      <c r="K942" s="124"/>
    </row>
    <row r="943" ht="15.75" customHeight="1">
      <c r="C943" s="155"/>
      <c r="E943" s="124"/>
      <c r="F943" s="124"/>
      <c r="G943" s="124"/>
      <c r="H943" s="124"/>
      <c r="J943" s="124"/>
      <c r="K943" s="124"/>
    </row>
    <row r="944" ht="15.75" customHeight="1">
      <c r="C944" s="155"/>
      <c r="E944" s="124"/>
      <c r="F944" s="124"/>
      <c r="G944" s="124"/>
      <c r="H944" s="124"/>
      <c r="J944" s="124"/>
      <c r="K944" s="124"/>
    </row>
    <row r="945" ht="15.75" customHeight="1">
      <c r="C945" s="155"/>
      <c r="E945" s="124"/>
      <c r="F945" s="124"/>
      <c r="G945" s="124"/>
      <c r="H945" s="124"/>
      <c r="J945" s="124"/>
      <c r="K945" s="124"/>
    </row>
    <row r="946" ht="15.75" customHeight="1">
      <c r="C946" s="155"/>
      <c r="E946" s="124"/>
      <c r="F946" s="124"/>
      <c r="G946" s="124"/>
      <c r="H946" s="124"/>
      <c r="J946" s="124"/>
      <c r="K946" s="124"/>
    </row>
    <row r="947" ht="15.75" customHeight="1">
      <c r="C947" s="155"/>
      <c r="E947" s="124"/>
      <c r="F947" s="124"/>
      <c r="G947" s="124"/>
      <c r="H947" s="124"/>
      <c r="J947" s="124"/>
      <c r="K947" s="124"/>
    </row>
    <row r="948" ht="15.75" customHeight="1">
      <c r="C948" s="155"/>
      <c r="E948" s="124"/>
      <c r="F948" s="124"/>
      <c r="G948" s="124"/>
      <c r="H948" s="124"/>
      <c r="J948" s="124"/>
      <c r="K948" s="124"/>
    </row>
    <row r="949" ht="15.75" customHeight="1">
      <c r="C949" s="155"/>
      <c r="E949" s="124"/>
      <c r="F949" s="124"/>
      <c r="G949" s="124"/>
      <c r="H949" s="124"/>
      <c r="J949" s="124"/>
      <c r="K949" s="124"/>
    </row>
    <row r="950" ht="15.75" customHeight="1">
      <c r="C950" s="155"/>
      <c r="E950" s="124"/>
      <c r="F950" s="124"/>
      <c r="G950" s="124"/>
      <c r="H950" s="124"/>
      <c r="J950" s="124"/>
      <c r="K950" s="124"/>
    </row>
    <row r="951" ht="15.75" customHeight="1">
      <c r="C951" s="155"/>
      <c r="E951" s="124"/>
      <c r="F951" s="124"/>
      <c r="G951" s="124"/>
      <c r="H951" s="124"/>
      <c r="J951" s="124"/>
      <c r="K951" s="124"/>
    </row>
    <row r="952" ht="15.75" customHeight="1">
      <c r="C952" s="155"/>
      <c r="E952" s="124"/>
      <c r="F952" s="124"/>
      <c r="G952" s="124"/>
      <c r="H952" s="124"/>
      <c r="J952" s="124"/>
      <c r="K952" s="124"/>
    </row>
    <row r="953" ht="15.75" customHeight="1">
      <c r="C953" s="155"/>
      <c r="E953" s="124"/>
      <c r="F953" s="124"/>
      <c r="G953" s="124"/>
      <c r="H953" s="124"/>
      <c r="J953" s="124"/>
      <c r="K953" s="124"/>
    </row>
    <row r="954" ht="15.75" customHeight="1">
      <c r="C954" s="155"/>
      <c r="E954" s="124"/>
      <c r="F954" s="124"/>
      <c r="G954" s="124"/>
      <c r="H954" s="124"/>
      <c r="J954" s="124"/>
      <c r="K954" s="124"/>
    </row>
    <row r="955" ht="15.75" customHeight="1">
      <c r="C955" s="155"/>
      <c r="E955" s="124"/>
      <c r="F955" s="124"/>
      <c r="G955" s="124"/>
      <c r="H955" s="124"/>
      <c r="J955" s="124"/>
      <c r="K955" s="124"/>
    </row>
    <row r="956" ht="15.75" customHeight="1">
      <c r="C956" s="155"/>
      <c r="E956" s="124"/>
      <c r="F956" s="124"/>
      <c r="G956" s="124"/>
      <c r="H956" s="124"/>
      <c r="J956" s="124"/>
      <c r="K956" s="124"/>
    </row>
    <row r="957" ht="15.75" customHeight="1">
      <c r="C957" s="155"/>
      <c r="E957" s="124"/>
      <c r="F957" s="124"/>
      <c r="G957" s="124"/>
      <c r="H957" s="124"/>
      <c r="J957" s="124"/>
      <c r="K957" s="124"/>
    </row>
    <row r="958" ht="15.75" customHeight="1">
      <c r="C958" s="155"/>
      <c r="E958" s="124"/>
      <c r="F958" s="124"/>
      <c r="G958" s="124"/>
      <c r="H958" s="124"/>
      <c r="J958" s="124"/>
      <c r="K958" s="124"/>
    </row>
    <row r="959" ht="15.75" customHeight="1">
      <c r="C959" s="155"/>
      <c r="E959" s="124"/>
      <c r="F959" s="124"/>
      <c r="G959" s="124"/>
      <c r="H959" s="124"/>
      <c r="J959" s="124"/>
      <c r="K959" s="124"/>
    </row>
    <row r="960" ht="15.75" customHeight="1">
      <c r="C960" s="155"/>
      <c r="E960" s="124"/>
      <c r="F960" s="124"/>
      <c r="G960" s="124"/>
      <c r="H960" s="124"/>
      <c r="J960" s="124"/>
      <c r="K960" s="124"/>
    </row>
    <row r="961" ht="15.75" customHeight="1">
      <c r="C961" s="155"/>
      <c r="E961" s="124"/>
      <c r="F961" s="124"/>
      <c r="G961" s="124"/>
      <c r="H961" s="124"/>
      <c r="J961" s="124"/>
      <c r="K961" s="124"/>
    </row>
    <row r="962" ht="15.75" customHeight="1">
      <c r="C962" s="155"/>
      <c r="E962" s="124"/>
      <c r="F962" s="124"/>
      <c r="G962" s="124"/>
      <c r="H962" s="124"/>
      <c r="J962" s="124"/>
      <c r="K962" s="124"/>
    </row>
    <row r="963" ht="15.75" customHeight="1">
      <c r="C963" s="155"/>
      <c r="E963" s="124"/>
      <c r="F963" s="124"/>
      <c r="G963" s="124"/>
      <c r="H963" s="124"/>
      <c r="J963" s="124"/>
      <c r="K963" s="124"/>
    </row>
    <row r="964" ht="15.75" customHeight="1">
      <c r="C964" s="155"/>
      <c r="E964" s="124"/>
      <c r="F964" s="124"/>
      <c r="G964" s="124"/>
      <c r="H964" s="124"/>
      <c r="J964" s="124"/>
      <c r="K964" s="124"/>
    </row>
    <row r="965" ht="15.75" customHeight="1">
      <c r="C965" s="155"/>
      <c r="E965" s="124"/>
      <c r="F965" s="124"/>
      <c r="G965" s="124"/>
      <c r="H965" s="124"/>
      <c r="J965" s="124"/>
      <c r="K965" s="124"/>
    </row>
    <row r="966" ht="15.75" customHeight="1">
      <c r="C966" s="155"/>
      <c r="E966" s="124"/>
      <c r="F966" s="124"/>
      <c r="G966" s="124"/>
      <c r="H966" s="124"/>
      <c r="J966" s="124"/>
      <c r="K966" s="124"/>
    </row>
    <row r="967" ht="15.75" customHeight="1">
      <c r="C967" s="155"/>
      <c r="E967" s="124"/>
      <c r="F967" s="124"/>
      <c r="G967" s="124"/>
      <c r="H967" s="124"/>
      <c r="J967" s="124"/>
      <c r="K967" s="124"/>
    </row>
    <row r="968" ht="15.75" customHeight="1">
      <c r="C968" s="155"/>
      <c r="E968" s="124"/>
      <c r="F968" s="124"/>
      <c r="G968" s="124"/>
      <c r="H968" s="124"/>
      <c r="J968" s="124"/>
      <c r="K968" s="124"/>
    </row>
    <row r="969" ht="15.75" customHeight="1">
      <c r="C969" s="155"/>
      <c r="E969" s="124"/>
      <c r="F969" s="124"/>
      <c r="G969" s="124"/>
      <c r="H969" s="124"/>
      <c r="J969" s="124"/>
      <c r="K969" s="124"/>
    </row>
    <row r="970" ht="15.75" customHeight="1">
      <c r="C970" s="155"/>
      <c r="E970" s="124"/>
      <c r="F970" s="124"/>
      <c r="G970" s="124"/>
      <c r="H970" s="124"/>
      <c r="J970" s="124"/>
      <c r="K970" s="124"/>
    </row>
    <row r="971" ht="15.75" customHeight="1">
      <c r="C971" s="155"/>
      <c r="E971" s="124"/>
      <c r="F971" s="124"/>
      <c r="G971" s="124"/>
      <c r="H971" s="124"/>
      <c r="J971" s="124"/>
      <c r="K971" s="124"/>
    </row>
    <row r="972" ht="15.75" customHeight="1">
      <c r="C972" s="155"/>
      <c r="E972" s="124"/>
      <c r="F972" s="124"/>
      <c r="G972" s="124"/>
      <c r="H972" s="124"/>
      <c r="J972" s="124"/>
      <c r="K972" s="124"/>
    </row>
    <row r="973" ht="15.75" customHeight="1">
      <c r="C973" s="155"/>
      <c r="E973" s="124"/>
      <c r="F973" s="124"/>
      <c r="G973" s="124"/>
      <c r="H973" s="124"/>
      <c r="J973" s="124"/>
      <c r="K973" s="124"/>
    </row>
    <row r="974" ht="15.75" customHeight="1">
      <c r="C974" s="155"/>
      <c r="E974" s="124"/>
      <c r="F974" s="124"/>
      <c r="G974" s="124"/>
      <c r="H974" s="124"/>
      <c r="J974" s="124"/>
      <c r="K974" s="124"/>
    </row>
    <row r="975" ht="15.75" customHeight="1">
      <c r="C975" s="155"/>
      <c r="E975" s="124"/>
      <c r="F975" s="124"/>
      <c r="G975" s="124"/>
      <c r="H975" s="124"/>
      <c r="J975" s="124"/>
      <c r="K975" s="124"/>
    </row>
    <row r="976" ht="15.75" customHeight="1">
      <c r="C976" s="155"/>
      <c r="E976" s="124"/>
      <c r="F976" s="124"/>
      <c r="G976" s="124"/>
      <c r="H976" s="124"/>
      <c r="J976" s="124"/>
      <c r="K976" s="124"/>
    </row>
    <row r="977" ht="15.75" customHeight="1">
      <c r="C977" s="155"/>
      <c r="E977" s="124"/>
      <c r="F977" s="124"/>
      <c r="G977" s="124"/>
      <c r="H977" s="124"/>
      <c r="J977" s="124"/>
      <c r="K977" s="124"/>
    </row>
    <row r="978" ht="15.75" customHeight="1">
      <c r="C978" s="155"/>
      <c r="E978" s="124"/>
      <c r="F978" s="124"/>
      <c r="G978" s="124"/>
      <c r="H978" s="124"/>
      <c r="J978" s="124"/>
      <c r="K978" s="124"/>
    </row>
    <row r="979" ht="15.75" customHeight="1">
      <c r="C979" s="155"/>
      <c r="E979" s="124"/>
      <c r="F979" s="124"/>
      <c r="G979" s="124"/>
      <c r="H979" s="124"/>
      <c r="J979" s="124"/>
      <c r="K979" s="124"/>
    </row>
    <row r="980" ht="15.75" customHeight="1">
      <c r="C980" s="155"/>
      <c r="E980" s="124"/>
      <c r="F980" s="124"/>
      <c r="G980" s="124"/>
      <c r="H980" s="124"/>
      <c r="J980" s="124"/>
      <c r="K980" s="124"/>
    </row>
    <row r="981" ht="15.75" customHeight="1">
      <c r="C981" s="155"/>
      <c r="E981" s="124"/>
      <c r="F981" s="124"/>
      <c r="G981" s="124"/>
      <c r="H981" s="124"/>
      <c r="J981" s="124"/>
      <c r="K981" s="124"/>
    </row>
    <row r="982" ht="15.75" customHeight="1">
      <c r="C982" s="155"/>
      <c r="E982" s="124"/>
      <c r="F982" s="124"/>
      <c r="G982" s="124"/>
      <c r="H982" s="124"/>
      <c r="J982" s="124"/>
      <c r="K982" s="124"/>
    </row>
    <row r="983" ht="15.75" customHeight="1">
      <c r="C983" s="155"/>
      <c r="E983" s="124"/>
      <c r="F983" s="124"/>
      <c r="G983" s="124"/>
      <c r="H983" s="124"/>
      <c r="J983" s="124"/>
      <c r="K983" s="124"/>
    </row>
    <row r="984" ht="15.75" customHeight="1">
      <c r="C984" s="155"/>
      <c r="E984" s="124"/>
      <c r="F984" s="124"/>
      <c r="G984" s="124"/>
      <c r="H984" s="124"/>
      <c r="J984" s="124"/>
      <c r="K984" s="124"/>
    </row>
    <row r="985" ht="15.75" customHeight="1">
      <c r="C985" s="155"/>
      <c r="E985" s="124"/>
      <c r="F985" s="124"/>
      <c r="G985" s="124"/>
      <c r="H985" s="124"/>
      <c r="J985" s="124"/>
      <c r="K985" s="124"/>
    </row>
    <row r="986" ht="15.75" customHeight="1">
      <c r="C986" s="155"/>
      <c r="E986" s="124"/>
      <c r="F986" s="124"/>
      <c r="G986" s="124"/>
      <c r="H986" s="124"/>
      <c r="J986" s="124"/>
      <c r="K986" s="124"/>
    </row>
    <row r="987" ht="15.75" customHeight="1">
      <c r="C987" s="155"/>
      <c r="E987" s="124"/>
      <c r="F987" s="124"/>
      <c r="G987" s="124"/>
      <c r="H987" s="124"/>
      <c r="J987" s="124"/>
      <c r="K987" s="124"/>
    </row>
    <row r="988" ht="15.75" customHeight="1">
      <c r="C988" s="155"/>
      <c r="E988" s="124"/>
      <c r="F988" s="124"/>
      <c r="G988" s="124"/>
      <c r="H988" s="124"/>
      <c r="J988" s="124"/>
      <c r="K988" s="124"/>
    </row>
    <row r="989" ht="15.75" customHeight="1">
      <c r="C989" s="155"/>
      <c r="E989" s="124"/>
      <c r="F989" s="124"/>
      <c r="G989" s="124"/>
      <c r="H989" s="124"/>
      <c r="J989" s="124"/>
      <c r="K989" s="124"/>
    </row>
    <row r="990" ht="15.75" customHeight="1">
      <c r="C990" s="155"/>
      <c r="E990" s="124"/>
      <c r="F990" s="124"/>
      <c r="G990" s="124"/>
      <c r="H990" s="124"/>
      <c r="J990" s="124"/>
      <c r="K990" s="124"/>
    </row>
    <row r="991" ht="15.75" customHeight="1">
      <c r="C991" s="155"/>
      <c r="E991" s="124"/>
      <c r="F991" s="124"/>
      <c r="G991" s="124"/>
      <c r="H991" s="124"/>
      <c r="J991" s="124"/>
      <c r="K991" s="124"/>
    </row>
    <row r="992" ht="15.75" customHeight="1">
      <c r="C992" s="155"/>
      <c r="E992" s="124"/>
      <c r="F992" s="124"/>
      <c r="G992" s="124"/>
      <c r="H992" s="124"/>
      <c r="J992" s="124"/>
      <c r="K992" s="124"/>
    </row>
    <row r="993" ht="15.75" customHeight="1">
      <c r="C993" s="155"/>
      <c r="E993" s="124"/>
      <c r="F993" s="124"/>
      <c r="G993" s="124"/>
      <c r="H993" s="124"/>
      <c r="J993" s="124"/>
      <c r="K993" s="124"/>
    </row>
    <row r="994" ht="15.75" customHeight="1">
      <c r="C994" s="155"/>
      <c r="E994" s="124"/>
      <c r="F994" s="124"/>
      <c r="G994" s="124"/>
      <c r="H994" s="124"/>
      <c r="J994" s="124"/>
      <c r="K994" s="124"/>
    </row>
    <row r="995" ht="15.75" customHeight="1">
      <c r="C995" s="155"/>
      <c r="E995" s="124"/>
      <c r="F995" s="124"/>
      <c r="G995" s="124"/>
      <c r="H995" s="124"/>
      <c r="J995" s="124"/>
      <c r="K995" s="124"/>
    </row>
    <row r="996" ht="15.75" customHeight="1">
      <c r="C996" s="155"/>
      <c r="E996" s="124"/>
      <c r="F996" s="124"/>
      <c r="G996" s="124"/>
      <c r="H996" s="124"/>
      <c r="J996" s="124"/>
      <c r="K996" s="124"/>
    </row>
    <row r="997" ht="15.75" customHeight="1">
      <c r="C997" s="155"/>
      <c r="E997" s="124"/>
      <c r="F997" s="124"/>
      <c r="G997" s="124"/>
      <c r="H997" s="124"/>
      <c r="J997" s="124"/>
      <c r="K997" s="124"/>
    </row>
    <row r="998" ht="15.75" customHeight="1">
      <c r="C998" s="155"/>
      <c r="E998" s="124"/>
      <c r="F998" s="124"/>
      <c r="G998" s="124"/>
      <c r="H998" s="124"/>
      <c r="J998" s="124"/>
      <c r="K998" s="124"/>
    </row>
    <row r="999" ht="15.75" customHeight="1">
      <c r="C999" s="155"/>
      <c r="E999" s="124"/>
      <c r="F999" s="124"/>
      <c r="G999" s="124"/>
      <c r="H999" s="124"/>
      <c r="J999" s="124"/>
      <c r="K999" s="124"/>
    </row>
    <row r="1000" ht="15.75" customHeight="1">
      <c r="C1000" s="155"/>
      <c r="E1000" s="124"/>
      <c r="F1000" s="124"/>
      <c r="G1000" s="124"/>
      <c r="H1000" s="124"/>
      <c r="J1000" s="124"/>
      <c r="K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65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1.89"/>
    <col customWidth="1" min="3" max="4" width="9.11"/>
    <col customWidth="1" min="5" max="5" width="16.44"/>
    <col customWidth="1" min="6" max="6" width="11.33"/>
    <col customWidth="1" min="7" max="7" width="10.78"/>
    <col customWidth="1" min="8" max="8" width="15.44"/>
    <col customWidth="1" min="9" max="9" width="12.22"/>
    <col customWidth="1" min="10" max="10" width="14.44"/>
    <col customWidth="1" min="11" max="11" width="17.11"/>
    <col customWidth="1" min="12" max="12" width="8.56"/>
    <col customWidth="1" min="13" max="13" width="17.67"/>
    <col customWidth="1" min="14" max="26" width="8.56"/>
  </cols>
  <sheetData>
    <row r="1" ht="15.75" customHeight="1">
      <c r="A1" s="179" t="s">
        <v>103</v>
      </c>
    </row>
    <row r="2" ht="15.75" customHeight="1">
      <c r="A2" s="180" t="s">
        <v>64</v>
      </c>
      <c r="B2" s="183"/>
      <c r="C2" s="155"/>
      <c r="E2" s="182"/>
      <c r="F2" s="182"/>
      <c r="G2" s="182"/>
      <c r="H2" s="182"/>
      <c r="I2" s="171"/>
      <c r="J2" s="184"/>
      <c r="K2" s="342" t="s">
        <v>65</v>
      </c>
    </row>
    <row r="3" ht="15.75" customHeight="1">
      <c r="A3" s="260" t="s">
        <v>2</v>
      </c>
      <c r="B3" s="260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261" t="s">
        <v>69</v>
      </c>
      <c r="J4" s="197" t="s">
        <v>70</v>
      </c>
      <c r="K4" s="197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354">
        <v>1.0</v>
      </c>
      <c r="B5" s="143">
        <f>'Yakin Pasifik Tuna'!B26</f>
        <v>45204</v>
      </c>
      <c r="C5" s="355"/>
      <c r="D5" s="330"/>
      <c r="E5" s="356"/>
      <c r="F5" s="356"/>
      <c r="G5" s="356"/>
      <c r="H5" s="356"/>
      <c r="I5" s="355">
        <v>14.0</v>
      </c>
      <c r="J5" s="356">
        <f>'Yakin Pasifik Tuna'!Z26</f>
        <v>7446.666667</v>
      </c>
      <c r="K5" s="335">
        <f>I5*J5</f>
        <v>104253.3333</v>
      </c>
      <c r="L5" s="183"/>
      <c r="M5" s="207" t="str">
        <f>K6+#REF!</f>
        <v>#REF!</v>
      </c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354">
        <v>2.0</v>
      </c>
      <c r="B6" s="143">
        <f>'Yakin Pasifik Tuna'!B27</f>
        <v>45207</v>
      </c>
      <c r="C6" s="355">
        <f>'Yakin Pasifik Tuna'!J27</f>
        <v>39</v>
      </c>
      <c r="D6" s="330">
        <f>'Yakin Pasifik Tuna'!Z27</f>
        <v>7294.685135</v>
      </c>
      <c r="E6" s="356">
        <f t="shared" ref="E6:E15" si="1">C6*D6</f>
        <v>284492.7203</v>
      </c>
      <c r="F6" s="356"/>
      <c r="G6" s="356"/>
      <c r="H6" s="356"/>
      <c r="I6" s="355">
        <f t="shared" ref="I6:I15" si="2">I5+C6</f>
        <v>53</v>
      </c>
      <c r="J6" s="356">
        <f>'Yakin Pasifik Tuna'!Z27</f>
        <v>7294.685135</v>
      </c>
      <c r="K6" s="335">
        <f t="shared" ref="K6:K15" si="3">K5+E6</f>
        <v>388746.0536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354">
        <v>3.0</v>
      </c>
      <c r="B7" s="143">
        <f>'Yakin Pasifik Tuna'!B28</f>
        <v>45208</v>
      </c>
      <c r="C7" s="355">
        <f>'Yakin Pasifik Tuna'!J28</f>
        <v>415</v>
      </c>
      <c r="D7" s="330">
        <f>'Yakin Pasifik Tuna'!Z28</f>
        <v>7285.402496</v>
      </c>
      <c r="E7" s="356">
        <f t="shared" si="1"/>
        <v>3023442.036</v>
      </c>
      <c r="F7" s="356"/>
      <c r="G7" s="356"/>
      <c r="H7" s="356"/>
      <c r="I7" s="355">
        <f t="shared" si="2"/>
        <v>468</v>
      </c>
      <c r="J7" s="356">
        <f>'Yakin Pasifik Tuna'!Z28</f>
        <v>7285.402496</v>
      </c>
      <c r="K7" s="335">
        <f t="shared" si="3"/>
        <v>3412188.09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354">
        <v>4.0</v>
      </c>
      <c r="B8" s="143">
        <f>'Yakin Pasifik Tuna'!B29</f>
        <v>45209</v>
      </c>
      <c r="C8" s="355">
        <f>'Yakin Pasifik Tuna'!J29</f>
        <v>43</v>
      </c>
      <c r="D8" s="330">
        <f>'Yakin Pasifik Tuna'!Z29</f>
        <v>7281.149373</v>
      </c>
      <c r="E8" s="356">
        <f t="shared" si="1"/>
        <v>313089.423</v>
      </c>
      <c r="F8" s="356"/>
      <c r="G8" s="356"/>
      <c r="H8" s="356"/>
      <c r="I8" s="355">
        <f t="shared" si="2"/>
        <v>511</v>
      </c>
      <c r="J8" s="356">
        <f>'Yakin Pasifik Tuna'!Z29</f>
        <v>7281.149373</v>
      </c>
      <c r="K8" s="335">
        <f t="shared" si="3"/>
        <v>3725277.513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354">
        <v>5.0</v>
      </c>
      <c r="B9" s="143">
        <f>'Yakin Pasifik Tuna'!B30</f>
        <v>45210</v>
      </c>
      <c r="C9" s="355">
        <f>'Yakin Pasifik Tuna'!J30</f>
        <v>6</v>
      </c>
      <c r="D9" s="330">
        <f>'Yakin Pasifik Tuna'!Z30</f>
        <v>7279.436893</v>
      </c>
      <c r="E9" s="356">
        <f t="shared" si="1"/>
        <v>43676.62136</v>
      </c>
      <c r="F9" s="356"/>
      <c r="G9" s="356"/>
      <c r="H9" s="356"/>
      <c r="I9" s="355">
        <f t="shared" si="2"/>
        <v>517</v>
      </c>
      <c r="J9" s="356">
        <f>'Yakin Pasifik Tuna'!Z30</f>
        <v>7279.436893</v>
      </c>
      <c r="K9" s="335">
        <f t="shared" si="3"/>
        <v>3768954.134</v>
      </c>
      <c r="L9" s="322"/>
      <c r="M9" s="323">
        <v>2.477735E8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354">
        <v>6.0</v>
      </c>
      <c r="B10" s="143">
        <f>'Yakin Pasifik Tuna'!B31</f>
        <v>45211</v>
      </c>
      <c r="C10" s="355">
        <f>'Yakin Pasifik Tuna'!J31</f>
        <v>353</v>
      </c>
      <c r="D10" s="330">
        <f>'Yakin Pasifik Tuna'!Z31</f>
        <v>7280.797958</v>
      </c>
      <c r="E10" s="356">
        <f t="shared" si="1"/>
        <v>2570121.679</v>
      </c>
      <c r="F10" s="356"/>
      <c r="G10" s="356"/>
      <c r="H10" s="356"/>
      <c r="I10" s="355">
        <f t="shared" si="2"/>
        <v>870</v>
      </c>
      <c r="J10" s="356">
        <f>'Yakin Pasifik Tuna'!Z31</f>
        <v>7280.797958</v>
      </c>
      <c r="K10" s="335">
        <f t="shared" si="3"/>
        <v>6339075.813</v>
      </c>
      <c r="L10" s="183"/>
      <c r="M10" s="182" t="str">
        <f>M9+'[3]Persediaan &amp; HPP Cakalang PP'!L8</f>
        <v>#REF!</v>
      </c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354">
        <v>7.0</v>
      </c>
      <c r="B11" s="143">
        <f>'Yakin Pasifik Tuna'!B32</f>
        <v>45212</v>
      </c>
      <c r="C11" s="355">
        <f>'Yakin Pasifik Tuna'!J32</f>
        <v>152</v>
      </c>
      <c r="D11" s="330">
        <f>'Yakin Pasifik Tuna'!Z32</f>
        <v>7284.484875</v>
      </c>
      <c r="E11" s="356">
        <f t="shared" si="1"/>
        <v>1107241.701</v>
      </c>
      <c r="F11" s="356"/>
      <c r="G11" s="356"/>
      <c r="H11" s="356"/>
      <c r="I11" s="355">
        <f t="shared" si="2"/>
        <v>1022</v>
      </c>
      <c r="J11" s="356">
        <f>'Yakin Pasifik Tuna'!Z32</f>
        <v>7284.484875</v>
      </c>
      <c r="K11" s="335">
        <f t="shared" si="3"/>
        <v>7446317.514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354">
        <v>8.0</v>
      </c>
      <c r="B12" s="143">
        <f>'Yakin Pasifik Tuna'!B33</f>
        <v>45213</v>
      </c>
      <c r="C12" s="355">
        <f>'Yakin Pasifik Tuna'!J33</f>
        <v>461</v>
      </c>
      <c r="D12" s="330">
        <f>'Yakin Pasifik Tuna'!Z33</f>
        <v>7280.389855</v>
      </c>
      <c r="E12" s="356">
        <f t="shared" si="1"/>
        <v>3356259.723</v>
      </c>
      <c r="F12" s="356"/>
      <c r="G12" s="356"/>
      <c r="H12" s="356"/>
      <c r="I12" s="355">
        <f t="shared" si="2"/>
        <v>1483</v>
      </c>
      <c r="J12" s="356">
        <f>'Yakin Pasifik Tuna'!Z33</f>
        <v>7280.389855</v>
      </c>
      <c r="K12" s="335">
        <f t="shared" si="3"/>
        <v>10802577.24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354">
        <v>9.0</v>
      </c>
      <c r="B13" s="143">
        <f>'Yakin Pasifik Tuna'!B34</f>
        <v>45216</v>
      </c>
      <c r="C13" s="355">
        <f>'Yakin Pasifik Tuna'!J34</f>
        <v>45</v>
      </c>
      <c r="D13" s="330">
        <f>'Yakin Pasifik Tuna'!Z34</f>
        <v>7283.385749</v>
      </c>
      <c r="E13" s="356">
        <f t="shared" si="1"/>
        <v>327752.3587</v>
      </c>
      <c r="F13" s="356"/>
      <c r="G13" s="356"/>
      <c r="H13" s="356"/>
      <c r="I13" s="355">
        <f t="shared" si="2"/>
        <v>1528</v>
      </c>
      <c r="J13" s="356">
        <f>'Yakin Pasifik Tuna'!Z34</f>
        <v>7283.385749</v>
      </c>
      <c r="K13" s="335">
        <f t="shared" si="3"/>
        <v>11130329.6</v>
      </c>
    </row>
    <row r="14" ht="15.75" customHeight="1">
      <c r="A14" s="354">
        <v>10.0</v>
      </c>
      <c r="B14" s="143">
        <f>'Yakin Pasifik Tuna'!B35</f>
        <v>45217</v>
      </c>
      <c r="C14" s="355">
        <f>'Yakin Pasifik Tuna'!J35</f>
        <v>179</v>
      </c>
      <c r="D14" s="330">
        <f>'Yakin Pasifik Tuna'!Z35</f>
        <v>7289.933148</v>
      </c>
      <c r="E14" s="356">
        <f t="shared" si="1"/>
        <v>1304898.033</v>
      </c>
      <c r="F14" s="330"/>
      <c r="G14" s="330"/>
      <c r="H14" s="330"/>
      <c r="I14" s="355">
        <f t="shared" si="2"/>
        <v>1707</v>
      </c>
      <c r="J14" s="356">
        <f>'Yakin Pasifik Tuna'!Z35</f>
        <v>7289.933148</v>
      </c>
      <c r="K14" s="335">
        <f t="shared" si="3"/>
        <v>12435227.63</v>
      </c>
    </row>
    <row r="15" ht="15.75" customHeight="1">
      <c r="A15" s="354">
        <v>11.0</v>
      </c>
      <c r="B15" s="143">
        <f>'Yakin Pasifik Tuna'!B36</f>
        <v>45220</v>
      </c>
      <c r="C15" s="355">
        <f>'Yakin Pasifik Tuna'!J36</f>
        <v>12</v>
      </c>
      <c r="D15" s="330">
        <f>'Yakin Pasifik Tuna'!Z36</f>
        <v>7290.532067</v>
      </c>
      <c r="E15" s="356">
        <f t="shared" si="1"/>
        <v>87486.3848</v>
      </c>
      <c r="F15" s="330"/>
      <c r="G15" s="330"/>
      <c r="H15" s="330"/>
      <c r="I15" s="355">
        <f t="shared" si="2"/>
        <v>1719</v>
      </c>
      <c r="J15" s="356">
        <f>'Yakin Pasifik Tuna'!Z36</f>
        <v>7290.532067</v>
      </c>
      <c r="K15" s="335">
        <f t="shared" si="3"/>
        <v>12522714.01</v>
      </c>
    </row>
    <row r="16" ht="15.75" customHeight="1">
      <c r="A16" s="208">
        <v>12.0</v>
      </c>
      <c r="B16" s="329">
        <v>45221.0</v>
      </c>
      <c r="C16" s="321"/>
      <c r="D16" s="248"/>
      <c r="E16" s="240"/>
      <c r="F16" s="248">
        <v>1740.0</v>
      </c>
      <c r="G16" s="248">
        <f>J15</f>
        <v>7290.532067</v>
      </c>
      <c r="H16" s="248">
        <f>F16*G16</f>
        <v>12685525.8</v>
      </c>
      <c r="I16" s="321">
        <f>I15-F16</f>
        <v>-21</v>
      </c>
      <c r="J16" s="240">
        <f t="shared" ref="J16:J17" si="4">K16/I16</f>
        <v>7752.941988</v>
      </c>
      <c r="K16" s="242">
        <f>K15-H16</f>
        <v>-162811.7817</v>
      </c>
      <c r="L16" s="218"/>
      <c r="M16" s="218"/>
      <c r="N16" s="218"/>
      <c r="O16" s="218"/>
      <c r="P16" s="218"/>
      <c r="Q16" s="218"/>
      <c r="R16" s="218"/>
      <c r="S16" s="218"/>
      <c r="T16" s="218"/>
      <c r="U16" s="218"/>
      <c r="V16" s="218"/>
      <c r="W16" s="218"/>
      <c r="X16" s="218"/>
      <c r="Y16" s="218"/>
      <c r="Z16" s="218"/>
    </row>
    <row r="17" ht="15.75" customHeight="1">
      <c r="A17" s="354">
        <v>13.0</v>
      </c>
      <c r="B17" s="143">
        <f>'Yakin Pasifik Tuna'!B37</f>
        <v>45223</v>
      </c>
      <c r="C17" s="355">
        <f>'Yakin Pasifik Tuna'!J37</f>
        <v>44</v>
      </c>
      <c r="D17" s="330">
        <f>'Yakin Pasifik Tuna'!Z37</f>
        <v>7283.469674</v>
      </c>
      <c r="E17" s="356">
        <f t="shared" ref="E17:E22" si="5">C17*D17</f>
        <v>320472.6656</v>
      </c>
      <c r="F17" s="330"/>
      <c r="G17" s="330"/>
      <c r="H17" s="330"/>
      <c r="I17" s="355">
        <f t="shared" ref="I17:I22" si="6">I16+C17</f>
        <v>23</v>
      </c>
      <c r="J17" s="356">
        <f t="shared" si="4"/>
        <v>6854.821039</v>
      </c>
      <c r="K17" s="335">
        <f t="shared" ref="K17:K22" si="7">K16+E17</f>
        <v>157660.8839</v>
      </c>
    </row>
    <row r="18" ht="15.75" customHeight="1">
      <c r="A18" s="354">
        <v>14.0</v>
      </c>
      <c r="B18" s="143">
        <f>'Yakin Pasifik Tuna'!B38</f>
        <v>45225</v>
      </c>
      <c r="C18" s="355">
        <f>'Yakin Pasifik Tuna'!J38</f>
        <v>8</v>
      </c>
      <c r="D18" s="330">
        <f>'Yakin Pasifik Tuna'!Z38</f>
        <v>7280.846847</v>
      </c>
      <c r="E18" s="356">
        <f t="shared" si="5"/>
        <v>58246.77477</v>
      </c>
      <c r="F18" s="330"/>
      <c r="G18" s="330"/>
      <c r="H18" s="356"/>
      <c r="I18" s="355">
        <f t="shared" si="6"/>
        <v>31</v>
      </c>
      <c r="J18" s="356">
        <f>'Yakin Pasifik Tuna'!Z38</f>
        <v>7280.846847</v>
      </c>
      <c r="K18" s="335">
        <f t="shared" si="7"/>
        <v>215907.6587</v>
      </c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354">
        <v>15.0</v>
      </c>
      <c r="B19" s="143">
        <f>'Yakin Pasifik Tuna'!B39</f>
        <v>45227</v>
      </c>
      <c r="C19" s="355">
        <f>'Yakin Pasifik Tuna'!J39</f>
        <v>11</v>
      </c>
      <c r="D19" s="330">
        <f>'Yakin Pasifik Tuna'!Z39</f>
        <v>7286.61708</v>
      </c>
      <c r="E19" s="356">
        <f t="shared" si="5"/>
        <v>80152.78788</v>
      </c>
      <c r="F19" s="330"/>
      <c r="G19" s="330"/>
      <c r="H19" s="356"/>
      <c r="I19" s="355">
        <f t="shared" si="6"/>
        <v>42</v>
      </c>
      <c r="J19" s="356">
        <f>'Yakin Pasifik Tuna'!Z39</f>
        <v>7286.61708</v>
      </c>
      <c r="K19" s="335">
        <f t="shared" si="7"/>
        <v>296060.4466</v>
      </c>
      <c r="L19" s="218"/>
      <c r="M19" s="218"/>
      <c r="N19" s="218"/>
      <c r="O19" s="218"/>
      <c r="P19" s="218"/>
      <c r="Q19" s="218"/>
      <c r="R19" s="218"/>
      <c r="S19" s="218"/>
      <c r="T19" s="218"/>
      <c r="U19" s="218"/>
      <c r="V19" s="218"/>
      <c r="W19" s="218"/>
      <c r="X19" s="218"/>
      <c r="Y19" s="218"/>
      <c r="Z19" s="218"/>
    </row>
    <row r="20" ht="15.75" customHeight="1">
      <c r="A20" s="354">
        <v>16.0</v>
      </c>
      <c r="B20" s="143">
        <f>'Yakin Pasifik Tuna'!B40</f>
        <v>45228</v>
      </c>
      <c r="C20" s="355">
        <f>'Yakin Pasifik Tuna'!J40</f>
        <v>29</v>
      </c>
      <c r="D20" s="330">
        <f>'Yakin Pasifik Tuna'!Z40</f>
        <v>7278.683522</v>
      </c>
      <c r="E20" s="356">
        <f t="shared" si="5"/>
        <v>211081.8221</v>
      </c>
      <c r="F20" s="330"/>
      <c r="G20" s="330"/>
      <c r="H20" s="330"/>
      <c r="I20" s="355">
        <f t="shared" si="6"/>
        <v>71</v>
      </c>
      <c r="J20" s="356">
        <f>'Yakin Pasifik Tuna'!Z40</f>
        <v>7278.683522</v>
      </c>
      <c r="K20" s="335">
        <f t="shared" si="7"/>
        <v>507142.2687</v>
      </c>
    </row>
    <row r="21" ht="15.75" customHeight="1">
      <c r="A21" s="354">
        <v>17.0</v>
      </c>
      <c r="B21" s="143">
        <f>'Yakin Pasifik Tuna'!B43</f>
        <v>45259</v>
      </c>
      <c r="C21" s="355">
        <f>'Yakin Pasifik Tuna'!J43</f>
        <v>13.6</v>
      </c>
      <c r="D21" s="330">
        <f>'Yakin Pasifik Tuna'!Z43</f>
        <v>6288.351145</v>
      </c>
      <c r="E21" s="356">
        <f t="shared" si="5"/>
        <v>85521.57557</v>
      </c>
      <c r="F21" s="330"/>
      <c r="G21" s="330"/>
      <c r="H21" s="330"/>
      <c r="I21" s="355">
        <f t="shared" si="6"/>
        <v>84.6</v>
      </c>
      <c r="J21" s="356">
        <f t="shared" ref="J21:J22" si="8">K21/I21</f>
        <v>7005.482793</v>
      </c>
      <c r="K21" s="335">
        <f t="shared" si="7"/>
        <v>592663.8443</v>
      </c>
    </row>
    <row r="22" ht="15.75" customHeight="1">
      <c r="A22" s="354">
        <v>18.0</v>
      </c>
      <c r="B22" s="143">
        <f>'Yakin Pasifik Tuna'!B44</f>
        <v>45260</v>
      </c>
      <c r="C22" s="355">
        <f>'Yakin Pasifik Tuna'!J44</f>
        <v>11.3</v>
      </c>
      <c r="D22" s="330">
        <f>'Yakin Pasifik Tuna'!Z44</f>
        <v>7291.772833</v>
      </c>
      <c r="E22" s="356">
        <f t="shared" si="5"/>
        <v>82397.03301</v>
      </c>
      <c r="F22" s="330"/>
      <c r="G22" s="330"/>
      <c r="H22" s="330"/>
      <c r="I22" s="355">
        <f t="shared" si="6"/>
        <v>95.9</v>
      </c>
      <c r="J22" s="356">
        <f t="shared" si="8"/>
        <v>7039.216656</v>
      </c>
      <c r="K22" s="335">
        <f t="shared" si="7"/>
        <v>675060.8773</v>
      </c>
    </row>
    <row r="23" ht="15.75" customHeight="1">
      <c r="A23" s="353"/>
      <c r="B23" s="145"/>
      <c r="C23" s="357"/>
      <c r="D23" s="338"/>
      <c r="E23" s="358"/>
      <c r="F23" s="338"/>
      <c r="G23" s="338"/>
      <c r="H23" s="338"/>
      <c r="I23" s="357">
        <f>481+103</f>
        <v>584</v>
      </c>
      <c r="J23" s="358">
        <f>J22</f>
        <v>7039.216656</v>
      </c>
      <c r="K23" s="359">
        <f>I23*J23</f>
        <v>4110902.527</v>
      </c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ht="15.75" customHeight="1">
      <c r="A24" s="354">
        <v>19.0</v>
      </c>
      <c r="B24" s="143">
        <f>'Yakin Pasifik Tuna'!B49</f>
        <v>45266</v>
      </c>
      <c r="C24" s="360">
        <f>'Yakin Pasifik Tuna'!J49</f>
        <v>11.2</v>
      </c>
      <c r="D24" s="330">
        <f>'Yakin Pasifik Tuna'!Z49</f>
        <v>6284.351596</v>
      </c>
      <c r="E24" s="356">
        <f t="shared" ref="E24:E31" si="9">C24*D24</f>
        <v>70384.73787</v>
      </c>
      <c r="F24" s="330"/>
      <c r="G24" s="330"/>
      <c r="H24" s="330"/>
      <c r="I24" s="355">
        <f t="shared" ref="I24:I31" si="10">I23+C24</f>
        <v>595.2</v>
      </c>
      <c r="J24" s="356">
        <f t="shared" ref="J24:J31" si="11">K24/I24</f>
        <v>7025.012205</v>
      </c>
      <c r="K24" s="335">
        <f t="shared" ref="K24:K31" si="12">K23+E24</f>
        <v>4181287.265</v>
      </c>
    </row>
    <row r="25" ht="15.75" customHeight="1">
      <c r="A25" s="354">
        <v>20.0</v>
      </c>
      <c r="B25" s="143">
        <f>'Yakin Pasifik Tuna'!B50</f>
        <v>45267</v>
      </c>
      <c r="C25" s="360">
        <f>'Yakin Pasifik Tuna'!J50</f>
        <v>8.5</v>
      </c>
      <c r="D25" s="330">
        <f>'Yakin Pasifik Tuna'!Z50</f>
        <v>5284.909091</v>
      </c>
      <c r="E25" s="356">
        <f t="shared" si="9"/>
        <v>44921.72727</v>
      </c>
      <c r="F25" s="330"/>
      <c r="G25" s="330"/>
      <c r="H25" s="330"/>
      <c r="I25" s="355">
        <f t="shared" si="10"/>
        <v>603.7</v>
      </c>
      <c r="J25" s="356">
        <f t="shared" si="11"/>
        <v>7000.51183</v>
      </c>
      <c r="K25" s="335">
        <f t="shared" si="12"/>
        <v>4226208.992</v>
      </c>
    </row>
    <row r="26" ht="15.75" customHeight="1">
      <c r="A26" s="354">
        <v>21.0</v>
      </c>
      <c r="B26" s="143">
        <f>'Yakin Pasifik Tuna'!B51</f>
        <v>45269</v>
      </c>
      <c r="C26" s="360">
        <f>'Yakin Pasifik Tuna'!J51</f>
        <v>35.9</v>
      </c>
      <c r="D26" s="330">
        <f>'Yakin Pasifik Tuna'!Z51</f>
        <v>5284.909091</v>
      </c>
      <c r="E26" s="356">
        <f t="shared" si="9"/>
        <v>189728.2364</v>
      </c>
      <c r="F26" s="330"/>
      <c r="G26" s="330"/>
      <c r="H26" s="330"/>
      <c r="I26" s="355">
        <f t="shared" si="10"/>
        <v>639.6</v>
      </c>
      <c r="J26" s="356">
        <f t="shared" si="11"/>
        <v>6904.217055</v>
      </c>
      <c r="K26" s="335">
        <f t="shared" si="12"/>
        <v>4415937.228</v>
      </c>
    </row>
    <row r="27" ht="15.75" customHeight="1">
      <c r="A27" s="354">
        <v>22.0</v>
      </c>
      <c r="B27" s="143">
        <f>'Yakin Pasifik Tuna'!B52</f>
        <v>45270</v>
      </c>
      <c r="C27" s="360">
        <f>'Yakin Pasifik Tuna'!J52</f>
        <v>591.7</v>
      </c>
      <c r="D27" s="330">
        <f>'Yakin Pasifik Tuna'!Z52</f>
        <v>5296.403487</v>
      </c>
      <c r="E27" s="356">
        <f t="shared" si="9"/>
        <v>3133881.943</v>
      </c>
      <c r="F27" s="330"/>
      <c r="G27" s="330"/>
      <c r="H27" s="330"/>
      <c r="I27" s="355">
        <f t="shared" si="10"/>
        <v>1231.3</v>
      </c>
      <c r="J27" s="356">
        <f t="shared" si="11"/>
        <v>6131.583831</v>
      </c>
      <c r="K27" s="335">
        <f t="shared" si="12"/>
        <v>7549819.172</v>
      </c>
    </row>
    <row r="28" ht="15.75" customHeight="1">
      <c r="A28" s="354">
        <v>23.0</v>
      </c>
      <c r="B28" s="143">
        <f>'Yakin Pasifik Tuna'!B53</f>
        <v>45271</v>
      </c>
      <c r="C28" s="360">
        <f>'Yakin Pasifik Tuna'!J53</f>
        <v>193.7</v>
      </c>
      <c r="D28" s="330">
        <f>'Yakin Pasifik Tuna'!Z53</f>
        <v>5289.871254</v>
      </c>
      <c r="E28" s="356">
        <f t="shared" si="9"/>
        <v>1024648.062</v>
      </c>
      <c r="F28" s="330"/>
      <c r="G28" s="330"/>
      <c r="H28" s="330"/>
      <c r="I28" s="355">
        <f t="shared" si="10"/>
        <v>1425</v>
      </c>
      <c r="J28" s="356">
        <f t="shared" si="11"/>
        <v>6017.169988</v>
      </c>
      <c r="K28" s="335">
        <f t="shared" si="12"/>
        <v>8574467.233</v>
      </c>
    </row>
    <row r="29" ht="15.75" customHeight="1">
      <c r="A29" s="354">
        <v>24.0</v>
      </c>
      <c r="B29" s="143">
        <v>45278.0</v>
      </c>
      <c r="C29" s="360">
        <f>'Yakin Pasifik Tuna'!J54</f>
        <v>41</v>
      </c>
      <c r="D29" s="330">
        <f>'Yakin Pasifik Tuna'!Z54</f>
        <v>5284.002792</v>
      </c>
      <c r="E29" s="356">
        <f t="shared" si="9"/>
        <v>216644.1145</v>
      </c>
      <c r="F29" s="330"/>
      <c r="G29" s="330"/>
      <c r="H29" s="330"/>
      <c r="I29" s="355">
        <f t="shared" si="10"/>
        <v>1466</v>
      </c>
      <c r="J29" s="356">
        <f t="shared" si="11"/>
        <v>5996.665312</v>
      </c>
      <c r="K29" s="335">
        <f t="shared" si="12"/>
        <v>8791111.348</v>
      </c>
    </row>
    <row r="30" ht="15.75" customHeight="1">
      <c r="A30" s="354">
        <v>25.0</v>
      </c>
      <c r="B30" s="143">
        <v>45279.0</v>
      </c>
      <c r="C30" s="360">
        <f>'Yakin Pasifik Tuna'!J55</f>
        <v>20</v>
      </c>
      <c r="D30" s="330">
        <f>'Yakin Pasifik Tuna'!Z55</f>
        <v>5281.703417</v>
      </c>
      <c r="E30" s="356">
        <f t="shared" si="9"/>
        <v>105634.0683</v>
      </c>
      <c r="F30" s="330"/>
      <c r="G30" s="330"/>
      <c r="H30" s="330"/>
      <c r="I30" s="355">
        <f t="shared" si="10"/>
        <v>1486</v>
      </c>
      <c r="J30" s="356">
        <f t="shared" si="11"/>
        <v>5987.042676</v>
      </c>
      <c r="K30" s="335">
        <f t="shared" si="12"/>
        <v>8896745.416</v>
      </c>
    </row>
    <row r="31" ht="15.75" customHeight="1">
      <c r="A31" s="354">
        <v>26.0</v>
      </c>
      <c r="B31" s="143">
        <f>'Yakin Pasifik Tuna'!B56</f>
        <v>45280</v>
      </c>
      <c r="C31" s="360" t="str">
        <f>'Yakin Pasifik Tuna'!J56</f>
        <v/>
      </c>
      <c r="D31" s="330">
        <f>'Yakin Pasifik Tuna'!Z56</f>
        <v>0</v>
      </c>
      <c r="E31" s="356">
        <f t="shared" si="9"/>
        <v>0</v>
      </c>
      <c r="F31" s="330"/>
      <c r="G31" s="330"/>
      <c r="H31" s="330"/>
      <c r="I31" s="355">
        <f t="shared" si="10"/>
        <v>1486</v>
      </c>
      <c r="J31" s="356">
        <f t="shared" si="11"/>
        <v>5987.042676</v>
      </c>
      <c r="K31" s="335">
        <f t="shared" si="12"/>
        <v>8896745.416</v>
      </c>
    </row>
    <row r="32" ht="15.75" customHeight="1">
      <c r="A32" s="354"/>
      <c r="B32" s="143"/>
      <c r="C32" s="360"/>
      <c r="D32" s="330"/>
      <c r="E32" s="356"/>
      <c r="F32" s="330"/>
      <c r="G32" s="330"/>
      <c r="H32" s="330"/>
      <c r="I32" s="355"/>
      <c r="J32" s="356"/>
      <c r="K32" s="335"/>
    </row>
    <row r="33" ht="15.75" customHeight="1">
      <c r="A33" s="354"/>
      <c r="B33" s="143"/>
      <c r="C33" s="360"/>
      <c r="D33" s="330"/>
      <c r="E33" s="356"/>
      <c r="F33" s="330"/>
      <c r="G33" s="330"/>
      <c r="H33" s="330"/>
      <c r="I33" s="355"/>
      <c r="J33" s="356"/>
      <c r="K33" s="335"/>
    </row>
    <row r="34" ht="15.75" customHeight="1">
      <c r="A34" s="354">
        <v>27.0</v>
      </c>
      <c r="B34" s="143">
        <f>'Yakin Pasifik Tuna'!B57</f>
        <v>45281</v>
      </c>
      <c r="C34" s="360" t="str">
        <f>'Yakin Pasifik Tuna'!J57</f>
        <v/>
      </c>
      <c r="D34" s="330">
        <f>'Yakin Pasifik Tuna'!Z57</f>
        <v>0</v>
      </c>
      <c r="E34" s="356">
        <f t="shared" ref="E34:E40" si="13">C34*D34</f>
        <v>0</v>
      </c>
      <c r="F34" s="330"/>
      <c r="G34" s="330"/>
      <c r="H34" s="330"/>
      <c r="I34" s="355"/>
      <c r="J34" s="356"/>
      <c r="K34" s="335"/>
    </row>
    <row r="35" ht="15.75" customHeight="1">
      <c r="A35" s="354">
        <v>28.0</v>
      </c>
      <c r="B35" s="143">
        <f>'Yakin Pasifik Tuna'!B58</f>
        <v>45282</v>
      </c>
      <c r="C35" s="360" t="str">
        <f>'Yakin Pasifik Tuna'!J58</f>
        <v/>
      </c>
      <c r="D35" s="330">
        <f>'Yakin Pasifik Tuna'!Z58</f>
        <v>0</v>
      </c>
      <c r="E35" s="356">
        <f t="shared" si="13"/>
        <v>0</v>
      </c>
      <c r="F35" s="330"/>
      <c r="G35" s="330"/>
      <c r="H35" s="330"/>
      <c r="I35" s="355"/>
      <c r="J35" s="356"/>
      <c r="K35" s="335"/>
    </row>
    <row r="36" ht="15.75" customHeight="1">
      <c r="A36" s="354">
        <v>29.0</v>
      </c>
      <c r="B36" s="143">
        <f>'Yakin Pasifik Tuna'!B59</f>
        <v>45283</v>
      </c>
      <c r="C36" s="360">
        <f>'Yakin Pasifik Tuna'!J59</f>
        <v>62</v>
      </c>
      <c r="D36" s="330">
        <f>'Yakin Pasifik Tuna'!Z59</f>
        <v>4272.162544</v>
      </c>
      <c r="E36" s="356">
        <f t="shared" si="13"/>
        <v>264874.0777</v>
      </c>
      <c r="F36" s="330"/>
      <c r="G36" s="330"/>
      <c r="H36" s="330"/>
      <c r="I36" s="355">
        <f t="shared" ref="I36:I40" si="14">I35+C36</f>
        <v>62</v>
      </c>
      <c r="J36" s="356">
        <f t="shared" ref="J36:J40" si="15">K36/I36</f>
        <v>4272.162544</v>
      </c>
      <c r="K36" s="335">
        <f t="shared" ref="K36:K40" si="16">K35+E36</f>
        <v>264874.0777</v>
      </c>
    </row>
    <row r="37" ht="15.75" customHeight="1">
      <c r="A37" s="354">
        <v>30.0</v>
      </c>
      <c r="B37" s="143">
        <f>'Yakin Pasifik Tuna'!B60</f>
        <v>45284</v>
      </c>
      <c r="C37" s="360" t="str">
        <f>'Yakin Pasifik Tuna'!J60</f>
        <v/>
      </c>
      <c r="D37" s="330">
        <f>'Yakin Pasifik Tuna'!Z60</f>
        <v>0</v>
      </c>
      <c r="E37" s="356">
        <f t="shared" si="13"/>
        <v>0</v>
      </c>
      <c r="F37" s="330"/>
      <c r="G37" s="330"/>
      <c r="H37" s="330"/>
      <c r="I37" s="355">
        <f t="shared" si="14"/>
        <v>62</v>
      </c>
      <c r="J37" s="356">
        <f t="shared" si="15"/>
        <v>4272.162544</v>
      </c>
      <c r="K37" s="335">
        <f t="shared" si="16"/>
        <v>264874.0777</v>
      </c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ht="15.75" customHeight="1">
      <c r="A38" s="354">
        <v>31.0</v>
      </c>
      <c r="B38" s="143">
        <f>'Yakin Pasifik Tuna'!B65</f>
        <v>45295</v>
      </c>
      <c r="C38" s="360" t="str">
        <f>'Yakin Pasifik Tuna'!J65</f>
        <v/>
      </c>
      <c r="D38" s="330">
        <f>'Yakin Pasifik Tuna'!AA65</f>
        <v>0</v>
      </c>
      <c r="E38" s="356">
        <f t="shared" si="13"/>
        <v>0</v>
      </c>
      <c r="F38" s="330"/>
      <c r="G38" s="330"/>
      <c r="H38" s="330"/>
      <c r="I38" s="355">
        <f t="shared" si="14"/>
        <v>62</v>
      </c>
      <c r="J38" s="356">
        <f t="shared" si="15"/>
        <v>4272.162544</v>
      </c>
      <c r="K38" s="335">
        <f t="shared" si="16"/>
        <v>264874.0777</v>
      </c>
    </row>
    <row r="39" ht="15.75" customHeight="1">
      <c r="A39" s="354">
        <v>32.0</v>
      </c>
      <c r="B39" s="143">
        <f>'Yakin Pasifik Tuna'!B66</f>
        <v>45297</v>
      </c>
      <c r="C39" s="360">
        <f>'Yakin Pasifik Tuna'!J66</f>
        <v>134.1</v>
      </c>
      <c r="D39" s="330">
        <f>'Yakin Pasifik Tuna'!AA66</f>
        <v>5281.967888</v>
      </c>
      <c r="E39" s="356">
        <f t="shared" si="13"/>
        <v>708311.8937</v>
      </c>
      <c r="F39" s="330"/>
      <c r="G39" s="330"/>
      <c r="H39" s="330"/>
      <c r="I39" s="355">
        <f t="shared" si="14"/>
        <v>196.1</v>
      </c>
      <c r="J39" s="356">
        <f t="shared" si="15"/>
        <v>4962.702557</v>
      </c>
      <c r="K39" s="335">
        <f t="shared" si="16"/>
        <v>973185.9715</v>
      </c>
    </row>
    <row r="40" ht="15.75" customHeight="1">
      <c r="A40" s="354">
        <v>33.0</v>
      </c>
      <c r="B40" s="143">
        <f>'Yakin Pasifik Tuna'!B67</f>
        <v>45298</v>
      </c>
      <c r="C40" s="360">
        <f>'Yakin Pasifik Tuna'!J67</f>
        <v>16</v>
      </c>
      <c r="D40" s="330">
        <f>'Yakin Pasifik Tuna'!AA67</f>
        <v>5287.382084</v>
      </c>
      <c r="E40" s="356">
        <f t="shared" si="13"/>
        <v>84598.11335</v>
      </c>
      <c r="F40" s="330"/>
      <c r="G40" s="330"/>
      <c r="H40" s="330"/>
      <c r="I40" s="355">
        <f t="shared" si="14"/>
        <v>212.1</v>
      </c>
      <c r="J40" s="356">
        <f t="shared" si="15"/>
        <v>4987.195119</v>
      </c>
      <c r="K40" s="335">
        <f t="shared" si="16"/>
        <v>1057784.085</v>
      </c>
    </row>
    <row r="41" ht="15.75" customHeight="1">
      <c r="A41" s="354">
        <v>34.0</v>
      </c>
      <c r="B41" s="143"/>
      <c r="C41" s="360"/>
      <c r="D41" s="330"/>
      <c r="E41" s="330"/>
      <c r="F41" s="330"/>
      <c r="G41" s="330"/>
      <c r="H41" s="330"/>
      <c r="I41" s="328"/>
      <c r="J41" s="330">
        <v>1862.0</v>
      </c>
      <c r="K41" s="330"/>
    </row>
    <row r="42" ht="15.75" customHeight="1">
      <c r="A42" s="354">
        <v>35.0</v>
      </c>
      <c r="B42" s="143"/>
      <c r="C42" s="362"/>
      <c r="D42" s="341"/>
      <c r="E42" s="330"/>
      <c r="F42" s="330"/>
      <c r="G42" s="330"/>
      <c r="H42" s="330"/>
      <c r="I42" s="328"/>
      <c r="J42" s="330"/>
      <c r="K42" s="330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ht="15.75" customHeight="1">
      <c r="A43" s="354">
        <v>36.0</v>
      </c>
      <c r="B43" s="143"/>
      <c r="C43" s="360"/>
      <c r="D43" s="330"/>
      <c r="E43" s="330"/>
      <c r="F43" s="330"/>
      <c r="G43" s="330"/>
      <c r="H43" s="330"/>
      <c r="I43" s="328"/>
      <c r="J43" s="330"/>
      <c r="K43" s="330"/>
    </row>
    <row r="44" ht="15.75" customHeight="1">
      <c r="A44" s="354">
        <v>37.0</v>
      </c>
      <c r="B44" s="143"/>
      <c r="C44" s="362"/>
      <c r="D44" s="341"/>
      <c r="E44" s="330"/>
      <c r="F44" s="330"/>
      <c r="G44" s="330"/>
      <c r="H44" s="330"/>
      <c r="I44" s="328"/>
      <c r="J44" s="330"/>
      <c r="K44" s="330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ht="15.75" customHeight="1">
      <c r="A45" s="354">
        <v>38.0</v>
      </c>
      <c r="B45" s="143"/>
      <c r="C45" s="360"/>
      <c r="D45" s="330"/>
      <c r="E45" s="330"/>
      <c r="F45" s="330"/>
      <c r="G45" s="330"/>
      <c r="H45" s="330"/>
      <c r="I45" s="328"/>
      <c r="J45" s="330"/>
      <c r="K45" s="330"/>
    </row>
    <row r="46" ht="15.75" customHeight="1">
      <c r="A46" s="354">
        <v>39.0</v>
      </c>
      <c r="B46" s="143"/>
      <c r="C46" s="360"/>
      <c r="D46" s="330"/>
      <c r="E46" s="330"/>
      <c r="F46" s="330"/>
      <c r="G46" s="330"/>
      <c r="H46" s="330"/>
      <c r="I46" s="328"/>
      <c r="J46" s="330"/>
      <c r="K46" s="330"/>
    </row>
    <row r="47" ht="15.75" customHeight="1">
      <c r="A47" s="354">
        <v>40.0</v>
      </c>
      <c r="B47" s="143"/>
      <c r="C47" s="360"/>
      <c r="D47" s="330"/>
      <c r="E47" s="330"/>
      <c r="F47" s="330"/>
      <c r="G47" s="330"/>
      <c r="H47" s="330"/>
      <c r="I47" s="328"/>
      <c r="J47" s="330"/>
      <c r="K47" s="330"/>
    </row>
    <row r="48" ht="15.75" customHeight="1">
      <c r="A48" s="354">
        <v>41.0</v>
      </c>
      <c r="B48" s="143"/>
      <c r="C48" s="360"/>
      <c r="D48" s="330"/>
      <c r="E48" s="330"/>
      <c r="F48" s="330"/>
      <c r="G48" s="330"/>
      <c r="H48" s="330"/>
      <c r="I48" s="328"/>
      <c r="J48" s="330"/>
      <c r="K48" s="330"/>
    </row>
    <row r="49" ht="15.75" customHeight="1">
      <c r="A49" s="166"/>
      <c r="B49" s="166"/>
      <c r="C49" s="168"/>
      <c r="D49" s="166"/>
      <c r="E49" s="237"/>
      <c r="F49" s="237"/>
      <c r="G49" s="237"/>
      <c r="H49" s="237"/>
      <c r="I49" s="328"/>
      <c r="J49" s="237"/>
      <c r="K49" s="237"/>
    </row>
    <row r="50" ht="15.75" customHeight="1">
      <c r="A50" s="166"/>
      <c r="B50" s="166"/>
      <c r="C50" s="168"/>
      <c r="D50" s="166"/>
      <c r="E50" s="237"/>
      <c r="F50" s="237"/>
      <c r="G50" s="237"/>
      <c r="H50" s="237"/>
      <c r="I50" s="328"/>
      <c r="J50" s="237"/>
      <c r="K50" s="237"/>
    </row>
    <row r="51" ht="15.75" customHeight="1">
      <c r="A51" s="166"/>
      <c r="B51" s="166"/>
      <c r="C51" s="168"/>
      <c r="D51" s="166"/>
      <c r="E51" s="237"/>
      <c r="F51" s="237"/>
      <c r="G51" s="237"/>
      <c r="H51" s="237"/>
      <c r="I51" s="341"/>
      <c r="J51" s="237"/>
      <c r="K51" s="237"/>
    </row>
    <row r="52" ht="15.75" customHeight="1">
      <c r="C52" s="155"/>
      <c r="E52" s="124"/>
      <c r="F52" s="124"/>
      <c r="G52" s="124"/>
      <c r="H52" s="124"/>
      <c r="J52" s="124"/>
      <c r="K52" s="124"/>
    </row>
    <row r="53" ht="15.75" customHeight="1">
      <c r="C53" s="155"/>
      <c r="E53" s="124"/>
      <c r="F53" s="124"/>
      <c r="G53" s="124"/>
      <c r="H53" s="124"/>
      <c r="J53" s="124"/>
      <c r="K53" s="124"/>
    </row>
    <row r="54" ht="15.75" customHeight="1">
      <c r="C54" s="155"/>
      <c r="E54" s="124"/>
      <c r="F54" s="124"/>
      <c r="G54" s="124"/>
      <c r="H54" s="124"/>
      <c r="J54" s="124"/>
      <c r="K54" s="124"/>
    </row>
    <row r="55" ht="15.75" customHeight="1">
      <c r="C55" s="155"/>
      <c r="E55" s="124"/>
      <c r="F55" s="124"/>
      <c r="G55" s="124"/>
      <c r="H55" s="124"/>
      <c r="J55" s="124"/>
      <c r="K55" s="124"/>
    </row>
    <row r="56" ht="15.75" customHeight="1">
      <c r="C56" s="155"/>
      <c r="E56" s="124"/>
      <c r="F56" s="124"/>
      <c r="G56" s="124"/>
      <c r="H56" s="124"/>
      <c r="J56" s="124"/>
      <c r="K56" s="124"/>
    </row>
    <row r="57" ht="15.75" customHeight="1">
      <c r="C57" s="155"/>
      <c r="E57" s="124"/>
      <c r="F57" s="124"/>
      <c r="G57" s="124"/>
      <c r="H57" s="124"/>
      <c r="J57" s="124"/>
      <c r="K57" s="124"/>
    </row>
    <row r="58" ht="15.75" customHeight="1">
      <c r="C58" s="155"/>
      <c r="E58" s="124"/>
      <c r="F58" s="124"/>
      <c r="G58" s="124"/>
      <c r="H58" s="124"/>
      <c r="J58" s="124"/>
      <c r="K58" s="124"/>
    </row>
    <row r="59" ht="15.75" customHeight="1">
      <c r="C59" s="155"/>
      <c r="E59" s="124"/>
      <c r="F59" s="124"/>
      <c r="G59" s="124"/>
      <c r="H59" s="124"/>
      <c r="J59" s="124"/>
      <c r="K59" s="124"/>
    </row>
    <row r="60" ht="15.75" customHeight="1">
      <c r="C60" s="155"/>
      <c r="E60" s="124"/>
      <c r="F60" s="124"/>
      <c r="G60" s="124"/>
      <c r="H60" s="124"/>
      <c r="J60" s="124"/>
      <c r="K60" s="124"/>
    </row>
    <row r="61" ht="15.75" customHeight="1">
      <c r="C61" s="155"/>
      <c r="E61" s="124"/>
      <c r="F61" s="124"/>
      <c r="G61" s="124"/>
      <c r="H61" s="124"/>
      <c r="J61" s="124"/>
      <c r="K61" s="124"/>
    </row>
    <row r="62" ht="15.75" customHeight="1">
      <c r="C62" s="155"/>
      <c r="E62" s="124"/>
      <c r="F62" s="124"/>
      <c r="G62" s="124"/>
      <c r="H62" s="124"/>
      <c r="J62" s="124"/>
      <c r="K62" s="124"/>
    </row>
    <row r="63" ht="15.75" customHeight="1">
      <c r="C63" s="155"/>
      <c r="E63" s="124"/>
      <c r="F63" s="124"/>
      <c r="G63" s="124"/>
      <c r="H63" s="124"/>
      <c r="J63" s="124"/>
      <c r="K63" s="124"/>
    </row>
    <row r="64" ht="15.75" customHeight="1">
      <c r="C64" s="155"/>
      <c r="E64" s="124"/>
      <c r="F64" s="124"/>
      <c r="G64" s="124"/>
      <c r="H64" s="124"/>
      <c r="J64" s="124"/>
      <c r="K64" s="124"/>
    </row>
    <row r="65" ht="15.75" customHeight="1">
      <c r="C65" s="155"/>
      <c r="E65" s="124"/>
      <c r="F65" s="124"/>
      <c r="G65" s="124"/>
      <c r="H65" s="124"/>
      <c r="J65" s="124"/>
      <c r="K65" s="124"/>
    </row>
    <row r="66" ht="15.75" customHeight="1">
      <c r="C66" s="155"/>
      <c r="E66" s="124"/>
      <c r="F66" s="124"/>
      <c r="G66" s="124"/>
      <c r="H66" s="124"/>
      <c r="J66" s="124"/>
      <c r="K66" s="124"/>
    </row>
    <row r="67" ht="15.75" customHeight="1">
      <c r="C67" s="155"/>
      <c r="E67" s="124"/>
      <c r="F67" s="124"/>
      <c r="G67" s="124"/>
      <c r="H67" s="124"/>
      <c r="J67" s="124"/>
      <c r="K67" s="124"/>
    </row>
    <row r="68" ht="15.75" customHeight="1">
      <c r="C68" s="155"/>
      <c r="E68" s="124"/>
      <c r="F68" s="124"/>
      <c r="G68" s="124"/>
      <c r="H68" s="124"/>
      <c r="J68" s="124"/>
      <c r="K68" s="124"/>
    </row>
    <row r="69" ht="15.75" customHeight="1">
      <c r="C69" s="155"/>
      <c r="E69" s="124"/>
      <c r="F69" s="124"/>
      <c r="G69" s="124"/>
      <c r="H69" s="124"/>
      <c r="J69" s="124"/>
      <c r="K69" s="124"/>
    </row>
    <row r="70" ht="15.75" customHeight="1">
      <c r="C70" s="155"/>
      <c r="E70" s="124"/>
      <c r="F70" s="124"/>
      <c r="G70" s="124"/>
      <c r="H70" s="124"/>
      <c r="J70" s="124"/>
      <c r="K70" s="124"/>
    </row>
    <row r="71" ht="15.75" customHeight="1">
      <c r="C71" s="155"/>
      <c r="E71" s="124"/>
      <c r="F71" s="124"/>
      <c r="G71" s="124"/>
      <c r="H71" s="124"/>
      <c r="J71" s="124"/>
      <c r="K71" s="124"/>
    </row>
    <row r="72" ht="15.75" customHeight="1">
      <c r="C72" s="155"/>
      <c r="E72" s="124"/>
      <c r="F72" s="124"/>
      <c r="G72" s="124"/>
      <c r="H72" s="124"/>
      <c r="J72" s="124"/>
      <c r="K72" s="124"/>
    </row>
    <row r="73" ht="15.75" customHeight="1">
      <c r="C73" s="155"/>
      <c r="E73" s="124"/>
      <c r="F73" s="124"/>
      <c r="G73" s="124"/>
      <c r="H73" s="124"/>
      <c r="J73" s="124"/>
      <c r="K73" s="124"/>
    </row>
    <row r="74" ht="15.75" customHeight="1">
      <c r="C74" s="155"/>
      <c r="E74" s="124"/>
      <c r="F74" s="124"/>
      <c r="G74" s="124"/>
      <c r="H74" s="124"/>
      <c r="J74" s="124"/>
      <c r="K74" s="124"/>
    </row>
    <row r="75" ht="15.75" customHeight="1">
      <c r="C75" s="155"/>
      <c r="E75" s="124"/>
      <c r="F75" s="124"/>
      <c r="G75" s="124"/>
      <c r="H75" s="124"/>
      <c r="J75" s="124"/>
      <c r="K75" s="124"/>
    </row>
    <row r="76" ht="15.75" customHeight="1">
      <c r="C76" s="155"/>
      <c r="E76" s="124"/>
      <c r="F76" s="124"/>
      <c r="G76" s="124"/>
      <c r="H76" s="124"/>
      <c r="J76" s="124"/>
      <c r="K76" s="124"/>
    </row>
    <row r="77" ht="15.75" customHeight="1">
      <c r="C77" s="155"/>
      <c r="E77" s="124"/>
      <c r="F77" s="124"/>
      <c r="G77" s="124"/>
      <c r="H77" s="124"/>
      <c r="J77" s="124"/>
      <c r="K77" s="124"/>
    </row>
    <row r="78" ht="15.75" customHeight="1">
      <c r="C78" s="155"/>
      <c r="E78" s="124"/>
      <c r="F78" s="124"/>
      <c r="G78" s="124"/>
      <c r="H78" s="124"/>
      <c r="J78" s="124"/>
      <c r="K78" s="124"/>
    </row>
    <row r="79" ht="15.75" customHeight="1">
      <c r="C79" s="155"/>
      <c r="E79" s="124"/>
      <c r="F79" s="124"/>
      <c r="G79" s="124"/>
      <c r="H79" s="124"/>
      <c r="J79" s="124"/>
      <c r="K79" s="124"/>
    </row>
    <row r="80" ht="15.75" customHeight="1">
      <c r="C80" s="155"/>
      <c r="E80" s="124"/>
      <c r="F80" s="124"/>
      <c r="G80" s="124"/>
      <c r="H80" s="124"/>
      <c r="J80" s="124"/>
      <c r="K80" s="124"/>
    </row>
    <row r="81" ht="15.75" customHeight="1">
      <c r="C81" s="155"/>
      <c r="E81" s="124"/>
      <c r="F81" s="124"/>
      <c r="G81" s="124"/>
      <c r="H81" s="124"/>
      <c r="J81" s="124"/>
      <c r="K81" s="124"/>
    </row>
    <row r="82" ht="15.75" customHeight="1">
      <c r="C82" s="155"/>
      <c r="E82" s="124"/>
      <c r="F82" s="124"/>
      <c r="G82" s="124"/>
      <c r="H82" s="124"/>
      <c r="J82" s="124"/>
      <c r="K82" s="124"/>
    </row>
    <row r="83" ht="15.75" customHeight="1">
      <c r="C83" s="155"/>
      <c r="E83" s="124"/>
      <c r="F83" s="124"/>
      <c r="G83" s="124"/>
      <c r="H83" s="124"/>
      <c r="J83" s="124"/>
      <c r="K83" s="124"/>
    </row>
    <row r="84" ht="15.75" customHeight="1">
      <c r="C84" s="155"/>
      <c r="E84" s="124"/>
      <c r="F84" s="124"/>
      <c r="G84" s="124"/>
      <c r="H84" s="124"/>
      <c r="J84" s="124"/>
      <c r="K84" s="124"/>
    </row>
    <row r="85" ht="15.75" customHeight="1">
      <c r="C85" s="155"/>
      <c r="E85" s="124"/>
      <c r="F85" s="124"/>
      <c r="G85" s="124"/>
      <c r="H85" s="124"/>
      <c r="J85" s="124"/>
      <c r="K85" s="124"/>
    </row>
    <row r="86" ht="15.75" customHeight="1">
      <c r="C86" s="155"/>
      <c r="E86" s="124"/>
      <c r="F86" s="124"/>
      <c r="G86" s="124"/>
      <c r="H86" s="124"/>
      <c r="J86" s="124"/>
      <c r="K86" s="124"/>
    </row>
    <row r="87" ht="15.75" customHeight="1">
      <c r="C87" s="155"/>
      <c r="E87" s="124"/>
      <c r="F87" s="124"/>
      <c r="G87" s="124"/>
      <c r="H87" s="124"/>
      <c r="J87" s="124"/>
      <c r="K87" s="124"/>
    </row>
    <row r="88" ht="15.75" customHeight="1">
      <c r="C88" s="155"/>
      <c r="E88" s="124"/>
      <c r="F88" s="124"/>
      <c r="G88" s="124"/>
      <c r="H88" s="124"/>
      <c r="J88" s="124"/>
      <c r="K88" s="124"/>
    </row>
    <row r="89" ht="15.75" customHeight="1">
      <c r="C89" s="155"/>
      <c r="E89" s="124"/>
      <c r="F89" s="124"/>
      <c r="G89" s="124"/>
      <c r="H89" s="124"/>
      <c r="J89" s="124"/>
      <c r="K89" s="124"/>
    </row>
    <row r="90" ht="15.75" customHeight="1">
      <c r="C90" s="155"/>
      <c r="E90" s="124"/>
      <c r="F90" s="124"/>
      <c r="G90" s="124"/>
      <c r="H90" s="124"/>
      <c r="J90" s="124"/>
      <c r="K90" s="124"/>
    </row>
    <row r="91" ht="15.75" customHeight="1">
      <c r="C91" s="155"/>
      <c r="E91" s="124"/>
      <c r="F91" s="124"/>
      <c r="G91" s="124"/>
      <c r="H91" s="124"/>
      <c r="J91" s="124"/>
      <c r="K91" s="124"/>
    </row>
    <row r="92" ht="15.75" customHeight="1">
      <c r="C92" s="155"/>
      <c r="E92" s="124"/>
      <c r="F92" s="124"/>
      <c r="G92" s="124"/>
      <c r="H92" s="124"/>
      <c r="J92" s="124"/>
      <c r="K92" s="124"/>
    </row>
    <row r="93" ht="15.75" customHeight="1">
      <c r="C93" s="155"/>
      <c r="E93" s="124"/>
      <c r="F93" s="124"/>
      <c r="G93" s="124"/>
      <c r="H93" s="124"/>
      <c r="J93" s="124"/>
      <c r="K93" s="124"/>
    </row>
    <row r="94" ht="15.75" customHeight="1">
      <c r="C94" s="155"/>
      <c r="E94" s="124"/>
      <c r="F94" s="124"/>
      <c r="G94" s="124"/>
      <c r="H94" s="124"/>
      <c r="J94" s="124"/>
      <c r="K94" s="124"/>
    </row>
    <row r="95" ht="15.75" customHeight="1">
      <c r="C95" s="155"/>
      <c r="E95" s="124"/>
      <c r="F95" s="124"/>
      <c r="G95" s="124"/>
      <c r="H95" s="124"/>
      <c r="J95" s="124"/>
      <c r="K95" s="124"/>
    </row>
    <row r="96" ht="15.75" customHeight="1">
      <c r="C96" s="155"/>
      <c r="E96" s="124"/>
      <c r="F96" s="124"/>
      <c r="G96" s="124"/>
      <c r="H96" s="124"/>
      <c r="J96" s="124"/>
      <c r="K96" s="124"/>
    </row>
    <row r="97" ht="15.75" customHeight="1">
      <c r="C97" s="155"/>
      <c r="E97" s="124"/>
      <c r="F97" s="124"/>
      <c r="G97" s="124"/>
      <c r="H97" s="124"/>
      <c r="J97" s="124"/>
      <c r="K97" s="124"/>
    </row>
    <row r="98" ht="15.75" customHeight="1">
      <c r="C98" s="155"/>
      <c r="E98" s="124"/>
      <c r="F98" s="124"/>
      <c r="G98" s="124"/>
      <c r="H98" s="124"/>
      <c r="J98" s="124"/>
      <c r="K98" s="124"/>
    </row>
    <row r="99" ht="15.75" customHeight="1">
      <c r="C99" s="155"/>
      <c r="E99" s="124"/>
      <c r="F99" s="124"/>
      <c r="G99" s="124"/>
      <c r="H99" s="124"/>
      <c r="J99" s="124"/>
      <c r="K99" s="124"/>
    </row>
    <row r="100" ht="15.75" customHeight="1">
      <c r="C100" s="155"/>
      <c r="E100" s="124"/>
      <c r="F100" s="124"/>
      <c r="G100" s="124"/>
      <c r="H100" s="124"/>
      <c r="J100" s="124"/>
      <c r="K100" s="124"/>
    </row>
    <row r="101" ht="15.75" customHeight="1">
      <c r="C101" s="155"/>
      <c r="E101" s="124"/>
      <c r="F101" s="124"/>
      <c r="G101" s="124"/>
      <c r="H101" s="124"/>
      <c r="J101" s="124"/>
      <c r="K101" s="124"/>
    </row>
    <row r="102" ht="15.75" customHeight="1">
      <c r="C102" s="155"/>
      <c r="E102" s="124"/>
      <c r="F102" s="124"/>
      <c r="G102" s="124"/>
      <c r="H102" s="124"/>
      <c r="J102" s="124"/>
      <c r="K102" s="124"/>
    </row>
    <row r="103" ht="15.75" customHeight="1">
      <c r="C103" s="155"/>
      <c r="E103" s="124"/>
      <c r="F103" s="124"/>
      <c r="G103" s="124"/>
      <c r="H103" s="124"/>
      <c r="J103" s="124"/>
      <c r="K103" s="124"/>
    </row>
    <row r="104" ht="15.75" customHeight="1">
      <c r="C104" s="155"/>
      <c r="E104" s="124"/>
      <c r="F104" s="124"/>
      <c r="G104" s="124"/>
      <c r="H104" s="124"/>
      <c r="J104" s="124"/>
      <c r="K104" s="124"/>
    </row>
    <row r="105" ht="15.75" customHeight="1">
      <c r="C105" s="155"/>
      <c r="E105" s="124"/>
      <c r="F105" s="124"/>
      <c r="G105" s="124"/>
      <c r="H105" s="124"/>
      <c r="J105" s="124"/>
      <c r="K105" s="124"/>
    </row>
    <row r="106" ht="15.75" customHeight="1">
      <c r="C106" s="155"/>
      <c r="E106" s="124"/>
      <c r="F106" s="124"/>
      <c r="G106" s="124"/>
      <c r="H106" s="124"/>
      <c r="J106" s="124"/>
      <c r="K106" s="124"/>
    </row>
    <row r="107" ht="15.75" customHeight="1">
      <c r="C107" s="155"/>
      <c r="E107" s="124"/>
      <c r="F107" s="124"/>
      <c r="G107" s="124"/>
      <c r="H107" s="124"/>
      <c r="J107" s="124"/>
      <c r="K107" s="124"/>
    </row>
    <row r="108" ht="15.75" customHeight="1">
      <c r="C108" s="155"/>
      <c r="E108" s="124"/>
      <c r="F108" s="124"/>
      <c r="G108" s="124"/>
      <c r="H108" s="124"/>
      <c r="J108" s="124"/>
      <c r="K108" s="124"/>
    </row>
    <row r="109" ht="15.75" customHeight="1">
      <c r="C109" s="155"/>
      <c r="E109" s="124"/>
      <c r="F109" s="124"/>
      <c r="G109" s="124"/>
      <c r="H109" s="124"/>
      <c r="J109" s="124"/>
      <c r="K109" s="124"/>
    </row>
    <row r="110" ht="15.75" customHeight="1">
      <c r="C110" s="155"/>
      <c r="E110" s="124"/>
      <c r="F110" s="124"/>
      <c r="G110" s="124"/>
      <c r="H110" s="124"/>
      <c r="J110" s="124"/>
      <c r="K110" s="124"/>
    </row>
    <row r="111" ht="15.75" customHeight="1">
      <c r="C111" s="155"/>
      <c r="E111" s="124"/>
      <c r="F111" s="124"/>
      <c r="G111" s="124"/>
      <c r="H111" s="124"/>
      <c r="J111" s="124"/>
      <c r="K111" s="124"/>
    </row>
    <row r="112" ht="15.75" customHeight="1">
      <c r="C112" s="155"/>
      <c r="E112" s="124"/>
      <c r="F112" s="124"/>
      <c r="G112" s="124"/>
      <c r="H112" s="124"/>
      <c r="J112" s="124"/>
      <c r="K112" s="124"/>
    </row>
    <row r="113" ht="15.75" customHeight="1">
      <c r="C113" s="155"/>
      <c r="E113" s="124"/>
      <c r="F113" s="124"/>
      <c r="G113" s="124"/>
      <c r="H113" s="124"/>
      <c r="J113" s="124"/>
      <c r="K113" s="124"/>
    </row>
    <row r="114" ht="15.75" customHeight="1">
      <c r="C114" s="155"/>
      <c r="E114" s="124"/>
      <c r="F114" s="124"/>
      <c r="G114" s="124"/>
      <c r="H114" s="124"/>
      <c r="J114" s="124"/>
      <c r="K114" s="124"/>
    </row>
    <row r="115" ht="15.75" customHeight="1">
      <c r="C115" s="155"/>
      <c r="E115" s="124"/>
      <c r="F115" s="124"/>
      <c r="G115" s="124"/>
      <c r="H115" s="124"/>
      <c r="J115" s="124"/>
      <c r="K115" s="124"/>
    </row>
    <row r="116" ht="15.75" customHeight="1">
      <c r="C116" s="155"/>
      <c r="E116" s="124"/>
      <c r="F116" s="124"/>
      <c r="G116" s="124"/>
      <c r="H116" s="124"/>
      <c r="J116" s="124"/>
      <c r="K116" s="124"/>
    </row>
    <row r="117" ht="15.75" customHeight="1">
      <c r="C117" s="155"/>
      <c r="E117" s="124"/>
      <c r="F117" s="124"/>
      <c r="G117" s="124"/>
      <c r="H117" s="124"/>
      <c r="J117" s="124"/>
      <c r="K117" s="124"/>
    </row>
    <row r="118" ht="15.75" customHeight="1">
      <c r="C118" s="155"/>
      <c r="E118" s="124"/>
      <c r="F118" s="124"/>
      <c r="G118" s="124"/>
      <c r="H118" s="124"/>
      <c r="J118" s="124"/>
      <c r="K118" s="124"/>
    </row>
    <row r="119" ht="15.75" customHeight="1">
      <c r="C119" s="155"/>
      <c r="E119" s="124"/>
      <c r="F119" s="124"/>
      <c r="G119" s="124"/>
      <c r="H119" s="124"/>
      <c r="J119" s="124"/>
      <c r="K119" s="124"/>
    </row>
    <row r="120" ht="15.75" customHeight="1">
      <c r="C120" s="155"/>
      <c r="E120" s="124"/>
      <c r="F120" s="124"/>
      <c r="G120" s="124"/>
      <c r="H120" s="124"/>
      <c r="J120" s="124"/>
      <c r="K120" s="124"/>
    </row>
    <row r="121" ht="15.75" customHeight="1">
      <c r="C121" s="155"/>
      <c r="E121" s="124"/>
      <c r="F121" s="124"/>
      <c r="G121" s="124"/>
      <c r="H121" s="124"/>
      <c r="J121" s="124"/>
      <c r="K121" s="124"/>
    </row>
    <row r="122" ht="15.75" customHeight="1">
      <c r="C122" s="155"/>
      <c r="E122" s="124"/>
      <c r="F122" s="124"/>
      <c r="G122" s="124"/>
      <c r="H122" s="124"/>
      <c r="J122" s="124"/>
      <c r="K122" s="124"/>
    </row>
    <row r="123" ht="15.75" customHeight="1">
      <c r="C123" s="155"/>
      <c r="E123" s="124"/>
      <c r="F123" s="124"/>
      <c r="G123" s="124"/>
      <c r="H123" s="124"/>
      <c r="J123" s="124"/>
      <c r="K123" s="124"/>
    </row>
    <row r="124" ht="15.75" customHeight="1">
      <c r="C124" s="155"/>
      <c r="E124" s="124"/>
      <c r="F124" s="124"/>
      <c r="G124" s="124"/>
      <c r="H124" s="124"/>
      <c r="J124" s="124"/>
      <c r="K124" s="124"/>
    </row>
    <row r="125" ht="15.75" customHeight="1">
      <c r="C125" s="155"/>
      <c r="E125" s="124"/>
      <c r="F125" s="124"/>
      <c r="G125" s="124"/>
      <c r="H125" s="124"/>
      <c r="J125" s="124"/>
      <c r="K125" s="124"/>
    </row>
    <row r="126" ht="15.75" customHeight="1">
      <c r="C126" s="155"/>
      <c r="E126" s="124"/>
      <c r="F126" s="124"/>
      <c r="G126" s="124"/>
      <c r="H126" s="124"/>
      <c r="J126" s="124"/>
      <c r="K126" s="124"/>
    </row>
    <row r="127" ht="15.75" customHeight="1">
      <c r="C127" s="155"/>
      <c r="E127" s="124"/>
      <c r="F127" s="124"/>
      <c r="G127" s="124"/>
      <c r="H127" s="124"/>
      <c r="J127" s="124"/>
      <c r="K127" s="124"/>
    </row>
    <row r="128" ht="15.75" customHeight="1">
      <c r="C128" s="155"/>
      <c r="E128" s="124"/>
      <c r="F128" s="124"/>
      <c r="G128" s="124"/>
      <c r="H128" s="124"/>
      <c r="J128" s="124"/>
      <c r="K128" s="124"/>
    </row>
    <row r="129" ht="15.75" customHeight="1">
      <c r="C129" s="155"/>
      <c r="E129" s="124"/>
      <c r="F129" s="124"/>
      <c r="G129" s="124"/>
      <c r="H129" s="124"/>
      <c r="J129" s="124"/>
      <c r="K129" s="124"/>
    </row>
    <row r="130" ht="15.75" customHeight="1">
      <c r="C130" s="155"/>
      <c r="E130" s="124"/>
      <c r="F130" s="124"/>
      <c r="G130" s="124"/>
      <c r="H130" s="124"/>
      <c r="J130" s="124"/>
      <c r="K130" s="124"/>
    </row>
    <row r="131" ht="15.75" customHeight="1">
      <c r="C131" s="155"/>
      <c r="E131" s="124"/>
      <c r="F131" s="124"/>
      <c r="G131" s="124"/>
      <c r="H131" s="124"/>
      <c r="J131" s="124"/>
      <c r="K131" s="124"/>
    </row>
    <row r="132" ht="15.75" customHeight="1">
      <c r="C132" s="155"/>
      <c r="E132" s="124"/>
      <c r="F132" s="124"/>
      <c r="G132" s="124"/>
      <c r="H132" s="124"/>
      <c r="J132" s="124"/>
      <c r="K132" s="124"/>
    </row>
    <row r="133" ht="15.75" customHeight="1">
      <c r="C133" s="155"/>
      <c r="E133" s="124"/>
      <c r="F133" s="124"/>
      <c r="G133" s="124"/>
      <c r="H133" s="124"/>
      <c r="J133" s="124"/>
      <c r="K133" s="124"/>
    </row>
    <row r="134" ht="15.75" customHeight="1">
      <c r="C134" s="155"/>
      <c r="E134" s="124"/>
      <c r="F134" s="124"/>
      <c r="G134" s="124"/>
      <c r="H134" s="124"/>
      <c r="J134" s="124"/>
      <c r="K134" s="124"/>
    </row>
    <row r="135" ht="15.75" customHeight="1">
      <c r="C135" s="155"/>
      <c r="E135" s="124"/>
      <c r="F135" s="124"/>
      <c r="G135" s="124"/>
      <c r="H135" s="124"/>
      <c r="J135" s="124"/>
      <c r="K135" s="124"/>
    </row>
    <row r="136" ht="15.75" customHeight="1">
      <c r="C136" s="155"/>
      <c r="E136" s="124"/>
      <c r="F136" s="124"/>
      <c r="G136" s="124"/>
      <c r="H136" s="124"/>
      <c r="J136" s="124"/>
      <c r="K136" s="124"/>
    </row>
    <row r="137" ht="15.75" customHeight="1">
      <c r="C137" s="155"/>
      <c r="E137" s="124"/>
      <c r="F137" s="124"/>
      <c r="G137" s="124"/>
      <c r="H137" s="124"/>
      <c r="J137" s="124"/>
      <c r="K137" s="124"/>
    </row>
    <row r="138" ht="15.75" customHeight="1">
      <c r="C138" s="155"/>
      <c r="E138" s="124"/>
      <c r="F138" s="124"/>
      <c r="G138" s="124"/>
      <c r="H138" s="124"/>
      <c r="J138" s="124"/>
      <c r="K138" s="124"/>
    </row>
    <row r="139" ht="15.75" customHeight="1">
      <c r="C139" s="155"/>
      <c r="E139" s="124"/>
      <c r="F139" s="124"/>
      <c r="G139" s="124"/>
      <c r="H139" s="124"/>
      <c r="J139" s="124"/>
      <c r="K139" s="124"/>
    </row>
    <row r="140" ht="15.75" customHeight="1">
      <c r="C140" s="155"/>
      <c r="E140" s="124"/>
      <c r="F140" s="124"/>
      <c r="G140" s="124"/>
      <c r="H140" s="124"/>
      <c r="J140" s="124"/>
      <c r="K140" s="124"/>
    </row>
    <row r="141" ht="15.75" customHeight="1">
      <c r="C141" s="155"/>
      <c r="E141" s="124"/>
      <c r="F141" s="124"/>
      <c r="G141" s="124"/>
      <c r="H141" s="124"/>
      <c r="J141" s="124"/>
      <c r="K141" s="124"/>
    </row>
    <row r="142" ht="15.75" customHeight="1">
      <c r="C142" s="155"/>
      <c r="E142" s="124"/>
      <c r="F142" s="124"/>
      <c r="G142" s="124"/>
      <c r="H142" s="124"/>
      <c r="J142" s="124"/>
      <c r="K142" s="124"/>
    </row>
    <row r="143" ht="15.75" customHeight="1">
      <c r="C143" s="155"/>
      <c r="E143" s="124"/>
      <c r="F143" s="124"/>
      <c r="G143" s="124"/>
      <c r="H143" s="124"/>
      <c r="J143" s="124"/>
      <c r="K143" s="124"/>
    </row>
    <row r="144" ht="15.75" customHeight="1">
      <c r="C144" s="155"/>
      <c r="E144" s="124"/>
      <c r="F144" s="124"/>
      <c r="G144" s="124"/>
      <c r="H144" s="124"/>
      <c r="J144" s="124"/>
      <c r="K144" s="124"/>
    </row>
    <row r="145" ht="15.75" customHeight="1">
      <c r="C145" s="155"/>
      <c r="E145" s="124"/>
      <c r="F145" s="124"/>
      <c r="G145" s="124"/>
      <c r="H145" s="124"/>
      <c r="J145" s="124"/>
      <c r="K145" s="124"/>
    </row>
    <row r="146" ht="15.75" customHeight="1">
      <c r="C146" s="155"/>
      <c r="E146" s="124"/>
      <c r="F146" s="124"/>
      <c r="G146" s="124"/>
      <c r="H146" s="124"/>
      <c r="J146" s="124"/>
      <c r="K146" s="124"/>
    </row>
    <row r="147" ht="15.75" customHeight="1">
      <c r="C147" s="155"/>
      <c r="E147" s="124"/>
      <c r="F147" s="124"/>
      <c r="G147" s="124"/>
      <c r="H147" s="124"/>
      <c r="J147" s="124"/>
      <c r="K147" s="124"/>
    </row>
    <row r="148" ht="15.75" customHeight="1">
      <c r="C148" s="155"/>
      <c r="E148" s="124"/>
      <c r="F148" s="124"/>
      <c r="G148" s="124"/>
      <c r="H148" s="124"/>
      <c r="J148" s="124"/>
      <c r="K148" s="124"/>
    </row>
    <row r="149" ht="15.75" customHeight="1">
      <c r="C149" s="155"/>
      <c r="E149" s="124"/>
      <c r="F149" s="124"/>
      <c r="G149" s="124"/>
      <c r="H149" s="124"/>
      <c r="J149" s="124"/>
      <c r="K149" s="124"/>
    </row>
    <row r="150" ht="15.75" customHeight="1">
      <c r="C150" s="155"/>
      <c r="E150" s="124"/>
      <c r="F150" s="124"/>
      <c r="G150" s="124"/>
      <c r="H150" s="124"/>
      <c r="J150" s="124"/>
      <c r="K150" s="124"/>
    </row>
    <row r="151" ht="15.75" customHeight="1">
      <c r="C151" s="155"/>
      <c r="E151" s="124"/>
      <c r="F151" s="124"/>
      <c r="G151" s="124"/>
      <c r="H151" s="124"/>
      <c r="J151" s="124"/>
      <c r="K151" s="124"/>
    </row>
    <row r="152" ht="15.75" customHeight="1">
      <c r="C152" s="155"/>
      <c r="E152" s="124"/>
      <c r="F152" s="124"/>
      <c r="G152" s="124"/>
      <c r="H152" s="124"/>
      <c r="J152" s="124"/>
      <c r="K152" s="124"/>
    </row>
    <row r="153" ht="15.75" customHeight="1">
      <c r="C153" s="155"/>
      <c r="E153" s="124"/>
      <c r="F153" s="124"/>
      <c r="G153" s="124"/>
      <c r="H153" s="124"/>
      <c r="J153" s="124"/>
      <c r="K153" s="124"/>
    </row>
    <row r="154" ht="15.75" customHeight="1">
      <c r="C154" s="155"/>
      <c r="E154" s="124"/>
      <c r="F154" s="124"/>
      <c r="G154" s="124"/>
      <c r="H154" s="124"/>
      <c r="J154" s="124"/>
      <c r="K154" s="124"/>
    </row>
    <row r="155" ht="15.75" customHeight="1">
      <c r="C155" s="155"/>
      <c r="E155" s="124"/>
      <c r="F155" s="124"/>
      <c r="G155" s="124"/>
      <c r="H155" s="124"/>
      <c r="J155" s="124"/>
      <c r="K155" s="124"/>
    </row>
    <row r="156" ht="15.75" customHeight="1">
      <c r="C156" s="155"/>
      <c r="E156" s="124"/>
      <c r="F156" s="124"/>
      <c r="G156" s="124"/>
      <c r="H156" s="124"/>
      <c r="J156" s="124"/>
      <c r="K156" s="124"/>
    </row>
    <row r="157" ht="15.75" customHeight="1">
      <c r="C157" s="155"/>
      <c r="E157" s="124"/>
      <c r="F157" s="124"/>
      <c r="G157" s="124"/>
      <c r="H157" s="124"/>
      <c r="J157" s="124"/>
      <c r="K157" s="124"/>
    </row>
    <row r="158" ht="15.75" customHeight="1">
      <c r="C158" s="155"/>
      <c r="E158" s="124"/>
      <c r="F158" s="124"/>
      <c r="G158" s="124"/>
      <c r="H158" s="124"/>
      <c r="J158" s="124"/>
      <c r="K158" s="124"/>
    </row>
    <row r="159" ht="15.75" customHeight="1">
      <c r="C159" s="155"/>
      <c r="E159" s="124"/>
      <c r="F159" s="124"/>
      <c r="G159" s="124"/>
      <c r="H159" s="124"/>
      <c r="J159" s="124"/>
      <c r="K159" s="124"/>
    </row>
    <row r="160" ht="15.75" customHeight="1">
      <c r="C160" s="155"/>
      <c r="E160" s="124"/>
      <c r="F160" s="124"/>
      <c r="G160" s="124"/>
      <c r="H160" s="124"/>
      <c r="J160" s="124"/>
      <c r="K160" s="124"/>
    </row>
    <row r="161" ht="15.75" customHeight="1">
      <c r="C161" s="155"/>
      <c r="E161" s="124"/>
      <c r="F161" s="124"/>
      <c r="G161" s="124"/>
      <c r="H161" s="124"/>
      <c r="J161" s="124"/>
      <c r="K161" s="124"/>
    </row>
    <row r="162" ht="15.75" customHeight="1">
      <c r="C162" s="155"/>
      <c r="E162" s="124"/>
      <c r="F162" s="124"/>
      <c r="G162" s="124"/>
      <c r="H162" s="124"/>
      <c r="J162" s="124"/>
      <c r="K162" s="124"/>
    </row>
    <row r="163" ht="15.75" customHeight="1">
      <c r="C163" s="155"/>
      <c r="E163" s="124"/>
      <c r="F163" s="124"/>
      <c r="G163" s="124"/>
      <c r="H163" s="124"/>
      <c r="J163" s="124"/>
      <c r="K163" s="124"/>
    </row>
    <row r="164" ht="15.75" customHeight="1">
      <c r="C164" s="155"/>
      <c r="E164" s="124"/>
      <c r="F164" s="124"/>
      <c r="G164" s="124"/>
      <c r="H164" s="124"/>
      <c r="J164" s="124"/>
      <c r="K164" s="124"/>
    </row>
    <row r="165" ht="15.75" customHeight="1">
      <c r="C165" s="155"/>
      <c r="E165" s="124"/>
      <c r="F165" s="124"/>
      <c r="G165" s="124"/>
      <c r="H165" s="124"/>
      <c r="J165" s="124"/>
      <c r="K165" s="124"/>
    </row>
    <row r="166" ht="15.75" customHeight="1">
      <c r="C166" s="155"/>
      <c r="E166" s="124"/>
      <c r="F166" s="124"/>
      <c r="G166" s="124"/>
      <c r="H166" s="124"/>
      <c r="J166" s="124"/>
      <c r="K166" s="124"/>
    </row>
    <row r="167" ht="15.75" customHeight="1">
      <c r="C167" s="155"/>
      <c r="E167" s="124"/>
      <c r="F167" s="124"/>
      <c r="G167" s="124"/>
      <c r="H167" s="124"/>
      <c r="J167" s="124"/>
      <c r="K167" s="124"/>
    </row>
    <row r="168" ht="15.75" customHeight="1">
      <c r="C168" s="155"/>
      <c r="E168" s="124"/>
      <c r="F168" s="124"/>
      <c r="G168" s="124"/>
      <c r="H168" s="124"/>
      <c r="J168" s="124"/>
      <c r="K168" s="124"/>
    </row>
    <row r="169" ht="15.75" customHeight="1">
      <c r="C169" s="155"/>
      <c r="E169" s="124"/>
      <c r="F169" s="124"/>
      <c r="G169" s="124"/>
      <c r="H169" s="124"/>
      <c r="J169" s="124"/>
      <c r="K169" s="124"/>
    </row>
    <row r="170" ht="15.75" customHeight="1">
      <c r="C170" s="155"/>
      <c r="E170" s="124"/>
      <c r="F170" s="124"/>
      <c r="G170" s="124"/>
      <c r="H170" s="124"/>
      <c r="J170" s="124"/>
      <c r="K170" s="124"/>
    </row>
    <row r="171" ht="15.75" customHeight="1">
      <c r="C171" s="155"/>
      <c r="E171" s="124"/>
      <c r="F171" s="124"/>
      <c r="G171" s="124"/>
      <c r="H171" s="124"/>
      <c r="J171" s="124"/>
      <c r="K171" s="124"/>
    </row>
    <row r="172" ht="15.75" customHeight="1">
      <c r="C172" s="155"/>
      <c r="E172" s="124"/>
      <c r="F172" s="124"/>
      <c r="G172" s="124"/>
      <c r="H172" s="124"/>
      <c r="J172" s="124"/>
      <c r="K172" s="124"/>
    </row>
    <row r="173" ht="15.75" customHeight="1">
      <c r="C173" s="155"/>
      <c r="E173" s="124"/>
      <c r="F173" s="124"/>
      <c r="G173" s="124"/>
      <c r="H173" s="124"/>
      <c r="J173" s="124"/>
      <c r="K173" s="124"/>
    </row>
    <row r="174" ht="15.75" customHeight="1">
      <c r="C174" s="155"/>
      <c r="E174" s="124"/>
      <c r="F174" s="124"/>
      <c r="G174" s="124"/>
      <c r="H174" s="124"/>
      <c r="J174" s="124"/>
      <c r="K174" s="124"/>
    </row>
    <row r="175" ht="15.75" customHeight="1">
      <c r="C175" s="155"/>
      <c r="E175" s="124"/>
      <c r="F175" s="124"/>
      <c r="G175" s="124"/>
      <c r="H175" s="124"/>
      <c r="J175" s="124"/>
      <c r="K175" s="124"/>
    </row>
    <row r="176" ht="15.75" customHeight="1">
      <c r="C176" s="155"/>
      <c r="E176" s="124"/>
      <c r="F176" s="124"/>
      <c r="G176" s="124"/>
      <c r="H176" s="124"/>
      <c r="J176" s="124"/>
      <c r="K176" s="124"/>
    </row>
    <row r="177" ht="15.75" customHeight="1">
      <c r="C177" s="155"/>
      <c r="E177" s="124"/>
      <c r="F177" s="124"/>
      <c r="G177" s="124"/>
      <c r="H177" s="124"/>
      <c r="J177" s="124"/>
      <c r="K177" s="124"/>
    </row>
    <row r="178" ht="15.75" customHeight="1">
      <c r="C178" s="155"/>
      <c r="E178" s="124"/>
      <c r="F178" s="124"/>
      <c r="G178" s="124"/>
      <c r="H178" s="124"/>
      <c r="J178" s="124"/>
      <c r="K178" s="124"/>
    </row>
    <row r="179" ht="15.75" customHeight="1">
      <c r="C179" s="155"/>
      <c r="E179" s="124"/>
      <c r="F179" s="124"/>
      <c r="G179" s="124"/>
      <c r="H179" s="124"/>
      <c r="J179" s="124"/>
      <c r="K179" s="124"/>
    </row>
    <row r="180" ht="15.75" customHeight="1">
      <c r="C180" s="155"/>
      <c r="E180" s="124"/>
      <c r="F180" s="124"/>
      <c r="G180" s="124"/>
      <c r="H180" s="124"/>
      <c r="J180" s="124"/>
      <c r="K180" s="124"/>
    </row>
    <row r="181" ht="15.75" customHeight="1">
      <c r="C181" s="155"/>
      <c r="E181" s="124"/>
      <c r="F181" s="124"/>
      <c r="G181" s="124"/>
      <c r="H181" s="124"/>
      <c r="J181" s="124"/>
      <c r="K181" s="124"/>
    </row>
    <row r="182" ht="15.75" customHeight="1">
      <c r="C182" s="155"/>
      <c r="E182" s="124"/>
      <c r="F182" s="124"/>
      <c r="G182" s="124"/>
      <c r="H182" s="124"/>
      <c r="J182" s="124"/>
      <c r="K182" s="124"/>
    </row>
    <row r="183" ht="15.75" customHeight="1">
      <c r="C183" s="155"/>
      <c r="E183" s="124"/>
      <c r="F183" s="124"/>
      <c r="G183" s="124"/>
      <c r="H183" s="124"/>
      <c r="J183" s="124"/>
      <c r="K183" s="124"/>
    </row>
    <row r="184" ht="15.75" customHeight="1">
      <c r="C184" s="155"/>
      <c r="E184" s="124"/>
      <c r="F184" s="124"/>
      <c r="G184" s="124"/>
      <c r="H184" s="124"/>
      <c r="J184" s="124"/>
      <c r="K184" s="124"/>
    </row>
    <row r="185" ht="15.75" customHeight="1">
      <c r="C185" s="155"/>
      <c r="E185" s="124"/>
      <c r="F185" s="124"/>
      <c r="G185" s="124"/>
      <c r="H185" s="124"/>
      <c r="J185" s="124"/>
      <c r="K185" s="124"/>
    </row>
    <row r="186" ht="15.75" customHeight="1">
      <c r="C186" s="155"/>
      <c r="E186" s="124"/>
      <c r="F186" s="124"/>
      <c r="G186" s="124"/>
      <c r="H186" s="124"/>
      <c r="J186" s="124"/>
      <c r="K186" s="124"/>
    </row>
    <row r="187" ht="15.75" customHeight="1">
      <c r="C187" s="155"/>
      <c r="E187" s="124"/>
      <c r="F187" s="124"/>
      <c r="G187" s="124"/>
      <c r="H187" s="124"/>
      <c r="J187" s="124"/>
      <c r="K187" s="124"/>
    </row>
    <row r="188" ht="15.75" customHeight="1">
      <c r="C188" s="155"/>
      <c r="E188" s="124"/>
      <c r="F188" s="124"/>
      <c r="G188" s="124"/>
      <c r="H188" s="124"/>
      <c r="J188" s="124"/>
      <c r="K188" s="124"/>
    </row>
    <row r="189" ht="15.75" customHeight="1">
      <c r="C189" s="155"/>
      <c r="E189" s="124"/>
      <c r="F189" s="124"/>
      <c r="G189" s="124"/>
      <c r="H189" s="124"/>
      <c r="J189" s="124"/>
      <c r="K189" s="124"/>
    </row>
    <row r="190" ht="15.75" customHeight="1">
      <c r="C190" s="155"/>
      <c r="E190" s="124"/>
      <c r="F190" s="124"/>
      <c r="G190" s="124"/>
      <c r="H190" s="124"/>
      <c r="J190" s="124"/>
      <c r="K190" s="124"/>
    </row>
    <row r="191" ht="15.75" customHeight="1">
      <c r="C191" s="155"/>
      <c r="E191" s="124"/>
      <c r="F191" s="124"/>
      <c r="G191" s="124"/>
      <c r="H191" s="124"/>
      <c r="J191" s="124"/>
      <c r="K191" s="124"/>
    </row>
    <row r="192" ht="15.75" customHeight="1">
      <c r="C192" s="155"/>
      <c r="E192" s="124"/>
      <c r="F192" s="124"/>
      <c r="G192" s="124"/>
      <c r="H192" s="124"/>
      <c r="J192" s="124"/>
      <c r="K192" s="124"/>
    </row>
    <row r="193" ht="15.75" customHeight="1">
      <c r="C193" s="155"/>
      <c r="E193" s="124"/>
      <c r="F193" s="124"/>
      <c r="G193" s="124"/>
      <c r="H193" s="124"/>
      <c r="J193" s="124"/>
      <c r="K193" s="124"/>
    </row>
    <row r="194" ht="15.75" customHeight="1">
      <c r="C194" s="155"/>
      <c r="E194" s="124"/>
      <c r="F194" s="124"/>
      <c r="G194" s="124"/>
      <c r="H194" s="124"/>
      <c r="J194" s="124"/>
      <c r="K194" s="124"/>
    </row>
    <row r="195" ht="15.75" customHeight="1">
      <c r="C195" s="155"/>
      <c r="E195" s="124"/>
      <c r="F195" s="124"/>
      <c r="G195" s="124"/>
      <c r="H195" s="124"/>
      <c r="J195" s="124"/>
      <c r="K195" s="124"/>
    </row>
    <row r="196" ht="15.75" customHeight="1">
      <c r="C196" s="155"/>
      <c r="E196" s="124"/>
      <c r="F196" s="124"/>
      <c r="G196" s="124"/>
      <c r="H196" s="124"/>
      <c r="J196" s="124"/>
      <c r="K196" s="124"/>
    </row>
    <row r="197" ht="15.75" customHeight="1">
      <c r="C197" s="155"/>
      <c r="E197" s="124"/>
      <c r="F197" s="124"/>
      <c r="G197" s="124"/>
      <c r="H197" s="124"/>
      <c r="J197" s="124"/>
      <c r="K197" s="124"/>
    </row>
    <row r="198" ht="15.75" customHeight="1">
      <c r="C198" s="155"/>
      <c r="E198" s="124"/>
      <c r="F198" s="124"/>
      <c r="G198" s="124"/>
      <c r="H198" s="124"/>
      <c r="J198" s="124"/>
      <c r="K198" s="124"/>
    </row>
    <row r="199" ht="15.75" customHeight="1">
      <c r="C199" s="155"/>
      <c r="E199" s="124"/>
      <c r="F199" s="124"/>
      <c r="G199" s="124"/>
      <c r="H199" s="124"/>
      <c r="J199" s="124"/>
      <c r="K199" s="124"/>
    </row>
    <row r="200" ht="15.75" customHeight="1">
      <c r="C200" s="155"/>
      <c r="E200" s="124"/>
      <c r="F200" s="124"/>
      <c r="G200" s="124"/>
      <c r="H200" s="124"/>
      <c r="J200" s="124"/>
      <c r="K200" s="124"/>
    </row>
    <row r="201" ht="15.75" customHeight="1">
      <c r="C201" s="155"/>
      <c r="E201" s="124"/>
      <c r="F201" s="124"/>
      <c r="G201" s="124"/>
      <c r="H201" s="124"/>
      <c r="J201" s="124"/>
      <c r="K201" s="124"/>
    </row>
    <row r="202" ht="15.75" customHeight="1">
      <c r="C202" s="155"/>
      <c r="E202" s="124"/>
      <c r="F202" s="124"/>
      <c r="G202" s="124"/>
      <c r="H202" s="124"/>
      <c r="J202" s="124"/>
      <c r="K202" s="124"/>
    </row>
    <row r="203" ht="15.75" customHeight="1">
      <c r="C203" s="155"/>
      <c r="E203" s="124"/>
      <c r="F203" s="124"/>
      <c r="G203" s="124"/>
      <c r="H203" s="124"/>
      <c r="J203" s="124"/>
      <c r="K203" s="124"/>
    </row>
    <row r="204" ht="15.75" customHeight="1">
      <c r="C204" s="155"/>
      <c r="E204" s="124"/>
      <c r="F204" s="124"/>
      <c r="G204" s="124"/>
      <c r="H204" s="124"/>
      <c r="J204" s="124"/>
      <c r="K204" s="124"/>
    </row>
    <row r="205" ht="15.75" customHeight="1">
      <c r="C205" s="155"/>
      <c r="E205" s="124"/>
      <c r="F205" s="124"/>
      <c r="G205" s="124"/>
      <c r="H205" s="124"/>
      <c r="J205" s="124"/>
      <c r="K205" s="124"/>
    </row>
    <row r="206" ht="15.75" customHeight="1">
      <c r="C206" s="155"/>
      <c r="E206" s="124"/>
      <c r="F206" s="124"/>
      <c r="G206" s="124"/>
      <c r="H206" s="124"/>
      <c r="J206" s="124"/>
      <c r="K206" s="124"/>
    </row>
    <row r="207" ht="15.75" customHeight="1">
      <c r="C207" s="155"/>
      <c r="E207" s="124"/>
      <c r="F207" s="124"/>
      <c r="G207" s="124"/>
      <c r="H207" s="124"/>
      <c r="J207" s="124"/>
      <c r="K207" s="124"/>
    </row>
    <row r="208" ht="15.75" customHeight="1">
      <c r="C208" s="155"/>
      <c r="E208" s="124"/>
      <c r="F208" s="124"/>
      <c r="G208" s="124"/>
      <c r="H208" s="124"/>
      <c r="J208" s="124"/>
      <c r="K208" s="124"/>
    </row>
    <row r="209" ht="15.75" customHeight="1">
      <c r="C209" s="155"/>
      <c r="E209" s="124"/>
      <c r="F209" s="124"/>
      <c r="G209" s="124"/>
      <c r="H209" s="124"/>
      <c r="J209" s="124"/>
      <c r="K209" s="124"/>
    </row>
    <row r="210" ht="15.75" customHeight="1">
      <c r="C210" s="155"/>
      <c r="E210" s="124"/>
      <c r="F210" s="124"/>
      <c r="G210" s="124"/>
      <c r="H210" s="124"/>
      <c r="J210" s="124"/>
      <c r="K210" s="124"/>
    </row>
    <row r="211" ht="15.75" customHeight="1">
      <c r="C211" s="155"/>
      <c r="E211" s="124"/>
      <c r="F211" s="124"/>
      <c r="G211" s="124"/>
      <c r="H211" s="124"/>
      <c r="J211" s="124"/>
      <c r="K211" s="124"/>
    </row>
    <row r="212" ht="15.75" customHeight="1">
      <c r="C212" s="155"/>
      <c r="E212" s="124"/>
      <c r="F212" s="124"/>
      <c r="G212" s="124"/>
      <c r="H212" s="124"/>
      <c r="J212" s="124"/>
      <c r="K212" s="124"/>
    </row>
    <row r="213" ht="15.75" customHeight="1">
      <c r="C213" s="155"/>
      <c r="E213" s="124"/>
      <c r="F213" s="124"/>
      <c r="G213" s="124"/>
      <c r="H213" s="124"/>
      <c r="J213" s="124"/>
      <c r="K213" s="124"/>
    </row>
    <row r="214" ht="15.75" customHeight="1">
      <c r="C214" s="155"/>
      <c r="E214" s="124"/>
      <c r="F214" s="124"/>
      <c r="G214" s="124"/>
      <c r="H214" s="124"/>
      <c r="J214" s="124"/>
      <c r="K214" s="124"/>
    </row>
    <row r="215" ht="15.75" customHeight="1">
      <c r="C215" s="155"/>
      <c r="E215" s="124"/>
      <c r="F215" s="124"/>
      <c r="G215" s="124"/>
      <c r="H215" s="124"/>
      <c r="J215" s="124"/>
      <c r="K215" s="124"/>
    </row>
    <row r="216" ht="15.75" customHeight="1">
      <c r="C216" s="155"/>
      <c r="E216" s="124"/>
      <c r="F216" s="124"/>
      <c r="G216" s="124"/>
      <c r="H216" s="124"/>
      <c r="J216" s="124"/>
      <c r="K216" s="124"/>
    </row>
    <row r="217" ht="15.75" customHeight="1">
      <c r="C217" s="155"/>
      <c r="E217" s="124"/>
      <c r="F217" s="124"/>
      <c r="G217" s="124"/>
      <c r="H217" s="124"/>
      <c r="J217" s="124"/>
      <c r="K217" s="124"/>
    </row>
    <row r="218" ht="15.75" customHeight="1">
      <c r="C218" s="155"/>
      <c r="E218" s="124"/>
      <c r="F218" s="124"/>
      <c r="G218" s="124"/>
      <c r="H218" s="124"/>
      <c r="J218" s="124"/>
      <c r="K218" s="124"/>
    </row>
    <row r="219" ht="15.75" customHeight="1">
      <c r="C219" s="155"/>
      <c r="E219" s="124"/>
      <c r="F219" s="124"/>
      <c r="G219" s="124"/>
      <c r="H219" s="124"/>
      <c r="J219" s="124"/>
      <c r="K219" s="124"/>
    </row>
    <row r="220" ht="15.75" customHeight="1">
      <c r="C220" s="155"/>
      <c r="E220" s="124"/>
      <c r="F220" s="124"/>
      <c r="G220" s="124"/>
      <c r="H220" s="124"/>
      <c r="J220" s="124"/>
      <c r="K220" s="124"/>
    </row>
    <row r="221" ht="15.75" customHeight="1">
      <c r="C221" s="155"/>
      <c r="E221" s="124"/>
      <c r="F221" s="124"/>
      <c r="G221" s="124"/>
      <c r="H221" s="124"/>
      <c r="J221" s="124"/>
      <c r="K221" s="124"/>
    </row>
    <row r="222" ht="15.75" customHeight="1">
      <c r="C222" s="155"/>
      <c r="E222" s="124"/>
      <c r="F222" s="124"/>
      <c r="G222" s="124"/>
      <c r="H222" s="124"/>
      <c r="J222" s="124"/>
      <c r="K222" s="124"/>
    </row>
    <row r="223" ht="15.75" customHeight="1">
      <c r="C223" s="155"/>
      <c r="E223" s="124"/>
      <c r="F223" s="124"/>
      <c r="G223" s="124"/>
      <c r="H223" s="124"/>
      <c r="J223" s="124"/>
      <c r="K223" s="124"/>
    </row>
    <row r="224" ht="15.75" customHeight="1">
      <c r="C224" s="155"/>
      <c r="E224" s="124"/>
      <c r="F224" s="124"/>
      <c r="G224" s="124"/>
      <c r="H224" s="124"/>
      <c r="J224" s="124"/>
      <c r="K224" s="124"/>
    </row>
    <row r="225" ht="15.75" customHeight="1">
      <c r="C225" s="155"/>
      <c r="E225" s="124"/>
      <c r="F225" s="124"/>
      <c r="G225" s="124"/>
      <c r="H225" s="124"/>
      <c r="J225" s="124"/>
      <c r="K225" s="124"/>
    </row>
    <row r="226" ht="15.75" customHeight="1">
      <c r="C226" s="155"/>
      <c r="E226" s="124"/>
      <c r="F226" s="124"/>
      <c r="G226" s="124"/>
      <c r="H226" s="124"/>
      <c r="J226" s="124"/>
      <c r="K226" s="124"/>
    </row>
    <row r="227" ht="15.75" customHeight="1">
      <c r="C227" s="155"/>
      <c r="E227" s="124"/>
      <c r="F227" s="124"/>
      <c r="G227" s="124"/>
      <c r="H227" s="124"/>
      <c r="J227" s="124"/>
      <c r="K227" s="124"/>
    </row>
    <row r="228" ht="15.75" customHeight="1">
      <c r="C228" s="155"/>
      <c r="E228" s="124"/>
      <c r="F228" s="124"/>
      <c r="G228" s="124"/>
      <c r="H228" s="124"/>
      <c r="J228" s="124"/>
      <c r="K228" s="124"/>
    </row>
    <row r="229" ht="15.75" customHeight="1">
      <c r="C229" s="155"/>
      <c r="E229" s="124"/>
      <c r="F229" s="124"/>
      <c r="G229" s="124"/>
      <c r="H229" s="124"/>
      <c r="J229" s="124"/>
      <c r="K229" s="124"/>
    </row>
    <row r="230" ht="15.75" customHeight="1">
      <c r="C230" s="155"/>
      <c r="E230" s="124"/>
      <c r="F230" s="124"/>
      <c r="G230" s="124"/>
      <c r="H230" s="124"/>
      <c r="J230" s="124"/>
      <c r="K230" s="124"/>
    </row>
    <row r="231" ht="15.75" customHeight="1">
      <c r="C231" s="155"/>
      <c r="E231" s="124"/>
      <c r="F231" s="124"/>
      <c r="G231" s="124"/>
      <c r="H231" s="124"/>
      <c r="J231" s="124"/>
      <c r="K231" s="124"/>
    </row>
    <row r="232" ht="15.75" customHeight="1">
      <c r="C232" s="155"/>
      <c r="E232" s="124"/>
      <c r="F232" s="124"/>
      <c r="G232" s="124"/>
      <c r="H232" s="124"/>
      <c r="J232" s="124"/>
      <c r="K232" s="124"/>
    </row>
    <row r="233" ht="15.75" customHeight="1">
      <c r="C233" s="155"/>
      <c r="E233" s="124"/>
      <c r="F233" s="124"/>
      <c r="G233" s="124"/>
      <c r="H233" s="124"/>
      <c r="J233" s="124"/>
      <c r="K233" s="124"/>
    </row>
    <row r="234" ht="15.75" customHeight="1">
      <c r="C234" s="155"/>
      <c r="E234" s="124"/>
      <c r="F234" s="124"/>
      <c r="G234" s="124"/>
      <c r="H234" s="124"/>
      <c r="J234" s="124"/>
      <c r="K234" s="124"/>
    </row>
    <row r="235" ht="15.75" customHeight="1">
      <c r="C235" s="155"/>
      <c r="E235" s="124"/>
      <c r="F235" s="124"/>
      <c r="G235" s="124"/>
      <c r="H235" s="124"/>
      <c r="J235" s="124"/>
      <c r="K235" s="124"/>
    </row>
    <row r="236" ht="15.75" customHeight="1">
      <c r="C236" s="155"/>
      <c r="E236" s="124"/>
      <c r="F236" s="124"/>
      <c r="G236" s="124"/>
      <c r="H236" s="124"/>
      <c r="J236" s="124"/>
      <c r="K236" s="124"/>
    </row>
    <row r="237" ht="15.75" customHeight="1">
      <c r="C237" s="155"/>
      <c r="E237" s="124"/>
      <c r="F237" s="124"/>
      <c r="G237" s="124"/>
      <c r="H237" s="124"/>
      <c r="J237" s="124"/>
      <c r="K237" s="124"/>
    </row>
    <row r="238" ht="15.75" customHeight="1">
      <c r="C238" s="155"/>
      <c r="E238" s="124"/>
      <c r="F238" s="124"/>
      <c r="G238" s="124"/>
      <c r="H238" s="124"/>
      <c r="J238" s="124"/>
      <c r="K238" s="124"/>
    </row>
    <row r="239" ht="15.75" customHeight="1">
      <c r="C239" s="155"/>
      <c r="E239" s="124"/>
      <c r="F239" s="124"/>
      <c r="G239" s="124"/>
      <c r="H239" s="124"/>
      <c r="J239" s="124"/>
      <c r="K239" s="124"/>
    </row>
    <row r="240" ht="15.75" customHeight="1">
      <c r="C240" s="155"/>
      <c r="E240" s="124"/>
      <c r="F240" s="124"/>
      <c r="G240" s="124"/>
      <c r="H240" s="124"/>
      <c r="J240" s="124"/>
      <c r="K240" s="124"/>
    </row>
    <row r="241" ht="15.75" customHeight="1">
      <c r="C241" s="155"/>
      <c r="E241" s="124"/>
      <c r="F241" s="124"/>
      <c r="G241" s="124"/>
      <c r="H241" s="124"/>
      <c r="J241" s="124"/>
      <c r="K241" s="124"/>
    </row>
    <row r="242" ht="15.75" customHeight="1">
      <c r="C242" s="155"/>
      <c r="E242" s="124"/>
      <c r="F242" s="124"/>
      <c r="G242" s="124"/>
      <c r="H242" s="124"/>
      <c r="J242" s="124"/>
      <c r="K242" s="124"/>
    </row>
    <row r="243" ht="15.75" customHeight="1">
      <c r="C243" s="155"/>
      <c r="E243" s="124"/>
      <c r="F243" s="124"/>
      <c r="G243" s="124"/>
      <c r="H243" s="124"/>
      <c r="J243" s="124"/>
      <c r="K243" s="124"/>
    </row>
    <row r="244" ht="15.75" customHeight="1">
      <c r="C244" s="155"/>
      <c r="E244" s="124"/>
      <c r="F244" s="124"/>
      <c r="G244" s="124"/>
      <c r="H244" s="124"/>
      <c r="J244" s="124"/>
      <c r="K244" s="124"/>
    </row>
    <row r="245" ht="15.75" customHeight="1">
      <c r="C245" s="155"/>
      <c r="E245" s="124"/>
      <c r="F245" s="124"/>
      <c r="G245" s="124"/>
      <c r="H245" s="124"/>
      <c r="J245" s="124"/>
      <c r="K245" s="124"/>
    </row>
    <row r="246" ht="15.75" customHeight="1">
      <c r="C246" s="155"/>
      <c r="E246" s="124"/>
      <c r="F246" s="124"/>
      <c r="G246" s="124"/>
      <c r="H246" s="124"/>
      <c r="J246" s="124"/>
      <c r="K246" s="124"/>
    </row>
    <row r="247" ht="15.75" customHeight="1">
      <c r="C247" s="155"/>
      <c r="E247" s="124"/>
      <c r="F247" s="124"/>
      <c r="G247" s="124"/>
      <c r="H247" s="124"/>
      <c r="J247" s="124"/>
      <c r="K247" s="124"/>
    </row>
    <row r="248" ht="15.75" customHeight="1">
      <c r="C248" s="155"/>
      <c r="E248" s="124"/>
      <c r="F248" s="124"/>
      <c r="G248" s="124"/>
      <c r="H248" s="124"/>
      <c r="J248" s="124"/>
      <c r="K248" s="124"/>
    </row>
    <row r="249" ht="15.75" customHeight="1">
      <c r="C249" s="155"/>
      <c r="E249" s="124"/>
      <c r="F249" s="124"/>
      <c r="G249" s="124"/>
      <c r="H249" s="124"/>
      <c r="J249" s="124"/>
      <c r="K249" s="124"/>
    </row>
    <row r="250" ht="15.75" customHeight="1">
      <c r="C250" s="155"/>
      <c r="E250" s="124"/>
      <c r="F250" s="124"/>
      <c r="G250" s="124"/>
      <c r="H250" s="124"/>
      <c r="J250" s="124"/>
      <c r="K250" s="124"/>
    </row>
    <row r="251" ht="15.75" customHeight="1">
      <c r="C251" s="155"/>
      <c r="E251" s="124"/>
      <c r="F251" s="124"/>
      <c r="G251" s="124"/>
      <c r="H251" s="124"/>
      <c r="J251" s="124"/>
      <c r="K251" s="124"/>
    </row>
    <row r="252" ht="15.75" customHeight="1">
      <c r="C252" s="155"/>
      <c r="E252" s="124"/>
      <c r="F252" s="124"/>
      <c r="G252" s="124"/>
      <c r="H252" s="124"/>
      <c r="J252" s="124"/>
      <c r="K252" s="124"/>
    </row>
    <row r="253" ht="15.75" customHeight="1">
      <c r="C253" s="155"/>
      <c r="E253" s="124"/>
      <c r="F253" s="124"/>
      <c r="G253" s="124"/>
      <c r="H253" s="124"/>
      <c r="J253" s="124"/>
      <c r="K253" s="124"/>
    </row>
    <row r="254" ht="15.75" customHeight="1">
      <c r="C254" s="155"/>
      <c r="E254" s="124"/>
      <c r="F254" s="124"/>
      <c r="G254" s="124"/>
      <c r="H254" s="124"/>
      <c r="J254" s="124"/>
      <c r="K254" s="124"/>
    </row>
    <row r="255" ht="15.75" customHeight="1">
      <c r="C255" s="155"/>
      <c r="E255" s="124"/>
      <c r="F255" s="124"/>
      <c r="G255" s="124"/>
      <c r="H255" s="124"/>
      <c r="J255" s="124"/>
      <c r="K255" s="124"/>
    </row>
    <row r="256" ht="15.75" customHeight="1">
      <c r="C256" s="155"/>
      <c r="E256" s="124"/>
      <c r="F256" s="124"/>
      <c r="G256" s="124"/>
      <c r="H256" s="124"/>
      <c r="J256" s="124"/>
      <c r="K256" s="124"/>
    </row>
    <row r="257" ht="15.75" customHeight="1">
      <c r="C257" s="155"/>
      <c r="E257" s="124"/>
      <c r="F257" s="124"/>
      <c r="G257" s="124"/>
      <c r="H257" s="124"/>
      <c r="J257" s="124"/>
      <c r="K257" s="124"/>
    </row>
    <row r="258" ht="15.75" customHeight="1">
      <c r="C258" s="155"/>
      <c r="E258" s="124"/>
      <c r="F258" s="124"/>
      <c r="G258" s="124"/>
      <c r="H258" s="124"/>
      <c r="J258" s="124"/>
      <c r="K258" s="124"/>
    </row>
    <row r="259" ht="15.75" customHeight="1">
      <c r="C259" s="155"/>
      <c r="E259" s="124"/>
      <c r="F259" s="124"/>
      <c r="G259" s="124"/>
      <c r="H259" s="124"/>
      <c r="J259" s="124"/>
      <c r="K259" s="124"/>
    </row>
    <row r="260" ht="15.75" customHeight="1">
      <c r="C260" s="155"/>
      <c r="E260" s="124"/>
      <c r="F260" s="124"/>
      <c r="G260" s="124"/>
      <c r="H260" s="124"/>
      <c r="J260" s="124"/>
      <c r="K260" s="124"/>
    </row>
    <row r="261" ht="15.75" customHeight="1">
      <c r="C261" s="155"/>
      <c r="E261" s="124"/>
      <c r="F261" s="124"/>
      <c r="G261" s="124"/>
      <c r="H261" s="124"/>
      <c r="J261" s="124"/>
      <c r="K261" s="124"/>
    </row>
    <row r="262" ht="15.75" customHeight="1">
      <c r="C262" s="155"/>
      <c r="E262" s="124"/>
      <c r="F262" s="124"/>
      <c r="G262" s="124"/>
      <c r="H262" s="124"/>
      <c r="J262" s="124"/>
      <c r="K262" s="124"/>
    </row>
    <row r="263" ht="15.75" customHeight="1">
      <c r="C263" s="155"/>
      <c r="E263" s="124"/>
      <c r="F263" s="124"/>
      <c r="G263" s="124"/>
      <c r="H263" s="124"/>
      <c r="J263" s="124"/>
      <c r="K263" s="124"/>
    </row>
    <row r="264" ht="15.75" customHeight="1">
      <c r="C264" s="155"/>
      <c r="E264" s="124"/>
      <c r="F264" s="124"/>
      <c r="G264" s="124"/>
      <c r="H264" s="124"/>
      <c r="J264" s="124"/>
      <c r="K264" s="124"/>
    </row>
    <row r="265" ht="15.75" customHeight="1">
      <c r="C265" s="155"/>
      <c r="E265" s="124"/>
      <c r="F265" s="124"/>
      <c r="G265" s="124"/>
      <c r="H265" s="124"/>
      <c r="J265" s="124"/>
      <c r="K265" s="124"/>
    </row>
    <row r="266" ht="15.75" customHeight="1">
      <c r="C266" s="155"/>
      <c r="E266" s="124"/>
      <c r="F266" s="124"/>
      <c r="G266" s="124"/>
      <c r="H266" s="124"/>
      <c r="J266" s="124"/>
      <c r="K266" s="124"/>
    </row>
    <row r="267" ht="15.75" customHeight="1">
      <c r="C267" s="155"/>
      <c r="E267" s="124"/>
      <c r="F267" s="124"/>
      <c r="G267" s="124"/>
      <c r="H267" s="124"/>
      <c r="J267" s="124"/>
      <c r="K267" s="124"/>
    </row>
    <row r="268" ht="15.75" customHeight="1">
      <c r="C268" s="155"/>
      <c r="E268" s="124"/>
      <c r="F268" s="124"/>
      <c r="G268" s="124"/>
      <c r="H268" s="124"/>
      <c r="J268" s="124"/>
      <c r="K268" s="124"/>
    </row>
    <row r="269" ht="15.75" customHeight="1">
      <c r="C269" s="155"/>
      <c r="E269" s="124"/>
      <c r="F269" s="124"/>
      <c r="G269" s="124"/>
      <c r="H269" s="124"/>
      <c r="J269" s="124"/>
      <c r="K269" s="124"/>
    </row>
    <row r="270" ht="15.75" customHeight="1">
      <c r="C270" s="155"/>
      <c r="E270" s="124"/>
      <c r="F270" s="124"/>
      <c r="G270" s="124"/>
      <c r="H270" s="124"/>
      <c r="J270" s="124"/>
      <c r="K270" s="124"/>
    </row>
    <row r="271" ht="15.75" customHeight="1">
      <c r="C271" s="155"/>
      <c r="E271" s="124"/>
      <c r="F271" s="124"/>
      <c r="G271" s="124"/>
      <c r="H271" s="124"/>
      <c r="J271" s="124"/>
      <c r="K271" s="124"/>
    </row>
    <row r="272" ht="15.75" customHeight="1">
      <c r="C272" s="155"/>
      <c r="E272" s="124"/>
      <c r="F272" s="124"/>
      <c r="G272" s="124"/>
      <c r="H272" s="124"/>
      <c r="J272" s="124"/>
      <c r="K272" s="124"/>
    </row>
    <row r="273" ht="15.75" customHeight="1">
      <c r="C273" s="155"/>
      <c r="E273" s="124"/>
      <c r="F273" s="124"/>
      <c r="G273" s="124"/>
      <c r="H273" s="124"/>
      <c r="J273" s="124"/>
      <c r="K273" s="124"/>
    </row>
    <row r="274" ht="15.75" customHeight="1">
      <c r="C274" s="155"/>
      <c r="E274" s="124"/>
      <c r="F274" s="124"/>
      <c r="G274" s="124"/>
      <c r="H274" s="124"/>
      <c r="J274" s="124"/>
      <c r="K274" s="124"/>
    </row>
    <row r="275" ht="15.75" customHeight="1">
      <c r="C275" s="155"/>
      <c r="E275" s="124"/>
      <c r="F275" s="124"/>
      <c r="G275" s="124"/>
      <c r="H275" s="124"/>
      <c r="J275" s="124"/>
      <c r="K275" s="124"/>
    </row>
    <row r="276" ht="15.75" customHeight="1">
      <c r="C276" s="155"/>
      <c r="E276" s="124"/>
      <c r="F276" s="124"/>
      <c r="G276" s="124"/>
      <c r="H276" s="124"/>
      <c r="J276" s="124"/>
      <c r="K276" s="124"/>
    </row>
    <row r="277" ht="15.75" customHeight="1">
      <c r="C277" s="155"/>
      <c r="E277" s="124"/>
      <c r="F277" s="124"/>
      <c r="G277" s="124"/>
      <c r="H277" s="124"/>
      <c r="J277" s="124"/>
      <c r="K277" s="124"/>
    </row>
    <row r="278" ht="15.75" customHeight="1">
      <c r="C278" s="155"/>
      <c r="E278" s="124"/>
      <c r="F278" s="124"/>
      <c r="G278" s="124"/>
      <c r="H278" s="124"/>
      <c r="J278" s="124"/>
      <c r="K278" s="124"/>
    </row>
    <row r="279" ht="15.75" customHeight="1">
      <c r="C279" s="155"/>
      <c r="E279" s="124"/>
      <c r="F279" s="124"/>
      <c r="G279" s="124"/>
      <c r="H279" s="124"/>
      <c r="J279" s="124"/>
      <c r="K279" s="124"/>
    </row>
    <row r="280" ht="15.75" customHeight="1">
      <c r="C280" s="155"/>
      <c r="E280" s="124"/>
      <c r="F280" s="124"/>
      <c r="G280" s="124"/>
      <c r="H280" s="124"/>
      <c r="J280" s="124"/>
      <c r="K280" s="124"/>
    </row>
    <row r="281" ht="15.75" customHeight="1">
      <c r="C281" s="155"/>
      <c r="E281" s="124"/>
      <c r="F281" s="124"/>
      <c r="G281" s="124"/>
      <c r="H281" s="124"/>
      <c r="J281" s="124"/>
      <c r="K281" s="124"/>
    </row>
    <row r="282" ht="15.75" customHeight="1">
      <c r="C282" s="155"/>
      <c r="E282" s="124"/>
      <c r="F282" s="124"/>
      <c r="G282" s="124"/>
      <c r="H282" s="124"/>
      <c r="J282" s="124"/>
      <c r="K282" s="124"/>
    </row>
    <row r="283" ht="15.75" customHeight="1">
      <c r="C283" s="155"/>
      <c r="E283" s="124"/>
      <c r="F283" s="124"/>
      <c r="G283" s="124"/>
      <c r="H283" s="124"/>
      <c r="J283" s="124"/>
      <c r="K283" s="124"/>
    </row>
    <row r="284" ht="15.75" customHeight="1">
      <c r="C284" s="155"/>
      <c r="E284" s="124"/>
      <c r="F284" s="124"/>
      <c r="G284" s="124"/>
      <c r="H284" s="124"/>
      <c r="J284" s="124"/>
      <c r="K284" s="124"/>
    </row>
    <row r="285" ht="15.75" customHeight="1">
      <c r="C285" s="155"/>
      <c r="E285" s="124"/>
      <c r="F285" s="124"/>
      <c r="G285" s="124"/>
      <c r="H285" s="124"/>
      <c r="J285" s="124"/>
      <c r="K285" s="124"/>
    </row>
    <row r="286" ht="15.75" customHeight="1">
      <c r="C286" s="155"/>
      <c r="E286" s="124"/>
      <c r="F286" s="124"/>
      <c r="G286" s="124"/>
      <c r="H286" s="124"/>
      <c r="J286" s="124"/>
      <c r="K286" s="124"/>
    </row>
    <row r="287" ht="15.75" customHeight="1">
      <c r="C287" s="155"/>
      <c r="E287" s="124"/>
      <c r="F287" s="124"/>
      <c r="G287" s="124"/>
      <c r="H287" s="124"/>
      <c r="J287" s="124"/>
      <c r="K287" s="124"/>
    </row>
    <row r="288" ht="15.75" customHeight="1">
      <c r="C288" s="155"/>
      <c r="E288" s="124"/>
      <c r="F288" s="124"/>
      <c r="G288" s="124"/>
      <c r="H288" s="124"/>
      <c r="J288" s="124"/>
      <c r="K288" s="124"/>
    </row>
    <row r="289" ht="15.75" customHeight="1">
      <c r="C289" s="155"/>
      <c r="E289" s="124"/>
      <c r="F289" s="124"/>
      <c r="G289" s="124"/>
      <c r="H289" s="124"/>
      <c r="J289" s="124"/>
      <c r="K289" s="124"/>
    </row>
    <row r="290" ht="15.75" customHeight="1">
      <c r="C290" s="155"/>
      <c r="E290" s="124"/>
      <c r="F290" s="124"/>
      <c r="G290" s="124"/>
      <c r="H290" s="124"/>
      <c r="J290" s="124"/>
      <c r="K290" s="124"/>
    </row>
    <row r="291" ht="15.75" customHeight="1">
      <c r="C291" s="155"/>
      <c r="E291" s="124"/>
      <c r="F291" s="124"/>
      <c r="G291" s="124"/>
      <c r="H291" s="124"/>
      <c r="J291" s="124"/>
      <c r="K291" s="124"/>
    </row>
    <row r="292" ht="15.75" customHeight="1">
      <c r="C292" s="155"/>
      <c r="E292" s="124"/>
      <c r="F292" s="124"/>
      <c r="G292" s="124"/>
      <c r="H292" s="124"/>
      <c r="J292" s="124"/>
      <c r="K292" s="124"/>
    </row>
    <row r="293" ht="15.75" customHeight="1">
      <c r="C293" s="155"/>
      <c r="E293" s="124"/>
      <c r="F293" s="124"/>
      <c r="G293" s="124"/>
      <c r="H293" s="124"/>
      <c r="J293" s="124"/>
      <c r="K293" s="124"/>
    </row>
    <row r="294" ht="15.75" customHeight="1">
      <c r="C294" s="155"/>
      <c r="E294" s="124"/>
      <c r="F294" s="124"/>
      <c r="G294" s="124"/>
      <c r="H294" s="124"/>
      <c r="J294" s="124"/>
      <c r="K294" s="124"/>
    </row>
    <row r="295" ht="15.75" customHeight="1">
      <c r="C295" s="155"/>
      <c r="E295" s="124"/>
      <c r="F295" s="124"/>
      <c r="G295" s="124"/>
      <c r="H295" s="124"/>
      <c r="J295" s="124"/>
      <c r="K295" s="124"/>
    </row>
    <row r="296" ht="15.75" customHeight="1">
      <c r="C296" s="155"/>
      <c r="E296" s="124"/>
      <c r="F296" s="124"/>
      <c r="G296" s="124"/>
      <c r="H296" s="124"/>
      <c r="J296" s="124"/>
      <c r="K296" s="124"/>
    </row>
    <row r="297" ht="15.75" customHeight="1">
      <c r="C297" s="155"/>
      <c r="E297" s="124"/>
      <c r="F297" s="124"/>
      <c r="G297" s="124"/>
      <c r="H297" s="124"/>
      <c r="J297" s="124"/>
      <c r="K297" s="124"/>
    </row>
    <row r="298" ht="15.75" customHeight="1">
      <c r="C298" s="155"/>
      <c r="E298" s="124"/>
      <c r="F298" s="124"/>
      <c r="G298" s="124"/>
      <c r="H298" s="124"/>
      <c r="J298" s="124"/>
      <c r="K298" s="124"/>
    </row>
    <row r="299" ht="15.75" customHeight="1">
      <c r="C299" s="155"/>
      <c r="E299" s="124"/>
      <c r="F299" s="124"/>
      <c r="G299" s="124"/>
      <c r="H299" s="124"/>
      <c r="J299" s="124"/>
      <c r="K299" s="124"/>
    </row>
    <row r="300" ht="15.75" customHeight="1">
      <c r="C300" s="155"/>
      <c r="E300" s="124"/>
      <c r="F300" s="124"/>
      <c r="G300" s="124"/>
      <c r="H300" s="124"/>
      <c r="J300" s="124"/>
      <c r="K300" s="124"/>
    </row>
    <row r="301" ht="15.75" customHeight="1">
      <c r="C301" s="155"/>
      <c r="E301" s="124"/>
      <c r="F301" s="124"/>
      <c r="G301" s="124"/>
      <c r="H301" s="124"/>
      <c r="J301" s="124"/>
      <c r="K301" s="124"/>
    </row>
    <row r="302" ht="15.75" customHeight="1">
      <c r="C302" s="155"/>
      <c r="E302" s="124"/>
      <c r="F302" s="124"/>
      <c r="G302" s="124"/>
      <c r="H302" s="124"/>
      <c r="J302" s="124"/>
      <c r="K302" s="124"/>
    </row>
    <row r="303" ht="15.75" customHeight="1">
      <c r="C303" s="155"/>
      <c r="E303" s="124"/>
      <c r="F303" s="124"/>
      <c r="G303" s="124"/>
      <c r="H303" s="124"/>
      <c r="J303" s="124"/>
      <c r="K303" s="124"/>
    </row>
    <row r="304" ht="15.75" customHeight="1">
      <c r="C304" s="155"/>
      <c r="E304" s="124"/>
      <c r="F304" s="124"/>
      <c r="G304" s="124"/>
      <c r="H304" s="124"/>
      <c r="J304" s="124"/>
      <c r="K304" s="124"/>
    </row>
    <row r="305" ht="15.75" customHeight="1">
      <c r="C305" s="155"/>
      <c r="E305" s="124"/>
      <c r="F305" s="124"/>
      <c r="G305" s="124"/>
      <c r="H305" s="124"/>
      <c r="J305" s="124"/>
      <c r="K305" s="124"/>
    </row>
    <row r="306" ht="15.75" customHeight="1">
      <c r="C306" s="155"/>
      <c r="E306" s="124"/>
      <c r="F306" s="124"/>
      <c r="G306" s="124"/>
      <c r="H306" s="124"/>
      <c r="J306" s="124"/>
      <c r="K306" s="124"/>
    </row>
    <row r="307" ht="15.75" customHeight="1">
      <c r="C307" s="155"/>
      <c r="E307" s="124"/>
      <c r="F307" s="124"/>
      <c r="G307" s="124"/>
      <c r="H307" s="124"/>
      <c r="J307" s="124"/>
      <c r="K307" s="124"/>
    </row>
    <row r="308" ht="15.75" customHeight="1">
      <c r="C308" s="155"/>
      <c r="E308" s="124"/>
      <c r="F308" s="124"/>
      <c r="G308" s="124"/>
      <c r="H308" s="124"/>
      <c r="J308" s="124"/>
      <c r="K308" s="124"/>
    </row>
    <row r="309" ht="15.75" customHeight="1">
      <c r="C309" s="155"/>
      <c r="E309" s="124"/>
      <c r="F309" s="124"/>
      <c r="G309" s="124"/>
      <c r="H309" s="124"/>
      <c r="J309" s="124"/>
      <c r="K309" s="124"/>
    </row>
    <row r="310" ht="15.75" customHeight="1">
      <c r="C310" s="155"/>
      <c r="E310" s="124"/>
      <c r="F310" s="124"/>
      <c r="G310" s="124"/>
      <c r="H310" s="124"/>
      <c r="J310" s="124"/>
      <c r="K310" s="124"/>
    </row>
    <row r="311" ht="15.75" customHeight="1">
      <c r="C311" s="155"/>
      <c r="E311" s="124"/>
      <c r="F311" s="124"/>
      <c r="G311" s="124"/>
      <c r="H311" s="124"/>
      <c r="J311" s="124"/>
      <c r="K311" s="124"/>
    </row>
    <row r="312" ht="15.75" customHeight="1">
      <c r="C312" s="155"/>
      <c r="E312" s="124"/>
      <c r="F312" s="124"/>
      <c r="G312" s="124"/>
      <c r="H312" s="124"/>
      <c r="J312" s="124"/>
      <c r="K312" s="124"/>
    </row>
    <row r="313" ht="15.75" customHeight="1">
      <c r="C313" s="155"/>
      <c r="E313" s="124"/>
      <c r="F313" s="124"/>
      <c r="G313" s="124"/>
      <c r="H313" s="124"/>
      <c r="J313" s="124"/>
      <c r="K313" s="124"/>
    </row>
    <row r="314" ht="15.75" customHeight="1">
      <c r="C314" s="155"/>
      <c r="E314" s="124"/>
      <c r="F314" s="124"/>
      <c r="G314" s="124"/>
      <c r="H314" s="124"/>
      <c r="J314" s="124"/>
      <c r="K314" s="124"/>
    </row>
    <row r="315" ht="15.75" customHeight="1">
      <c r="C315" s="155"/>
      <c r="E315" s="124"/>
      <c r="F315" s="124"/>
      <c r="G315" s="124"/>
      <c r="H315" s="124"/>
      <c r="J315" s="124"/>
      <c r="K315" s="124"/>
    </row>
    <row r="316" ht="15.75" customHeight="1">
      <c r="C316" s="155"/>
      <c r="E316" s="124"/>
      <c r="F316" s="124"/>
      <c r="G316" s="124"/>
      <c r="H316" s="124"/>
      <c r="J316" s="124"/>
      <c r="K316" s="124"/>
    </row>
    <row r="317" ht="15.75" customHeight="1">
      <c r="C317" s="155"/>
      <c r="E317" s="124"/>
      <c r="F317" s="124"/>
      <c r="G317" s="124"/>
      <c r="H317" s="124"/>
      <c r="J317" s="124"/>
      <c r="K317" s="124"/>
    </row>
    <row r="318" ht="15.75" customHeight="1">
      <c r="C318" s="155"/>
      <c r="E318" s="124"/>
      <c r="F318" s="124"/>
      <c r="G318" s="124"/>
      <c r="H318" s="124"/>
      <c r="J318" s="124"/>
      <c r="K318" s="124"/>
    </row>
    <row r="319" ht="15.75" customHeight="1">
      <c r="C319" s="155"/>
      <c r="E319" s="124"/>
      <c r="F319" s="124"/>
      <c r="G319" s="124"/>
      <c r="H319" s="124"/>
      <c r="J319" s="124"/>
      <c r="K319" s="124"/>
    </row>
    <row r="320" ht="15.75" customHeight="1">
      <c r="C320" s="155"/>
      <c r="E320" s="124"/>
      <c r="F320" s="124"/>
      <c r="G320" s="124"/>
      <c r="H320" s="124"/>
      <c r="J320" s="124"/>
      <c r="K320" s="124"/>
    </row>
    <row r="321" ht="15.75" customHeight="1">
      <c r="C321" s="155"/>
      <c r="E321" s="124"/>
      <c r="F321" s="124"/>
      <c r="G321" s="124"/>
      <c r="H321" s="124"/>
      <c r="J321" s="124"/>
      <c r="K321" s="124"/>
    </row>
    <row r="322" ht="15.75" customHeight="1">
      <c r="C322" s="155"/>
      <c r="E322" s="124"/>
      <c r="F322" s="124"/>
      <c r="G322" s="124"/>
      <c r="H322" s="124"/>
      <c r="J322" s="124"/>
      <c r="K322" s="124"/>
    </row>
    <row r="323" ht="15.75" customHeight="1">
      <c r="C323" s="155"/>
      <c r="E323" s="124"/>
      <c r="F323" s="124"/>
      <c r="G323" s="124"/>
      <c r="H323" s="124"/>
      <c r="J323" s="124"/>
      <c r="K323" s="124"/>
    </row>
    <row r="324" ht="15.75" customHeight="1">
      <c r="C324" s="155"/>
      <c r="E324" s="124"/>
      <c r="F324" s="124"/>
      <c r="G324" s="124"/>
      <c r="H324" s="124"/>
      <c r="J324" s="124"/>
      <c r="K324" s="124"/>
    </row>
    <row r="325" ht="15.75" customHeight="1">
      <c r="C325" s="155"/>
      <c r="E325" s="124"/>
      <c r="F325" s="124"/>
      <c r="G325" s="124"/>
      <c r="H325" s="124"/>
      <c r="J325" s="124"/>
      <c r="K325" s="124"/>
    </row>
    <row r="326" ht="15.75" customHeight="1">
      <c r="C326" s="155"/>
      <c r="E326" s="124"/>
      <c r="F326" s="124"/>
      <c r="G326" s="124"/>
      <c r="H326" s="124"/>
      <c r="J326" s="124"/>
      <c r="K326" s="124"/>
    </row>
    <row r="327" ht="15.75" customHeight="1">
      <c r="C327" s="155"/>
      <c r="E327" s="124"/>
      <c r="F327" s="124"/>
      <c r="G327" s="124"/>
      <c r="H327" s="124"/>
      <c r="J327" s="124"/>
      <c r="K327" s="124"/>
    </row>
    <row r="328" ht="15.75" customHeight="1">
      <c r="C328" s="155"/>
      <c r="E328" s="124"/>
      <c r="F328" s="124"/>
      <c r="G328" s="124"/>
      <c r="H328" s="124"/>
      <c r="J328" s="124"/>
      <c r="K328" s="124"/>
    </row>
    <row r="329" ht="15.75" customHeight="1">
      <c r="C329" s="155"/>
      <c r="E329" s="124"/>
      <c r="F329" s="124"/>
      <c r="G329" s="124"/>
      <c r="H329" s="124"/>
      <c r="J329" s="124"/>
      <c r="K329" s="124"/>
    </row>
    <row r="330" ht="15.75" customHeight="1">
      <c r="C330" s="155"/>
      <c r="E330" s="124"/>
      <c r="F330" s="124"/>
      <c r="G330" s="124"/>
      <c r="H330" s="124"/>
      <c r="J330" s="124"/>
      <c r="K330" s="124"/>
    </row>
    <row r="331" ht="15.75" customHeight="1">
      <c r="C331" s="155"/>
      <c r="E331" s="124"/>
      <c r="F331" s="124"/>
      <c r="G331" s="124"/>
      <c r="H331" s="124"/>
      <c r="J331" s="124"/>
      <c r="K331" s="124"/>
    </row>
    <row r="332" ht="15.75" customHeight="1">
      <c r="C332" s="155"/>
      <c r="E332" s="124"/>
      <c r="F332" s="124"/>
      <c r="G332" s="124"/>
      <c r="H332" s="124"/>
      <c r="J332" s="124"/>
      <c r="K332" s="124"/>
    </row>
    <row r="333" ht="15.75" customHeight="1">
      <c r="C333" s="155"/>
      <c r="E333" s="124"/>
      <c r="F333" s="124"/>
      <c r="G333" s="124"/>
      <c r="H333" s="124"/>
      <c r="J333" s="124"/>
      <c r="K333" s="124"/>
    </row>
    <row r="334" ht="15.75" customHeight="1">
      <c r="C334" s="155"/>
      <c r="E334" s="124"/>
      <c r="F334" s="124"/>
      <c r="G334" s="124"/>
      <c r="H334" s="124"/>
      <c r="J334" s="124"/>
      <c r="K334" s="124"/>
    </row>
    <row r="335" ht="15.75" customHeight="1">
      <c r="C335" s="155"/>
      <c r="E335" s="124"/>
      <c r="F335" s="124"/>
      <c r="G335" s="124"/>
      <c r="H335" s="124"/>
      <c r="J335" s="124"/>
      <c r="K335" s="124"/>
    </row>
    <row r="336" ht="15.75" customHeight="1">
      <c r="C336" s="155"/>
      <c r="E336" s="124"/>
      <c r="F336" s="124"/>
      <c r="G336" s="124"/>
      <c r="H336" s="124"/>
      <c r="J336" s="124"/>
      <c r="K336" s="124"/>
    </row>
    <row r="337" ht="15.75" customHeight="1">
      <c r="C337" s="155"/>
      <c r="E337" s="124"/>
      <c r="F337" s="124"/>
      <c r="G337" s="124"/>
      <c r="H337" s="124"/>
      <c r="J337" s="124"/>
      <c r="K337" s="124"/>
    </row>
    <row r="338" ht="15.75" customHeight="1">
      <c r="C338" s="155"/>
      <c r="E338" s="124"/>
      <c r="F338" s="124"/>
      <c r="G338" s="124"/>
      <c r="H338" s="124"/>
      <c r="J338" s="124"/>
      <c r="K338" s="124"/>
    </row>
    <row r="339" ht="15.75" customHeight="1">
      <c r="C339" s="155"/>
      <c r="E339" s="124"/>
      <c r="F339" s="124"/>
      <c r="G339" s="124"/>
      <c r="H339" s="124"/>
      <c r="J339" s="124"/>
      <c r="K339" s="124"/>
    </row>
    <row r="340" ht="15.75" customHeight="1">
      <c r="C340" s="155"/>
      <c r="E340" s="124"/>
      <c r="F340" s="124"/>
      <c r="G340" s="124"/>
      <c r="H340" s="124"/>
      <c r="J340" s="124"/>
      <c r="K340" s="124"/>
    </row>
    <row r="341" ht="15.75" customHeight="1">
      <c r="C341" s="155"/>
      <c r="E341" s="124"/>
      <c r="F341" s="124"/>
      <c r="G341" s="124"/>
      <c r="H341" s="124"/>
      <c r="J341" s="124"/>
      <c r="K341" s="124"/>
    </row>
    <row r="342" ht="15.75" customHeight="1">
      <c r="C342" s="155"/>
      <c r="E342" s="124"/>
      <c r="F342" s="124"/>
      <c r="G342" s="124"/>
      <c r="H342" s="124"/>
      <c r="J342" s="124"/>
      <c r="K342" s="124"/>
    </row>
    <row r="343" ht="15.75" customHeight="1">
      <c r="C343" s="155"/>
      <c r="E343" s="124"/>
      <c r="F343" s="124"/>
      <c r="G343" s="124"/>
      <c r="H343" s="124"/>
      <c r="J343" s="124"/>
      <c r="K343" s="124"/>
    </row>
    <row r="344" ht="15.75" customHeight="1">
      <c r="C344" s="155"/>
      <c r="E344" s="124"/>
      <c r="F344" s="124"/>
      <c r="G344" s="124"/>
      <c r="H344" s="124"/>
      <c r="J344" s="124"/>
      <c r="K344" s="124"/>
    </row>
    <row r="345" ht="15.75" customHeight="1">
      <c r="C345" s="155"/>
      <c r="E345" s="124"/>
      <c r="F345" s="124"/>
      <c r="G345" s="124"/>
      <c r="H345" s="124"/>
      <c r="J345" s="124"/>
      <c r="K345" s="124"/>
    </row>
    <row r="346" ht="15.75" customHeight="1">
      <c r="C346" s="155"/>
      <c r="E346" s="124"/>
      <c r="F346" s="124"/>
      <c r="G346" s="124"/>
      <c r="H346" s="124"/>
      <c r="J346" s="124"/>
      <c r="K346" s="124"/>
    </row>
    <row r="347" ht="15.75" customHeight="1">
      <c r="C347" s="155"/>
      <c r="E347" s="124"/>
      <c r="F347" s="124"/>
      <c r="G347" s="124"/>
      <c r="H347" s="124"/>
      <c r="J347" s="124"/>
      <c r="K347" s="124"/>
    </row>
    <row r="348" ht="15.75" customHeight="1">
      <c r="C348" s="155"/>
      <c r="E348" s="124"/>
      <c r="F348" s="124"/>
      <c r="G348" s="124"/>
      <c r="H348" s="124"/>
      <c r="J348" s="124"/>
      <c r="K348" s="124"/>
    </row>
    <row r="349" ht="15.75" customHeight="1">
      <c r="C349" s="155"/>
      <c r="E349" s="124"/>
      <c r="F349" s="124"/>
      <c r="G349" s="124"/>
      <c r="H349" s="124"/>
      <c r="J349" s="124"/>
      <c r="K349" s="124"/>
    </row>
    <row r="350" ht="15.75" customHeight="1">
      <c r="C350" s="155"/>
      <c r="E350" s="124"/>
      <c r="F350" s="124"/>
      <c r="G350" s="124"/>
      <c r="H350" s="124"/>
      <c r="J350" s="124"/>
      <c r="K350" s="124"/>
    </row>
    <row r="351" ht="15.75" customHeight="1">
      <c r="C351" s="155"/>
      <c r="E351" s="124"/>
      <c r="F351" s="124"/>
      <c r="G351" s="124"/>
      <c r="H351" s="124"/>
      <c r="J351" s="124"/>
      <c r="K351" s="124"/>
    </row>
    <row r="352" ht="15.75" customHeight="1">
      <c r="C352" s="155"/>
      <c r="E352" s="124"/>
      <c r="F352" s="124"/>
      <c r="G352" s="124"/>
      <c r="H352" s="124"/>
      <c r="J352" s="124"/>
      <c r="K352" s="124"/>
    </row>
    <row r="353" ht="15.75" customHeight="1">
      <c r="C353" s="155"/>
      <c r="E353" s="124"/>
      <c r="F353" s="124"/>
      <c r="G353" s="124"/>
      <c r="H353" s="124"/>
      <c r="J353" s="124"/>
      <c r="K353" s="124"/>
    </row>
    <row r="354" ht="15.75" customHeight="1">
      <c r="C354" s="155"/>
      <c r="E354" s="124"/>
      <c r="F354" s="124"/>
      <c r="G354" s="124"/>
      <c r="H354" s="124"/>
      <c r="J354" s="124"/>
      <c r="K354" s="124"/>
    </row>
    <row r="355" ht="15.75" customHeight="1">
      <c r="C355" s="155"/>
      <c r="E355" s="124"/>
      <c r="F355" s="124"/>
      <c r="G355" s="124"/>
      <c r="H355" s="124"/>
      <c r="J355" s="124"/>
      <c r="K355" s="124"/>
    </row>
    <row r="356" ht="15.75" customHeight="1">
      <c r="C356" s="155"/>
      <c r="E356" s="124"/>
      <c r="F356" s="124"/>
      <c r="G356" s="124"/>
      <c r="H356" s="124"/>
      <c r="J356" s="124"/>
      <c r="K356" s="124"/>
    </row>
    <row r="357" ht="15.75" customHeight="1">
      <c r="C357" s="155"/>
      <c r="E357" s="124"/>
      <c r="F357" s="124"/>
      <c r="G357" s="124"/>
      <c r="H357" s="124"/>
      <c r="J357" s="124"/>
      <c r="K357" s="124"/>
    </row>
    <row r="358" ht="15.75" customHeight="1">
      <c r="C358" s="155"/>
      <c r="E358" s="124"/>
      <c r="F358" s="124"/>
      <c r="G358" s="124"/>
      <c r="H358" s="124"/>
      <c r="J358" s="124"/>
      <c r="K358" s="124"/>
    </row>
    <row r="359" ht="15.75" customHeight="1">
      <c r="C359" s="155"/>
      <c r="E359" s="124"/>
      <c r="F359" s="124"/>
      <c r="G359" s="124"/>
      <c r="H359" s="124"/>
      <c r="J359" s="124"/>
      <c r="K359" s="124"/>
    </row>
    <row r="360" ht="15.75" customHeight="1">
      <c r="C360" s="155"/>
      <c r="E360" s="124"/>
      <c r="F360" s="124"/>
      <c r="G360" s="124"/>
      <c r="H360" s="124"/>
      <c r="J360" s="124"/>
      <c r="K360" s="124"/>
    </row>
    <row r="361" ht="15.75" customHeight="1">
      <c r="C361" s="155"/>
      <c r="E361" s="124"/>
      <c r="F361" s="124"/>
      <c r="G361" s="124"/>
      <c r="H361" s="124"/>
      <c r="J361" s="124"/>
      <c r="K361" s="124"/>
    </row>
    <row r="362" ht="15.75" customHeight="1">
      <c r="C362" s="155"/>
      <c r="E362" s="124"/>
      <c r="F362" s="124"/>
      <c r="G362" s="124"/>
      <c r="H362" s="124"/>
      <c r="J362" s="124"/>
      <c r="K362" s="124"/>
    </row>
    <row r="363" ht="15.75" customHeight="1">
      <c r="C363" s="155"/>
      <c r="E363" s="124"/>
      <c r="F363" s="124"/>
      <c r="G363" s="124"/>
      <c r="H363" s="124"/>
      <c r="J363" s="124"/>
      <c r="K363" s="124"/>
    </row>
    <row r="364" ht="15.75" customHeight="1">
      <c r="C364" s="155"/>
      <c r="E364" s="124"/>
      <c r="F364" s="124"/>
      <c r="G364" s="124"/>
      <c r="H364" s="124"/>
      <c r="J364" s="124"/>
      <c r="K364" s="124"/>
    </row>
    <row r="365" ht="15.75" customHeight="1">
      <c r="C365" s="155"/>
      <c r="E365" s="124"/>
      <c r="F365" s="124"/>
      <c r="G365" s="124"/>
      <c r="H365" s="124"/>
      <c r="J365" s="124"/>
      <c r="K365" s="124"/>
    </row>
    <row r="366" ht="15.75" customHeight="1">
      <c r="C366" s="155"/>
      <c r="E366" s="124"/>
      <c r="F366" s="124"/>
      <c r="G366" s="124"/>
      <c r="H366" s="124"/>
      <c r="J366" s="124"/>
      <c r="K366" s="124"/>
    </row>
    <row r="367" ht="15.75" customHeight="1">
      <c r="C367" s="155"/>
      <c r="E367" s="124"/>
      <c r="F367" s="124"/>
      <c r="G367" s="124"/>
      <c r="H367" s="124"/>
      <c r="J367" s="124"/>
      <c r="K367" s="124"/>
    </row>
    <row r="368" ht="15.75" customHeight="1">
      <c r="C368" s="155"/>
      <c r="E368" s="124"/>
      <c r="F368" s="124"/>
      <c r="G368" s="124"/>
      <c r="H368" s="124"/>
      <c r="J368" s="124"/>
      <c r="K368" s="124"/>
    </row>
    <row r="369" ht="15.75" customHeight="1">
      <c r="C369" s="155"/>
      <c r="E369" s="124"/>
      <c r="F369" s="124"/>
      <c r="G369" s="124"/>
      <c r="H369" s="124"/>
      <c r="J369" s="124"/>
      <c r="K369" s="124"/>
    </row>
    <row r="370" ht="15.75" customHeight="1">
      <c r="C370" s="155"/>
      <c r="E370" s="124"/>
      <c r="F370" s="124"/>
      <c r="G370" s="124"/>
      <c r="H370" s="124"/>
      <c r="J370" s="124"/>
      <c r="K370" s="124"/>
    </row>
    <row r="371" ht="15.75" customHeight="1">
      <c r="C371" s="155"/>
      <c r="E371" s="124"/>
      <c r="F371" s="124"/>
      <c r="G371" s="124"/>
      <c r="H371" s="124"/>
      <c r="J371" s="124"/>
      <c r="K371" s="124"/>
    </row>
    <row r="372" ht="15.75" customHeight="1">
      <c r="C372" s="155"/>
      <c r="E372" s="124"/>
      <c r="F372" s="124"/>
      <c r="G372" s="124"/>
      <c r="H372" s="124"/>
      <c r="J372" s="124"/>
      <c r="K372" s="124"/>
    </row>
    <row r="373" ht="15.75" customHeight="1">
      <c r="C373" s="155"/>
      <c r="E373" s="124"/>
      <c r="F373" s="124"/>
      <c r="G373" s="124"/>
      <c r="H373" s="124"/>
      <c r="J373" s="124"/>
      <c r="K373" s="124"/>
    </row>
    <row r="374" ht="15.75" customHeight="1">
      <c r="C374" s="155"/>
      <c r="E374" s="124"/>
      <c r="F374" s="124"/>
      <c r="G374" s="124"/>
      <c r="H374" s="124"/>
      <c r="J374" s="124"/>
      <c r="K374" s="124"/>
    </row>
    <row r="375" ht="15.75" customHeight="1">
      <c r="C375" s="155"/>
      <c r="E375" s="124"/>
      <c r="F375" s="124"/>
      <c r="G375" s="124"/>
      <c r="H375" s="124"/>
      <c r="J375" s="124"/>
      <c r="K375" s="124"/>
    </row>
    <row r="376" ht="15.75" customHeight="1">
      <c r="C376" s="155"/>
      <c r="E376" s="124"/>
      <c r="F376" s="124"/>
      <c r="G376" s="124"/>
      <c r="H376" s="124"/>
      <c r="J376" s="124"/>
      <c r="K376" s="124"/>
    </row>
    <row r="377" ht="15.75" customHeight="1">
      <c r="C377" s="155"/>
      <c r="E377" s="124"/>
      <c r="F377" s="124"/>
      <c r="G377" s="124"/>
      <c r="H377" s="124"/>
      <c r="J377" s="124"/>
      <c r="K377" s="124"/>
    </row>
    <row r="378" ht="15.75" customHeight="1">
      <c r="C378" s="155"/>
      <c r="E378" s="124"/>
      <c r="F378" s="124"/>
      <c r="G378" s="124"/>
      <c r="H378" s="124"/>
      <c r="J378" s="124"/>
      <c r="K378" s="124"/>
    </row>
    <row r="379" ht="15.75" customHeight="1">
      <c r="C379" s="155"/>
      <c r="E379" s="124"/>
      <c r="F379" s="124"/>
      <c r="G379" s="124"/>
      <c r="H379" s="124"/>
      <c r="J379" s="124"/>
      <c r="K379" s="124"/>
    </row>
    <row r="380" ht="15.75" customHeight="1">
      <c r="C380" s="155"/>
      <c r="E380" s="124"/>
      <c r="F380" s="124"/>
      <c r="G380" s="124"/>
      <c r="H380" s="124"/>
      <c r="J380" s="124"/>
      <c r="K380" s="124"/>
    </row>
    <row r="381" ht="15.75" customHeight="1">
      <c r="C381" s="155"/>
      <c r="E381" s="124"/>
      <c r="F381" s="124"/>
      <c r="G381" s="124"/>
      <c r="H381" s="124"/>
      <c r="J381" s="124"/>
      <c r="K381" s="124"/>
    </row>
    <row r="382" ht="15.75" customHeight="1">
      <c r="C382" s="155"/>
      <c r="E382" s="124"/>
      <c r="F382" s="124"/>
      <c r="G382" s="124"/>
      <c r="H382" s="124"/>
      <c r="J382" s="124"/>
      <c r="K382" s="124"/>
    </row>
    <row r="383" ht="15.75" customHeight="1">
      <c r="C383" s="155"/>
      <c r="E383" s="124"/>
      <c r="F383" s="124"/>
      <c r="G383" s="124"/>
      <c r="H383" s="124"/>
      <c r="J383" s="124"/>
      <c r="K383" s="124"/>
    </row>
    <row r="384" ht="15.75" customHeight="1">
      <c r="C384" s="155"/>
      <c r="E384" s="124"/>
      <c r="F384" s="124"/>
      <c r="G384" s="124"/>
      <c r="H384" s="124"/>
      <c r="J384" s="124"/>
      <c r="K384" s="124"/>
    </row>
    <row r="385" ht="15.75" customHeight="1">
      <c r="C385" s="155"/>
      <c r="E385" s="124"/>
      <c r="F385" s="124"/>
      <c r="G385" s="124"/>
      <c r="H385" s="124"/>
      <c r="J385" s="124"/>
      <c r="K385" s="124"/>
    </row>
    <row r="386" ht="15.75" customHeight="1">
      <c r="C386" s="155"/>
      <c r="E386" s="124"/>
      <c r="F386" s="124"/>
      <c r="G386" s="124"/>
      <c r="H386" s="124"/>
      <c r="J386" s="124"/>
      <c r="K386" s="124"/>
    </row>
    <row r="387" ht="15.75" customHeight="1">
      <c r="C387" s="155"/>
      <c r="E387" s="124"/>
      <c r="F387" s="124"/>
      <c r="G387" s="124"/>
      <c r="H387" s="124"/>
      <c r="J387" s="124"/>
      <c r="K387" s="124"/>
    </row>
    <row r="388" ht="15.75" customHeight="1">
      <c r="C388" s="155"/>
      <c r="E388" s="124"/>
      <c r="F388" s="124"/>
      <c r="G388" s="124"/>
      <c r="H388" s="124"/>
      <c r="J388" s="124"/>
      <c r="K388" s="124"/>
    </row>
    <row r="389" ht="15.75" customHeight="1">
      <c r="C389" s="155"/>
      <c r="E389" s="124"/>
      <c r="F389" s="124"/>
      <c r="G389" s="124"/>
      <c r="H389" s="124"/>
      <c r="J389" s="124"/>
      <c r="K389" s="124"/>
    </row>
    <row r="390" ht="15.75" customHeight="1">
      <c r="C390" s="155"/>
      <c r="E390" s="124"/>
      <c r="F390" s="124"/>
      <c r="G390" s="124"/>
      <c r="H390" s="124"/>
      <c r="J390" s="124"/>
      <c r="K390" s="124"/>
    </row>
    <row r="391" ht="15.75" customHeight="1">
      <c r="C391" s="155"/>
      <c r="E391" s="124"/>
      <c r="F391" s="124"/>
      <c r="G391" s="124"/>
      <c r="H391" s="124"/>
      <c r="J391" s="124"/>
      <c r="K391" s="124"/>
    </row>
    <row r="392" ht="15.75" customHeight="1">
      <c r="C392" s="155"/>
      <c r="E392" s="124"/>
      <c r="F392" s="124"/>
      <c r="G392" s="124"/>
      <c r="H392" s="124"/>
      <c r="J392" s="124"/>
      <c r="K392" s="124"/>
    </row>
    <row r="393" ht="15.75" customHeight="1">
      <c r="C393" s="155"/>
      <c r="E393" s="124"/>
      <c r="F393" s="124"/>
      <c r="G393" s="124"/>
      <c r="H393" s="124"/>
      <c r="J393" s="124"/>
      <c r="K393" s="124"/>
    </row>
    <row r="394" ht="15.75" customHeight="1">
      <c r="C394" s="155"/>
      <c r="E394" s="124"/>
      <c r="F394" s="124"/>
      <c r="G394" s="124"/>
      <c r="H394" s="124"/>
      <c r="J394" s="124"/>
      <c r="K394" s="124"/>
    </row>
    <row r="395" ht="15.75" customHeight="1">
      <c r="C395" s="155"/>
      <c r="E395" s="124"/>
      <c r="F395" s="124"/>
      <c r="G395" s="124"/>
      <c r="H395" s="124"/>
      <c r="J395" s="124"/>
      <c r="K395" s="124"/>
    </row>
    <row r="396" ht="15.75" customHeight="1">
      <c r="C396" s="155"/>
      <c r="E396" s="124"/>
      <c r="F396" s="124"/>
      <c r="G396" s="124"/>
      <c r="H396" s="124"/>
      <c r="J396" s="124"/>
      <c r="K396" s="124"/>
    </row>
    <row r="397" ht="15.75" customHeight="1">
      <c r="C397" s="155"/>
      <c r="E397" s="124"/>
      <c r="F397" s="124"/>
      <c r="G397" s="124"/>
      <c r="H397" s="124"/>
      <c r="J397" s="124"/>
      <c r="K397" s="124"/>
    </row>
    <row r="398" ht="15.75" customHeight="1">
      <c r="C398" s="155"/>
      <c r="E398" s="124"/>
      <c r="F398" s="124"/>
      <c r="G398" s="124"/>
      <c r="H398" s="124"/>
      <c r="J398" s="124"/>
      <c r="K398" s="124"/>
    </row>
    <row r="399" ht="15.75" customHeight="1">
      <c r="C399" s="155"/>
      <c r="E399" s="124"/>
      <c r="F399" s="124"/>
      <c r="G399" s="124"/>
      <c r="H399" s="124"/>
      <c r="J399" s="124"/>
      <c r="K399" s="124"/>
    </row>
    <row r="400" ht="15.75" customHeight="1">
      <c r="C400" s="155"/>
      <c r="E400" s="124"/>
      <c r="F400" s="124"/>
      <c r="G400" s="124"/>
      <c r="H400" s="124"/>
      <c r="J400" s="124"/>
      <c r="K400" s="124"/>
    </row>
    <row r="401" ht="15.75" customHeight="1">
      <c r="C401" s="155"/>
      <c r="E401" s="124"/>
      <c r="F401" s="124"/>
      <c r="G401" s="124"/>
      <c r="H401" s="124"/>
      <c r="J401" s="124"/>
      <c r="K401" s="124"/>
    </row>
    <row r="402" ht="15.75" customHeight="1">
      <c r="C402" s="155"/>
      <c r="E402" s="124"/>
      <c r="F402" s="124"/>
      <c r="G402" s="124"/>
      <c r="H402" s="124"/>
      <c r="J402" s="124"/>
      <c r="K402" s="124"/>
    </row>
    <row r="403" ht="15.75" customHeight="1">
      <c r="C403" s="155"/>
      <c r="E403" s="124"/>
      <c r="F403" s="124"/>
      <c r="G403" s="124"/>
      <c r="H403" s="124"/>
      <c r="J403" s="124"/>
      <c r="K403" s="124"/>
    </row>
    <row r="404" ht="15.75" customHeight="1">
      <c r="C404" s="155"/>
      <c r="E404" s="124"/>
      <c r="F404" s="124"/>
      <c r="G404" s="124"/>
      <c r="H404" s="124"/>
      <c r="J404" s="124"/>
      <c r="K404" s="124"/>
    </row>
    <row r="405" ht="15.75" customHeight="1">
      <c r="C405" s="155"/>
      <c r="E405" s="124"/>
      <c r="F405" s="124"/>
      <c r="G405" s="124"/>
      <c r="H405" s="124"/>
      <c r="J405" s="124"/>
      <c r="K405" s="124"/>
    </row>
    <row r="406" ht="15.75" customHeight="1">
      <c r="C406" s="155"/>
      <c r="E406" s="124"/>
      <c r="F406" s="124"/>
      <c r="G406" s="124"/>
      <c r="H406" s="124"/>
      <c r="J406" s="124"/>
      <c r="K406" s="124"/>
    </row>
    <row r="407" ht="15.75" customHeight="1">
      <c r="C407" s="155"/>
      <c r="E407" s="124"/>
      <c r="F407" s="124"/>
      <c r="G407" s="124"/>
      <c r="H407" s="124"/>
      <c r="J407" s="124"/>
      <c r="K407" s="124"/>
    </row>
    <row r="408" ht="15.75" customHeight="1">
      <c r="C408" s="155"/>
      <c r="E408" s="124"/>
      <c r="F408" s="124"/>
      <c r="G408" s="124"/>
      <c r="H408" s="124"/>
      <c r="J408" s="124"/>
      <c r="K408" s="124"/>
    </row>
    <row r="409" ht="15.75" customHeight="1">
      <c r="C409" s="155"/>
      <c r="E409" s="124"/>
      <c r="F409" s="124"/>
      <c r="G409" s="124"/>
      <c r="H409" s="124"/>
      <c r="J409" s="124"/>
      <c r="K409" s="124"/>
    </row>
    <row r="410" ht="15.75" customHeight="1">
      <c r="C410" s="155"/>
      <c r="E410" s="124"/>
      <c r="F410" s="124"/>
      <c r="G410" s="124"/>
      <c r="H410" s="124"/>
      <c r="J410" s="124"/>
      <c r="K410" s="124"/>
    </row>
    <row r="411" ht="15.75" customHeight="1">
      <c r="C411" s="155"/>
      <c r="E411" s="124"/>
      <c r="F411" s="124"/>
      <c r="G411" s="124"/>
      <c r="H411" s="124"/>
      <c r="J411" s="124"/>
      <c r="K411" s="124"/>
    </row>
    <row r="412" ht="15.75" customHeight="1">
      <c r="C412" s="155"/>
      <c r="E412" s="124"/>
      <c r="F412" s="124"/>
      <c r="G412" s="124"/>
      <c r="H412" s="124"/>
      <c r="J412" s="124"/>
      <c r="K412" s="124"/>
    </row>
    <row r="413" ht="15.75" customHeight="1">
      <c r="C413" s="155"/>
      <c r="E413" s="124"/>
      <c r="F413" s="124"/>
      <c r="G413" s="124"/>
      <c r="H413" s="124"/>
      <c r="J413" s="124"/>
      <c r="K413" s="124"/>
    </row>
    <row r="414" ht="15.75" customHeight="1">
      <c r="C414" s="155"/>
      <c r="E414" s="124"/>
      <c r="F414" s="124"/>
      <c r="G414" s="124"/>
      <c r="H414" s="124"/>
      <c r="J414" s="124"/>
      <c r="K414" s="124"/>
    </row>
    <row r="415" ht="15.75" customHeight="1">
      <c r="C415" s="155"/>
      <c r="E415" s="124"/>
      <c r="F415" s="124"/>
      <c r="G415" s="124"/>
      <c r="H415" s="124"/>
      <c r="J415" s="124"/>
      <c r="K415" s="124"/>
    </row>
    <row r="416" ht="15.75" customHeight="1">
      <c r="C416" s="155"/>
      <c r="E416" s="124"/>
      <c r="F416" s="124"/>
      <c r="G416" s="124"/>
      <c r="H416" s="124"/>
      <c r="J416" s="124"/>
      <c r="K416" s="124"/>
    </row>
    <row r="417" ht="15.75" customHeight="1">
      <c r="C417" s="155"/>
      <c r="E417" s="124"/>
      <c r="F417" s="124"/>
      <c r="G417" s="124"/>
      <c r="H417" s="124"/>
      <c r="J417" s="124"/>
      <c r="K417" s="124"/>
    </row>
    <row r="418" ht="15.75" customHeight="1">
      <c r="C418" s="155"/>
      <c r="E418" s="124"/>
      <c r="F418" s="124"/>
      <c r="G418" s="124"/>
      <c r="H418" s="124"/>
      <c r="J418" s="124"/>
      <c r="K418" s="124"/>
    </row>
    <row r="419" ht="15.75" customHeight="1">
      <c r="C419" s="155"/>
      <c r="E419" s="124"/>
      <c r="F419" s="124"/>
      <c r="G419" s="124"/>
      <c r="H419" s="124"/>
      <c r="J419" s="124"/>
      <c r="K419" s="124"/>
    </row>
    <row r="420" ht="15.75" customHeight="1">
      <c r="C420" s="155"/>
      <c r="E420" s="124"/>
      <c r="F420" s="124"/>
      <c r="G420" s="124"/>
      <c r="H420" s="124"/>
      <c r="J420" s="124"/>
      <c r="K420" s="124"/>
    </row>
    <row r="421" ht="15.75" customHeight="1">
      <c r="C421" s="155"/>
      <c r="E421" s="124"/>
      <c r="F421" s="124"/>
      <c r="G421" s="124"/>
      <c r="H421" s="124"/>
      <c r="J421" s="124"/>
      <c r="K421" s="124"/>
    </row>
    <row r="422" ht="15.75" customHeight="1">
      <c r="C422" s="155"/>
      <c r="E422" s="124"/>
      <c r="F422" s="124"/>
      <c r="G422" s="124"/>
      <c r="H422" s="124"/>
      <c r="J422" s="124"/>
      <c r="K422" s="124"/>
    </row>
    <row r="423" ht="15.75" customHeight="1">
      <c r="C423" s="155"/>
      <c r="E423" s="124"/>
      <c r="F423" s="124"/>
      <c r="G423" s="124"/>
      <c r="H423" s="124"/>
      <c r="J423" s="124"/>
      <c r="K423" s="124"/>
    </row>
    <row r="424" ht="15.75" customHeight="1">
      <c r="C424" s="155"/>
      <c r="E424" s="124"/>
      <c r="F424" s="124"/>
      <c r="G424" s="124"/>
      <c r="H424" s="124"/>
      <c r="J424" s="124"/>
      <c r="K424" s="124"/>
    </row>
    <row r="425" ht="15.75" customHeight="1">
      <c r="C425" s="155"/>
      <c r="E425" s="124"/>
      <c r="F425" s="124"/>
      <c r="G425" s="124"/>
      <c r="H425" s="124"/>
      <c r="J425" s="124"/>
      <c r="K425" s="124"/>
    </row>
    <row r="426" ht="15.75" customHeight="1">
      <c r="C426" s="155"/>
      <c r="E426" s="124"/>
      <c r="F426" s="124"/>
      <c r="G426" s="124"/>
      <c r="H426" s="124"/>
      <c r="J426" s="124"/>
      <c r="K426" s="124"/>
    </row>
    <row r="427" ht="15.75" customHeight="1">
      <c r="C427" s="155"/>
      <c r="E427" s="124"/>
      <c r="F427" s="124"/>
      <c r="G427" s="124"/>
      <c r="H427" s="124"/>
      <c r="J427" s="124"/>
      <c r="K427" s="124"/>
    </row>
    <row r="428" ht="15.75" customHeight="1">
      <c r="C428" s="155"/>
      <c r="E428" s="124"/>
      <c r="F428" s="124"/>
      <c r="G428" s="124"/>
      <c r="H428" s="124"/>
      <c r="J428" s="124"/>
      <c r="K428" s="124"/>
    </row>
    <row r="429" ht="15.75" customHeight="1">
      <c r="C429" s="155"/>
      <c r="E429" s="124"/>
      <c r="F429" s="124"/>
      <c r="G429" s="124"/>
      <c r="H429" s="124"/>
      <c r="J429" s="124"/>
      <c r="K429" s="124"/>
    </row>
    <row r="430" ht="15.75" customHeight="1">
      <c r="C430" s="155"/>
      <c r="E430" s="124"/>
      <c r="F430" s="124"/>
      <c r="G430" s="124"/>
      <c r="H430" s="124"/>
      <c r="J430" s="124"/>
      <c r="K430" s="124"/>
    </row>
    <row r="431" ht="15.75" customHeight="1">
      <c r="C431" s="155"/>
      <c r="E431" s="124"/>
      <c r="F431" s="124"/>
      <c r="G431" s="124"/>
      <c r="H431" s="124"/>
      <c r="J431" s="124"/>
      <c r="K431" s="124"/>
    </row>
    <row r="432" ht="15.75" customHeight="1">
      <c r="C432" s="155"/>
      <c r="E432" s="124"/>
      <c r="F432" s="124"/>
      <c r="G432" s="124"/>
      <c r="H432" s="124"/>
      <c r="J432" s="124"/>
      <c r="K432" s="124"/>
    </row>
    <row r="433" ht="15.75" customHeight="1">
      <c r="C433" s="155"/>
      <c r="E433" s="124"/>
      <c r="F433" s="124"/>
      <c r="G433" s="124"/>
      <c r="H433" s="124"/>
      <c r="J433" s="124"/>
      <c r="K433" s="124"/>
    </row>
    <row r="434" ht="15.75" customHeight="1">
      <c r="C434" s="155"/>
      <c r="E434" s="124"/>
      <c r="F434" s="124"/>
      <c r="G434" s="124"/>
      <c r="H434" s="124"/>
      <c r="J434" s="124"/>
      <c r="K434" s="124"/>
    </row>
    <row r="435" ht="15.75" customHeight="1">
      <c r="C435" s="155"/>
      <c r="E435" s="124"/>
      <c r="F435" s="124"/>
      <c r="G435" s="124"/>
      <c r="H435" s="124"/>
      <c r="J435" s="124"/>
      <c r="K435" s="124"/>
    </row>
    <row r="436" ht="15.75" customHeight="1">
      <c r="C436" s="155"/>
      <c r="E436" s="124"/>
      <c r="F436" s="124"/>
      <c r="G436" s="124"/>
      <c r="H436" s="124"/>
      <c r="J436" s="124"/>
      <c r="K436" s="124"/>
    </row>
    <row r="437" ht="15.75" customHeight="1">
      <c r="C437" s="155"/>
      <c r="E437" s="124"/>
      <c r="F437" s="124"/>
      <c r="G437" s="124"/>
      <c r="H437" s="124"/>
      <c r="J437" s="124"/>
      <c r="K437" s="124"/>
    </row>
    <row r="438" ht="15.75" customHeight="1">
      <c r="C438" s="155"/>
      <c r="E438" s="124"/>
      <c r="F438" s="124"/>
      <c r="G438" s="124"/>
      <c r="H438" s="124"/>
      <c r="J438" s="124"/>
      <c r="K438" s="124"/>
    </row>
    <row r="439" ht="15.75" customHeight="1">
      <c r="C439" s="155"/>
      <c r="E439" s="124"/>
      <c r="F439" s="124"/>
      <c r="G439" s="124"/>
      <c r="H439" s="124"/>
      <c r="J439" s="124"/>
      <c r="K439" s="124"/>
    </row>
    <row r="440" ht="15.75" customHeight="1">
      <c r="C440" s="155"/>
      <c r="E440" s="124"/>
      <c r="F440" s="124"/>
      <c r="G440" s="124"/>
      <c r="H440" s="124"/>
      <c r="J440" s="124"/>
      <c r="K440" s="124"/>
    </row>
    <row r="441" ht="15.75" customHeight="1">
      <c r="C441" s="155"/>
      <c r="E441" s="124"/>
      <c r="F441" s="124"/>
      <c r="G441" s="124"/>
      <c r="H441" s="124"/>
      <c r="J441" s="124"/>
      <c r="K441" s="124"/>
    </row>
    <row r="442" ht="15.75" customHeight="1">
      <c r="C442" s="155"/>
      <c r="E442" s="124"/>
      <c r="F442" s="124"/>
      <c r="G442" s="124"/>
      <c r="H442" s="124"/>
      <c r="J442" s="124"/>
      <c r="K442" s="124"/>
    </row>
    <row r="443" ht="15.75" customHeight="1">
      <c r="C443" s="155"/>
      <c r="E443" s="124"/>
      <c r="F443" s="124"/>
      <c r="G443" s="124"/>
      <c r="H443" s="124"/>
      <c r="J443" s="124"/>
      <c r="K443" s="124"/>
    </row>
    <row r="444" ht="15.75" customHeight="1">
      <c r="C444" s="155"/>
      <c r="E444" s="124"/>
      <c r="F444" s="124"/>
      <c r="G444" s="124"/>
      <c r="H444" s="124"/>
      <c r="J444" s="124"/>
      <c r="K444" s="124"/>
    </row>
    <row r="445" ht="15.75" customHeight="1">
      <c r="C445" s="155"/>
      <c r="E445" s="124"/>
      <c r="F445" s="124"/>
      <c r="G445" s="124"/>
      <c r="H445" s="124"/>
      <c r="J445" s="124"/>
      <c r="K445" s="124"/>
    </row>
    <row r="446" ht="15.75" customHeight="1">
      <c r="C446" s="155"/>
      <c r="E446" s="124"/>
      <c r="F446" s="124"/>
      <c r="G446" s="124"/>
      <c r="H446" s="124"/>
      <c r="J446" s="124"/>
      <c r="K446" s="124"/>
    </row>
    <row r="447" ht="15.75" customHeight="1">
      <c r="C447" s="155"/>
      <c r="E447" s="124"/>
      <c r="F447" s="124"/>
      <c r="G447" s="124"/>
      <c r="H447" s="124"/>
      <c r="J447" s="124"/>
      <c r="K447" s="124"/>
    </row>
    <row r="448" ht="15.75" customHeight="1">
      <c r="C448" s="155"/>
      <c r="E448" s="124"/>
      <c r="F448" s="124"/>
      <c r="G448" s="124"/>
      <c r="H448" s="124"/>
      <c r="J448" s="124"/>
      <c r="K448" s="124"/>
    </row>
    <row r="449" ht="15.75" customHeight="1">
      <c r="C449" s="155"/>
      <c r="E449" s="124"/>
      <c r="F449" s="124"/>
      <c r="G449" s="124"/>
      <c r="H449" s="124"/>
      <c r="J449" s="124"/>
      <c r="K449" s="124"/>
    </row>
    <row r="450" ht="15.75" customHeight="1">
      <c r="C450" s="155"/>
      <c r="E450" s="124"/>
      <c r="F450" s="124"/>
      <c r="G450" s="124"/>
      <c r="H450" s="124"/>
      <c r="J450" s="124"/>
      <c r="K450" s="124"/>
    </row>
    <row r="451" ht="15.75" customHeight="1">
      <c r="C451" s="155"/>
      <c r="E451" s="124"/>
      <c r="F451" s="124"/>
      <c r="G451" s="124"/>
      <c r="H451" s="124"/>
      <c r="J451" s="124"/>
      <c r="K451" s="124"/>
    </row>
    <row r="452" ht="15.75" customHeight="1">
      <c r="C452" s="155"/>
      <c r="E452" s="124"/>
      <c r="F452" s="124"/>
      <c r="G452" s="124"/>
      <c r="H452" s="124"/>
      <c r="J452" s="124"/>
      <c r="K452" s="124"/>
    </row>
    <row r="453" ht="15.75" customHeight="1">
      <c r="C453" s="155"/>
      <c r="E453" s="124"/>
      <c r="F453" s="124"/>
      <c r="G453" s="124"/>
      <c r="H453" s="124"/>
      <c r="J453" s="124"/>
      <c r="K453" s="124"/>
    </row>
    <row r="454" ht="15.75" customHeight="1">
      <c r="C454" s="155"/>
      <c r="E454" s="124"/>
      <c r="F454" s="124"/>
      <c r="G454" s="124"/>
      <c r="H454" s="124"/>
      <c r="J454" s="124"/>
      <c r="K454" s="124"/>
    </row>
    <row r="455" ht="15.75" customHeight="1">
      <c r="C455" s="155"/>
      <c r="E455" s="124"/>
      <c r="F455" s="124"/>
      <c r="G455" s="124"/>
      <c r="H455" s="124"/>
      <c r="J455" s="124"/>
      <c r="K455" s="124"/>
    </row>
    <row r="456" ht="15.75" customHeight="1">
      <c r="C456" s="155"/>
      <c r="E456" s="124"/>
      <c r="F456" s="124"/>
      <c r="G456" s="124"/>
      <c r="H456" s="124"/>
      <c r="J456" s="124"/>
      <c r="K456" s="124"/>
    </row>
    <row r="457" ht="15.75" customHeight="1">
      <c r="C457" s="155"/>
      <c r="E457" s="124"/>
      <c r="F457" s="124"/>
      <c r="G457" s="124"/>
      <c r="H457" s="124"/>
      <c r="J457" s="124"/>
      <c r="K457" s="124"/>
    </row>
    <row r="458" ht="15.75" customHeight="1">
      <c r="C458" s="155"/>
      <c r="E458" s="124"/>
      <c r="F458" s="124"/>
      <c r="G458" s="124"/>
      <c r="H458" s="124"/>
      <c r="J458" s="124"/>
      <c r="K458" s="124"/>
    </row>
    <row r="459" ht="15.75" customHeight="1">
      <c r="C459" s="155"/>
      <c r="E459" s="124"/>
      <c r="F459" s="124"/>
      <c r="G459" s="124"/>
      <c r="H459" s="124"/>
      <c r="J459" s="124"/>
      <c r="K459" s="124"/>
    </row>
    <row r="460" ht="15.75" customHeight="1">
      <c r="C460" s="155"/>
      <c r="E460" s="124"/>
      <c r="F460" s="124"/>
      <c r="G460" s="124"/>
      <c r="H460" s="124"/>
      <c r="J460" s="124"/>
      <c r="K460" s="124"/>
    </row>
    <row r="461" ht="15.75" customHeight="1">
      <c r="C461" s="155"/>
      <c r="E461" s="124"/>
      <c r="F461" s="124"/>
      <c r="G461" s="124"/>
      <c r="H461" s="124"/>
      <c r="J461" s="124"/>
      <c r="K461" s="124"/>
    </row>
    <row r="462" ht="15.75" customHeight="1">
      <c r="C462" s="155"/>
      <c r="E462" s="124"/>
      <c r="F462" s="124"/>
      <c r="G462" s="124"/>
      <c r="H462" s="124"/>
      <c r="J462" s="124"/>
      <c r="K462" s="124"/>
    </row>
    <row r="463" ht="15.75" customHeight="1">
      <c r="C463" s="155"/>
      <c r="E463" s="124"/>
      <c r="F463" s="124"/>
      <c r="G463" s="124"/>
      <c r="H463" s="124"/>
      <c r="J463" s="124"/>
      <c r="K463" s="124"/>
    </row>
    <row r="464" ht="15.75" customHeight="1">
      <c r="C464" s="155"/>
      <c r="E464" s="124"/>
      <c r="F464" s="124"/>
      <c r="G464" s="124"/>
      <c r="H464" s="124"/>
      <c r="J464" s="124"/>
      <c r="K464" s="124"/>
    </row>
    <row r="465" ht="15.75" customHeight="1">
      <c r="C465" s="155"/>
      <c r="E465" s="124"/>
      <c r="F465" s="124"/>
      <c r="G465" s="124"/>
      <c r="H465" s="124"/>
      <c r="J465" s="124"/>
      <c r="K465" s="124"/>
    </row>
    <row r="466" ht="15.75" customHeight="1">
      <c r="C466" s="155"/>
      <c r="E466" s="124"/>
      <c r="F466" s="124"/>
      <c r="G466" s="124"/>
      <c r="H466" s="124"/>
      <c r="J466" s="124"/>
      <c r="K466" s="124"/>
    </row>
    <row r="467" ht="15.75" customHeight="1">
      <c r="C467" s="155"/>
      <c r="E467" s="124"/>
      <c r="F467" s="124"/>
      <c r="G467" s="124"/>
      <c r="H467" s="124"/>
      <c r="J467" s="124"/>
      <c r="K467" s="124"/>
    </row>
    <row r="468" ht="15.75" customHeight="1">
      <c r="C468" s="155"/>
      <c r="E468" s="124"/>
      <c r="F468" s="124"/>
      <c r="G468" s="124"/>
      <c r="H468" s="124"/>
      <c r="J468" s="124"/>
      <c r="K468" s="124"/>
    </row>
    <row r="469" ht="15.75" customHeight="1">
      <c r="C469" s="155"/>
      <c r="E469" s="124"/>
      <c r="F469" s="124"/>
      <c r="G469" s="124"/>
      <c r="H469" s="124"/>
      <c r="J469" s="124"/>
      <c r="K469" s="124"/>
    </row>
    <row r="470" ht="15.75" customHeight="1">
      <c r="C470" s="155"/>
      <c r="E470" s="124"/>
      <c r="F470" s="124"/>
      <c r="G470" s="124"/>
      <c r="H470" s="124"/>
      <c r="J470" s="124"/>
      <c r="K470" s="124"/>
    </row>
    <row r="471" ht="15.75" customHeight="1">
      <c r="C471" s="155"/>
      <c r="E471" s="124"/>
      <c r="F471" s="124"/>
      <c r="G471" s="124"/>
      <c r="H471" s="124"/>
      <c r="J471" s="124"/>
      <c r="K471" s="124"/>
    </row>
    <row r="472" ht="15.75" customHeight="1">
      <c r="C472" s="155"/>
      <c r="E472" s="124"/>
      <c r="F472" s="124"/>
      <c r="G472" s="124"/>
      <c r="H472" s="124"/>
      <c r="J472" s="124"/>
      <c r="K472" s="124"/>
    </row>
    <row r="473" ht="15.75" customHeight="1">
      <c r="C473" s="155"/>
      <c r="E473" s="124"/>
      <c r="F473" s="124"/>
      <c r="G473" s="124"/>
      <c r="H473" s="124"/>
      <c r="J473" s="124"/>
      <c r="K473" s="124"/>
    </row>
    <row r="474" ht="15.75" customHeight="1">
      <c r="C474" s="155"/>
      <c r="E474" s="124"/>
      <c r="F474" s="124"/>
      <c r="G474" s="124"/>
      <c r="H474" s="124"/>
      <c r="J474" s="124"/>
      <c r="K474" s="124"/>
    </row>
    <row r="475" ht="15.75" customHeight="1">
      <c r="C475" s="155"/>
      <c r="E475" s="124"/>
      <c r="F475" s="124"/>
      <c r="G475" s="124"/>
      <c r="H475" s="124"/>
      <c r="J475" s="124"/>
      <c r="K475" s="124"/>
    </row>
    <row r="476" ht="15.75" customHeight="1">
      <c r="C476" s="155"/>
      <c r="E476" s="124"/>
      <c r="F476" s="124"/>
      <c r="G476" s="124"/>
      <c r="H476" s="124"/>
      <c r="J476" s="124"/>
      <c r="K476" s="124"/>
    </row>
    <row r="477" ht="15.75" customHeight="1">
      <c r="C477" s="155"/>
      <c r="E477" s="124"/>
      <c r="F477" s="124"/>
      <c r="G477" s="124"/>
      <c r="H477" s="124"/>
      <c r="J477" s="124"/>
      <c r="K477" s="124"/>
    </row>
    <row r="478" ht="15.75" customHeight="1">
      <c r="C478" s="155"/>
      <c r="E478" s="124"/>
      <c r="F478" s="124"/>
      <c r="G478" s="124"/>
      <c r="H478" s="124"/>
      <c r="J478" s="124"/>
      <c r="K478" s="124"/>
    </row>
    <row r="479" ht="15.75" customHeight="1">
      <c r="C479" s="155"/>
      <c r="E479" s="124"/>
      <c r="F479" s="124"/>
      <c r="G479" s="124"/>
      <c r="H479" s="124"/>
      <c r="J479" s="124"/>
      <c r="K479" s="124"/>
    </row>
    <row r="480" ht="15.75" customHeight="1">
      <c r="C480" s="155"/>
      <c r="E480" s="124"/>
      <c r="F480" s="124"/>
      <c r="G480" s="124"/>
      <c r="H480" s="124"/>
      <c r="J480" s="124"/>
      <c r="K480" s="124"/>
    </row>
    <row r="481" ht="15.75" customHeight="1">
      <c r="C481" s="155"/>
      <c r="E481" s="124"/>
      <c r="F481" s="124"/>
      <c r="G481" s="124"/>
      <c r="H481" s="124"/>
      <c r="J481" s="124"/>
      <c r="K481" s="124"/>
    </row>
    <row r="482" ht="15.75" customHeight="1">
      <c r="C482" s="155"/>
      <c r="E482" s="124"/>
      <c r="F482" s="124"/>
      <c r="G482" s="124"/>
      <c r="H482" s="124"/>
      <c r="J482" s="124"/>
      <c r="K482" s="124"/>
    </row>
    <row r="483" ht="15.75" customHeight="1">
      <c r="C483" s="155"/>
      <c r="E483" s="124"/>
      <c r="F483" s="124"/>
      <c r="G483" s="124"/>
      <c r="H483" s="124"/>
      <c r="J483" s="124"/>
      <c r="K483" s="124"/>
    </row>
    <row r="484" ht="15.75" customHeight="1">
      <c r="C484" s="155"/>
      <c r="E484" s="124"/>
      <c r="F484" s="124"/>
      <c r="G484" s="124"/>
      <c r="H484" s="124"/>
      <c r="J484" s="124"/>
      <c r="K484" s="124"/>
    </row>
    <row r="485" ht="15.75" customHeight="1">
      <c r="C485" s="155"/>
      <c r="E485" s="124"/>
      <c r="F485" s="124"/>
      <c r="G485" s="124"/>
      <c r="H485" s="124"/>
      <c r="J485" s="124"/>
      <c r="K485" s="124"/>
    </row>
    <row r="486" ht="15.75" customHeight="1">
      <c r="C486" s="155"/>
      <c r="E486" s="124"/>
      <c r="F486" s="124"/>
      <c r="G486" s="124"/>
      <c r="H486" s="124"/>
      <c r="J486" s="124"/>
      <c r="K486" s="124"/>
    </row>
    <row r="487" ht="15.75" customHeight="1">
      <c r="C487" s="155"/>
      <c r="E487" s="124"/>
      <c r="F487" s="124"/>
      <c r="G487" s="124"/>
      <c r="H487" s="124"/>
      <c r="J487" s="124"/>
      <c r="K487" s="124"/>
    </row>
    <row r="488" ht="15.75" customHeight="1">
      <c r="C488" s="155"/>
      <c r="E488" s="124"/>
      <c r="F488" s="124"/>
      <c r="G488" s="124"/>
      <c r="H488" s="124"/>
      <c r="J488" s="124"/>
      <c r="K488" s="124"/>
    </row>
    <row r="489" ht="15.75" customHeight="1">
      <c r="C489" s="155"/>
      <c r="E489" s="124"/>
      <c r="F489" s="124"/>
      <c r="G489" s="124"/>
      <c r="H489" s="124"/>
      <c r="J489" s="124"/>
      <c r="K489" s="124"/>
    </row>
    <row r="490" ht="15.75" customHeight="1">
      <c r="C490" s="155"/>
      <c r="E490" s="124"/>
      <c r="F490" s="124"/>
      <c r="G490" s="124"/>
      <c r="H490" s="124"/>
      <c r="J490" s="124"/>
      <c r="K490" s="124"/>
    </row>
    <row r="491" ht="15.75" customHeight="1">
      <c r="C491" s="155"/>
      <c r="E491" s="124"/>
      <c r="F491" s="124"/>
      <c r="G491" s="124"/>
      <c r="H491" s="124"/>
      <c r="J491" s="124"/>
      <c r="K491" s="124"/>
    </row>
    <row r="492" ht="15.75" customHeight="1">
      <c r="C492" s="155"/>
      <c r="E492" s="124"/>
      <c r="F492" s="124"/>
      <c r="G492" s="124"/>
      <c r="H492" s="124"/>
      <c r="J492" s="124"/>
      <c r="K492" s="124"/>
    </row>
    <row r="493" ht="15.75" customHeight="1">
      <c r="C493" s="155"/>
      <c r="E493" s="124"/>
      <c r="F493" s="124"/>
      <c r="G493" s="124"/>
      <c r="H493" s="124"/>
      <c r="J493" s="124"/>
      <c r="K493" s="124"/>
    </row>
    <row r="494" ht="15.75" customHeight="1">
      <c r="C494" s="155"/>
      <c r="E494" s="124"/>
      <c r="F494" s="124"/>
      <c r="G494" s="124"/>
      <c r="H494" s="124"/>
      <c r="J494" s="124"/>
      <c r="K494" s="124"/>
    </row>
    <row r="495" ht="15.75" customHeight="1">
      <c r="C495" s="155"/>
      <c r="E495" s="124"/>
      <c r="F495" s="124"/>
      <c r="G495" s="124"/>
      <c r="H495" s="124"/>
      <c r="J495" s="124"/>
      <c r="K495" s="124"/>
    </row>
    <row r="496" ht="15.75" customHeight="1">
      <c r="C496" s="155"/>
      <c r="E496" s="124"/>
      <c r="F496" s="124"/>
      <c r="G496" s="124"/>
      <c r="H496" s="124"/>
      <c r="J496" s="124"/>
      <c r="K496" s="124"/>
    </row>
    <row r="497" ht="15.75" customHeight="1">
      <c r="C497" s="155"/>
      <c r="E497" s="124"/>
      <c r="F497" s="124"/>
      <c r="G497" s="124"/>
      <c r="H497" s="124"/>
      <c r="J497" s="124"/>
      <c r="K497" s="124"/>
    </row>
    <row r="498" ht="15.75" customHeight="1">
      <c r="C498" s="155"/>
      <c r="E498" s="124"/>
      <c r="F498" s="124"/>
      <c r="G498" s="124"/>
      <c r="H498" s="124"/>
      <c r="J498" s="124"/>
      <c r="K498" s="124"/>
    </row>
    <row r="499" ht="15.75" customHeight="1">
      <c r="C499" s="155"/>
      <c r="E499" s="124"/>
      <c r="F499" s="124"/>
      <c r="G499" s="124"/>
      <c r="H499" s="124"/>
      <c r="J499" s="124"/>
      <c r="K499" s="124"/>
    </row>
    <row r="500" ht="15.75" customHeight="1">
      <c r="C500" s="155"/>
      <c r="E500" s="124"/>
      <c r="F500" s="124"/>
      <c r="G500" s="124"/>
      <c r="H500" s="124"/>
      <c r="J500" s="124"/>
      <c r="K500" s="124"/>
    </row>
    <row r="501" ht="15.75" customHeight="1">
      <c r="C501" s="155"/>
      <c r="E501" s="124"/>
      <c r="F501" s="124"/>
      <c r="G501" s="124"/>
      <c r="H501" s="124"/>
      <c r="J501" s="124"/>
      <c r="K501" s="124"/>
    </row>
    <row r="502" ht="15.75" customHeight="1">
      <c r="C502" s="155"/>
      <c r="E502" s="124"/>
      <c r="F502" s="124"/>
      <c r="G502" s="124"/>
      <c r="H502" s="124"/>
      <c r="J502" s="124"/>
      <c r="K502" s="124"/>
    </row>
    <row r="503" ht="15.75" customHeight="1">
      <c r="C503" s="155"/>
      <c r="E503" s="124"/>
      <c r="F503" s="124"/>
      <c r="G503" s="124"/>
      <c r="H503" s="124"/>
      <c r="J503" s="124"/>
      <c r="K503" s="124"/>
    </row>
    <row r="504" ht="15.75" customHeight="1">
      <c r="C504" s="155"/>
      <c r="E504" s="124"/>
      <c r="F504" s="124"/>
      <c r="G504" s="124"/>
      <c r="H504" s="124"/>
      <c r="J504" s="124"/>
      <c r="K504" s="124"/>
    </row>
    <row r="505" ht="15.75" customHeight="1">
      <c r="C505" s="155"/>
      <c r="E505" s="124"/>
      <c r="F505" s="124"/>
      <c r="G505" s="124"/>
      <c r="H505" s="124"/>
      <c r="J505" s="124"/>
      <c r="K505" s="124"/>
    </row>
    <row r="506" ht="15.75" customHeight="1">
      <c r="C506" s="155"/>
      <c r="E506" s="124"/>
      <c r="F506" s="124"/>
      <c r="G506" s="124"/>
      <c r="H506" s="124"/>
      <c r="J506" s="124"/>
      <c r="K506" s="124"/>
    </row>
    <row r="507" ht="15.75" customHeight="1">
      <c r="C507" s="155"/>
      <c r="E507" s="124"/>
      <c r="F507" s="124"/>
      <c r="G507" s="124"/>
      <c r="H507" s="124"/>
      <c r="J507" s="124"/>
      <c r="K507" s="124"/>
    </row>
    <row r="508" ht="15.75" customHeight="1">
      <c r="C508" s="155"/>
      <c r="E508" s="124"/>
      <c r="F508" s="124"/>
      <c r="G508" s="124"/>
      <c r="H508" s="124"/>
      <c r="J508" s="124"/>
      <c r="K508" s="124"/>
    </row>
    <row r="509" ht="15.75" customHeight="1">
      <c r="C509" s="155"/>
      <c r="E509" s="124"/>
      <c r="F509" s="124"/>
      <c r="G509" s="124"/>
      <c r="H509" s="124"/>
      <c r="J509" s="124"/>
      <c r="K509" s="124"/>
    </row>
    <row r="510" ht="15.75" customHeight="1">
      <c r="C510" s="155"/>
      <c r="E510" s="124"/>
      <c r="F510" s="124"/>
      <c r="G510" s="124"/>
      <c r="H510" s="124"/>
      <c r="J510" s="124"/>
      <c r="K510" s="124"/>
    </row>
    <row r="511" ht="15.75" customHeight="1">
      <c r="C511" s="155"/>
      <c r="E511" s="124"/>
      <c r="F511" s="124"/>
      <c r="G511" s="124"/>
      <c r="H511" s="124"/>
      <c r="J511" s="124"/>
      <c r="K511" s="124"/>
    </row>
    <row r="512" ht="15.75" customHeight="1">
      <c r="C512" s="155"/>
      <c r="E512" s="124"/>
      <c r="F512" s="124"/>
      <c r="G512" s="124"/>
      <c r="H512" s="124"/>
      <c r="J512" s="124"/>
      <c r="K512" s="124"/>
    </row>
    <row r="513" ht="15.75" customHeight="1">
      <c r="C513" s="155"/>
      <c r="E513" s="124"/>
      <c r="F513" s="124"/>
      <c r="G513" s="124"/>
      <c r="H513" s="124"/>
      <c r="J513" s="124"/>
      <c r="K513" s="124"/>
    </row>
    <row r="514" ht="15.75" customHeight="1">
      <c r="C514" s="155"/>
      <c r="E514" s="124"/>
      <c r="F514" s="124"/>
      <c r="G514" s="124"/>
      <c r="H514" s="124"/>
      <c r="J514" s="124"/>
      <c r="K514" s="124"/>
    </row>
    <row r="515" ht="15.75" customHeight="1">
      <c r="C515" s="155"/>
      <c r="E515" s="124"/>
      <c r="F515" s="124"/>
      <c r="G515" s="124"/>
      <c r="H515" s="124"/>
      <c r="J515" s="124"/>
      <c r="K515" s="124"/>
    </row>
    <row r="516" ht="15.75" customHeight="1">
      <c r="C516" s="155"/>
      <c r="E516" s="124"/>
      <c r="F516" s="124"/>
      <c r="G516" s="124"/>
      <c r="H516" s="124"/>
      <c r="J516" s="124"/>
      <c r="K516" s="124"/>
    </row>
    <row r="517" ht="15.75" customHeight="1">
      <c r="C517" s="155"/>
      <c r="E517" s="124"/>
      <c r="F517" s="124"/>
      <c r="G517" s="124"/>
      <c r="H517" s="124"/>
      <c r="J517" s="124"/>
      <c r="K517" s="124"/>
    </row>
    <row r="518" ht="15.75" customHeight="1">
      <c r="C518" s="155"/>
      <c r="E518" s="124"/>
      <c r="F518" s="124"/>
      <c r="G518" s="124"/>
      <c r="H518" s="124"/>
      <c r="J518" s="124"/>
      <c r="K518" s="124"/>
    </row>
    <row r="519" ht="15.75" customHeight="1">
      <c r="C519" s="155"/>
      <c r="E519" s="124"/>
      <c r="F519" s="124"/>
      <c r="G519" s="124"/>
      <c r="H519" s="124"/>
      <c r="J519" s="124"/>
      <c r="K519" s="124"/>
    </row>
    <row r="520" ht="15.75" customHeight="1">
      <c r="C520" s="155"/>
      <c r="E520" s="124"/>
      <c r="F520" s="124"/>
      <c r="G520" s="124"/>
      <c r="H520" s="124"/>
      <c r="J520" s="124"/>
      <c r="K520" s="124"/>
    </row>
    <row r="521" ht="15.75" customHeight="1">
      <c r="C521" s="155"/>
      <c r="E521" s="124"/>
      <c r="F521" s="124"/>
      <c r="G521" s="124"/>
      <c r="H521" s="124"/>
      <c r="J521" s="124"/>
      <c r="K521" s="124"/>
    </row>
    <row r="522" ht="15.75" customHeight="1">
      <c r="C522" s="155"/>
      <c r="E522" s="124"/>
      <c r="F522" s="124"/>
      <c r="G522" s="124"/>
      <c r="H522" s="124"/>
      <c r="J522" s="124"/>
      <c r="K522" s="124"/>
    </row>
    <row r="523" ht="15.75" customHeight="1">
      <c r="C523" s="155"/>
      <c r="E523" s="124"/>
      <c r="F523" s="124"/>
      <c r="G523" s="124"/>
      <c r="H523" s="124"/>
      <c r="J523" s="124"/>
      <c r="K523" s="124"/>
    </row>
    <row r="524" ht="15.75" customHeight="1">
      <c r="C524" s="155"/>
      <c r="E524" s="124"/>
      <c r="F524" s="124"/>
      <c r="G524" s="124"/>
      <c r="H524" s="124"/>
      <c r="J524" s="124"/>
      <c r="K524" s="124"/>
    </row>
    <row r="525" ht="15.75" customHeight="1">
      <c r="C525" s="155"/>
      <c r="E525" s="124"/>
      <c r="F525" s="124"/>
      <c r="G525" s="124"/>
      <c r="H525" s="124"/>
      <c r="J525" s="124"/>
      <c r="K525" s="124"/>
    </row>
    <row r="526" ht="15.75" customHeight="1">
      <c r="C526" s="155"/>
      <c r="E526" s="124"/>
      <c r="F526" s="124"/>
      <c r="G526" s="124"/>
      <c r="H526" s="124"/>
      <c r="J526" s="124"/>
      <c r="K526" s="124"/>
    </row>
    <row r="527" ht="15.75" customHeight="1">
      <c r="C527" s="155"/>
      <c r="E527" s="124"/>
      <c r="F527" s="124"/>
      <c r="G527" s="124"/>
      <c r="H527" s="124"/>
      <c r="J527" s="124"/>
      <c r="K527" s="124"/>
    </row>
    <row r="528" ht="15.75" customHeight="1">
      <c r="C528" s="155"/>
      <c r="E528" s="124"/>
      <c r="F528" s="124"/>
      <c r="G528" s="124"/>
      <c r="H528" s="124"/>
      <c r="J528" s="124"/>
      <c r="K528" s="124"/>
    </row>
    <row r="529" ht="15.75" customHeight="1">
      <c r="C529" s="155"/>
      <c r="E529" s="124"/>
      <c r="F529" s="124"/>
      <c r="G529" s="124"/>
      <c r="H529" s="124"/>
      <c r="J529" s="124"/>
      <c r="K529" s="124"/>
    </row>
    <row r="530" ht="15.75" customHeight="1">
      <c r="C530" s="155"/>
      <c r="E530" s="124"/>
      <c r="F530" s="124"/>
      <c r="G530" s="124"/>
      <c r="H530" s="124"/>
      <c r="J530" s="124"/>
      <c r="K530" s="124"/>
    </row>
    <row r="531" ht="15.75" customHeight="1">
      <c r="C531" s="155"/>
      <c r="E531" s="124"/>
      <c r="F531" s="124"/>
      <c r="G531" s="124"/>
      <c r="H531" s="124"/>
      <c r="J531" s="124"/>
      <c r="K531" s="124"/>
    </row>
    <row r="532" ht="15.75" customHeight="1">
      <c r="C532" s="155"/>
      <c r="E532" s="124"/>
      <c r="F532" s="124"/>
      <c r="G532" s="124"/>
      <c r="H532" s="124"/>
      <c r="J532" s="124"/>
      <c r="K532" s="124"/>
    </row>
    <row r="533" ht="15.75" customHeight="1">
      <c r="C533" s="155"/>
      <c r="E533" s="124"/>
      <c r="F533" s="124"/>
      <c r="G533" s="124"/>
      <c r="H533" s="124"/>
      <c r="J533" s="124"/>
      <c r="K533" s="124"/>
    </row>
    <row r="534" ht="15.75" customHeight="1">
      <c r="C534" s="155"/>
      <c r="E534" s="124"/>
      <c r="F534" s="124"/>
      <c r="G534" s="124"/>
      <c r="H534" s="124"/>
      <c r="J534" s="124"/>
      <c r="K534" s="124"/>
    </row>
    <row r="535" ht="15.75" customHeight="1">
      <c r="C535" s="155"/>
      <c r="E535" s="124"/>
      <c r="F535" s="124"/>
      <c r="G535" s="124"/>
      <c r="H535" s="124"/>
      <c r="J535" s="124"/>
      <c r="K535" s="124"/>
    </row>
    <row r="536" ht="15.75" customHeight="1">
      <c r="C536" s="155"/>
      <c r="E536" s="124"/>
      <c r="F536" s="124"/>
      <c r="G536" s="124"/>
      <c r="H536" s="124"/>
      <c r="J536" s="124"/>
      <c r="K536" s="124"/>
    </row>
    <row r="537" ht="15.75" customHeight="1">
      <c r="C537" s="155"/>
      <c r="E537" s="124"/>
      <c r="F537" s="124"/>
      <c r="G537" s="124"/>
      <c r="H537" s="124"/>
      <c r="J537" s="124"/>
      <c r="K537" s="124"/>
    </row>
    <row r="538" ht="15.75" customHeight="1">
      <c r="C538" s="155"/>
      <c r="E538" s="124"/>
      <c r="F538" s="124"/>
      <c r="G538" s="124"/>
      <c r="H538" s="124"/>
      <c r="J538" s="124"/>
      <c r="K538" s="124"/>
    </row>
    <row r="539" ht="15.75" customHeight="1">
      <c r="C539" s="155"/>
      <c r="E539" s="124"/>
      <c r="F539" s="124"/>
      <c r="G539" s="124"/>
      <c r="H539" s="124"/>
      <c r="J539" s="124"/>
      <c r="K539" s="124"/>
    </row>
    <row r="540" ht="15.75" customHeight="1">
      <c r="C540" s="155"/>
      <c r="E540" s="124"/>
      <c r="F540" s="124"/>
      <c r="G540" s="124"/>
      <c r="H540" s="124"/>
      <c r="J540" s="124"/>
      <c r="K540" s="124"/>
    </row>
    <row r="541" ht="15.75" customHeight="1">
      <c r="C541" s="155"/>
      <c r="E541" s="124"/>
      <c r="F541" s="124"/>
      <c r="G541" s="124"/>
      <c r="H541" s="124"/>
      <c r="J541" s="124"/>
      <c r="K541" s="124"/>
    </row>
    <row r="542" ht="15.75" customHeight="1">
      <c r="C542" s="155"/>
      <c r="E542" s="124"/>
      <c r="F542" s="124"/>
      <c r="G542" s="124"/>
      <c r="H542" s="124"/>
      <c r="J542" s="124"/>
      <c r="K542" s="124"/>
    </row>
    <row r="543" ht="15.75" customHeight="1">
      <c r="C543" s="155"/>
      <c r="E543" s="124"/>
      <c r="F543" s="124"/>
      <c r="G543" s="124"/>
      <c r="H543" s="124"/>
      <c r="J543" s="124"/>
      <c r="K543" s="124"/>
    </row>
    <row r="544" ht="15.75" customHeight="1">
      <c r="C544" s="155"/>
      <c r="E544" s="124"/>
      <c r="F544" s="124"/>
      <c r="G544" s="124"/>
      <c r="H544" s="124"/>
      <c r="J544" s="124"/>
      <c r="K544" s="124"/>
    </row>
    <row r="545" ht="15.75" customHeight="1">
      <c r="C545" s="155"/>
      <c r="E545" s="124"/>
      <c r="F545" s="124"/>
      <c r="G545" s="124"/>
      <c r="H545" s="124"/>
      <c r="J545" s="124"/>
      <c r="K545" s="124"/>
    </row>
    <row r="546" ht="15.75" customHeight="1">
      <c r="C546" s="155"/>
      <c r="E546" s="124"/>
      <c r="F546" s="124"/>
      <c r="G546" s="124"/>
      <c r="H546" s="124"/>
      <c r="J546" s="124"/>
      <c r="K546" s="124"/>
    </row>
    <row r="547" ht="15.75" customHeight="1">
      <c r="C547" s="155"/>
      <c r="E547" s="124"/>
      <c r="F547" s="124"/>
      <c r="G547" s="124"/>
      <c r="H547" s="124"/>
      <c r="J547" s="124"/>
      <c r="K547" s="124"/>
    </row>
    <row r="548" ht="15.75" customHeight="1">
      <c r="C548" s="155"/>
      <c r="E548" s="124"/>
      <c r="F548" s="124"/>
      <c r="G548" s="124"/>
      <c r="H548" s="124"/>
      <c r="J548" s="124"/>
      <c r="K548" s="124"/>
    </row>
    <row r="549" ht="15.75" customHeight="1">
      <c r="C549" s="155"/>
      <c r="E549" s="124"/>
      <c r="F549" s="124"/>
      <c r="G549" s="124"/>
      <c r="H549" s="124"/>
      <c r="J549" s="124"/>
      <c r="K549" s="124"/>
    </row>
    <row r="550" ht="15.75" customHeight="1">
      <c r="C550" s="155"/>
      <c r="E550" s="124"/>
      <c r="F550" s="124"/>
      <c r="G550" s="124"/>
      <c r="H550" s="124"/>
      <c r="J550" s="124"/>
      <c r="K550" s="124"/>
    </row>
    <row r="551" ht="15.75" customHeight="1">
      <c r="C551" s="155"/>
      <c r="E551" s="124"/>
      <c r="F551" s="124"/>
      <c r="G551" s="124"/>
      <c r="H551" s="124"/>
      <c r="J551" s="124"/>
      <c r="K551" s="124"/>
    </row>
    <row r="552" ht="15.75" customHeight="1">
      <c r="C552" s="155"/>
      <c r="E552" s="124"/>
      <c r="F552" s="124"/>
      <c r="G552" s="124"/>
      <c r="H552" s="124"/>
      <c r="J552" s="124"/>
      <c r="K552" s="124"/>
    </row>
    <row r="553" ht="15.75" customHeight="1">
      <c r="C553" s="155"/>
      <c r="E553" s="124"/>
      <c r="F553" s="124"/>
      <c r="G553" s="124"/>
      <c r="H553" s="124"/>
      <c r="J553" s="124"/>
      <c r="K553" s="124"/>
    </row>
    <row r="554" ht="15.75" customHeight="1">
      <c r="C554" s="155"/>
      <c r="E554" s="124"/>
      <c r="F554" s="124"/>
      <c r="G554" s="124"/>
      <c r="H554" s="124"/>
      <c r="J554" s="124"/>
      <c r="K554" s="124"/>
    </row>
    <row r="555" ht="15.75" customHeight="1">
      <c r="C555" s="155"/>
      <c r="E555" s="124"/>
      <c r="F555" s="124"/>
      <c r="G555" s="124"/>
      <c r="H555" s="124"/>
      <c r="J555" s="124"/>
      <c r="K555" s="124"/>
    </row>
    <row r="556" ht="15.75" customHeight="1">
      <c r="C556" s="155"/>
      <c r="E556" s="124"/>
      <c r="F556" s="124"/>
      <c r="G556" s="124"/>
      <c r="H556" s="124"/>
      <c r="J556" s="124"/>
      <c r="K556" s="124"/>
    </row>
    <row r="557" ht="15.75" customHeight="1">
      <c r="C557" s="155"/>
      <c r="E557" s="124"/>
      <c r="F557" s="124"/>
      <c r="G557" s="124"/>
      <c r="H557" s="124"/>
      <c r="J557" s="124"/>
      <c r="K557" s="124"/>
    </row>
    <row r="558" ht="15.75" customHeight="1">
      <c r="C558" s="155"/>
      <c r="E558" s="124"/>
      <c r="F558" s="124"/>
      <c r="G558" s="124"/>
      <c r="H558" s="124"/>
      <c r="J558" s="124"/>
      <c r="K558" s="124"/>
    </row>
    <row r="559" ht="15.75" customHeight="1">
      <c r="C559" s="155"/>
      <c r="E559" s="124"/>
      <c r="F559" s="124"/>
      <c r="G559" s="124"/>
      <c r="H559" s="124"/>
      <c r="J559" s="124"/>
      <c r="K559" s="124"/>
    </row>
    <row r="560" ht="15.75" customHeight="1">
      <c r="C560" s="155"/>
      <c r="E560" s="124"/>
      <c r="F560" s="124"/>
      <c r="G560" s="124"/>
      <c r="H560" s="124"/>
      <c r="J560" s="124"/>
      <c r="K560" s="124"/>
    </row>
    <row r="561" ht="15.75" customHeight="1">
      <c r="C561" s="155"/>
      <c r="E561" s="124"/>
      <c r="F561" s="124"/>
      <c r="G561" s="124"/>
      <c r="H561" s="124"/>
      <c r="J561" s="124"/>
      <c r="K561" s="124"/>
    </row>
    <row r="562" ht="15.75" customHeight="1">
      <c r="C562" s="155"/>
      <c r="E562" s="124"/>
      <c r="F562" s="124"/>
      <c r="G562" s="124"/>
      <c r="H562" s="124"/>
      <c r="J562" s="124"/>
      <c r="K562" s="124"/>
    </row>
    <row r="563" ht="15.75" customHeight="1">
      <c r="C563" s="155"/>
      <c r="E563" s="124"/>
      <c r="F563" s="124"/>
      <c r="G563" s="124"/>
      <c r="H563" s="124"/>
      <c r="J563" s="124"/>
      <c r="K563" s="124"/>
    </row>
    <row r="564" ht="15.75" customHeight="1">
      <c r="C564" s="155"/>
      <c r="E564" s="124"/>
      <c r="F564" s="124"/>
      <c r="G564" s="124"/>
      <c r="H564" s="124"/>
      <c r="J564" s="124"/>
      <c r="K564" s="124"/>
    </row>
    <row r="565" ht="15.75" customHeight="1">
      <c r="C565" s="155"/>
      <c r="E565" s="124"/>
      <c r="F565" s="124"/>
      <c r="G565" s="124"/>
      <c r="H565" s="124"/>
      <c r="J565" s="124"/>
      <c r="K565" s="124"/>
    </row>
    <row r="566" ht="15.75" customHeight="1">
      <c r="C566" s="155"/>
      <c r="E566" s="124"/>
      <c r="F566" s="124"/>
      <c r="G566" s="124"/>
      <c r="H566" s="124"/>
      <c r="J566" s="124"/>
      <c r="K566" s="124"/>
    </row>
    <row r="567" ht="15.75" customHeight="1">
      <c r="C567" s="155"/>
      <c r="E567" s="124"/>
      <c r="F567" s="124"/>
      <c r="G567" s="124"/>
      <c r="H567" s="124"/>
      <c r="J567" s="124"/>
      <c r="K567" s="124"/>
    </row>
    <row r="568" ht="15.75" customHeight="1">
      <c r="C568" s="155"/>
      <c r="E568" s="124"/>
      <c r="F568" s="124"/>
      <c r="G568" s="124"/>
      <c r="H568" s="124"/>
      <c r="J568" s="124"/>
      <c r="K568" s="124"/>
    </row>
    <row r="569" ht="15.75" customHeight="1">
      <c r="C569" s="155"/>
      <c r="E569" s="124"/>
      <c r="F569" s="124"/>
      <c r="G569" s="124"/>
      <c r="H569" s="124"/>
      <c r="J569" s="124"/>
      <c r="K569" s="124"/>
    </row>
    <row r="570" ht="15.75" customHeight="1">
      <c r="C570" s="155"/>
      <c r="E570" s="124"/>
      <c r="F570" s="124"/>
      <c r="G570" s="124"/>
      <c r="H570" s="124"/>
      <c r="J570" s="124"/>
      <c r="K570" s="124"/>
    </row>
    <row r="571" ht="15.75" customHeight="1">
      <c r="C571" s="155"/>
      <c r="E571" s="124"/>
      <c r="F571" s="124"/>
      <c r="G571" s="124"/>
      <c r="H571" s="124"/>
      <c r="J571" s="124"/>
      <c r="K571" s="124"/>
    </row>
    <row r="572" ht="15.75" customHeight="1">
      <c r="C572" s="155"/>
      <c r="E572" s="124"/>
      <c r="F572" s="124"/>
      <c r="G572" s="124"/>
      <c r="H572" s="124"/>
      <c r="J572" s="124"/>
      <c r="K572" s="124"/>
    </row>
    <row r="573" ht="15.75" customHeight="1">
      <c r="C573" s="155"/>
      <c r="E573" s="124"/>
      <c r="F573" s="124"/>
      <c r="G573" s="124"/>
      <c r="H573" s="124"/>
      <c r="J573" s="124"/>
      <c r="K573" s="124"/>
    </row>
    <row r="574" ht="15.75" customHeight="1">
      <c r="C574" s="155"/>
      <c r="E574" s="124"/>
      <c r="F574" s="124"/>
      <c r="G574" s="124"/>
      <c r="H574" s="124"/>
      <c r="J574" s="124"/>
      <c r="K574" s="124"/>
    </row>
    <row r="575" ht="15.75" customHeight="1">
      <c r="C575" s="155"/>
      <c r="E575" s="124"/>
      <c r="F575" s="124"/>
      <c r="G575" s="124"/>
      <c r="H575" s="124"/>
      <c r="J575" s="124"/>
      <c r="K575" s="124"/>
    </row>
    <row r="576" ht="15.75" customHeight="1">
      <c r="C576" s="155"/>
      <c r="E576" s="124"/>
      <c r="F576" s="124"/>
      <c r="G576" s="124"/>
      <c r="H576" s="124"/>
      <c r="J576" s="124"/>
      <c r="K576" s="124"/>
    </row>
    <row r="577" ht="15.75" customHeight="1">
      <c r="C577" s="155"/>
      <c r="E577" s="124"/>
      <c r="F577" s="124"/>
      <c r="G577" s="124"/>
      <c r="H577" s="124"/>
      <c r="J577" s="124"/>
      <c r="K577" s="124"/>
    </row>
    <row r="578" ht="15.75" customHeight="1">
      <c r="C578" s="155"/>
      <c r="E578" s="124"/>
      <c r="F578" s="124"/>
      <c r="G578" s="124"/>
      <c r="H578" s="124"/>
      <c r="J578" s="124"/>
      <c r="K578" s="124"/>
    </row>
    <row r="579" ht="15.75" customHeight="1">
      <c r="C579" s="155"/>
      <c r="E579" s="124"/>
      <c r="F579" s="124"/>
      <c r="G579" s="124"/>
      <c r="H579" s="124"/>
      <c r="J579" s="124"/>
      <c r="K579" s="124"/>
    </row>
    <row r="580" ht="15.75" customHeight="1">
      <c r="C580" s="155"/>
      <c r="E580" s="124"/>
      <c r="F580" s="124"/>
      <c r="G580" s="124"/>
      <c r="H580" s="124"/>
      <c r="J580" s="124"/>
      <c r="K580" s="124"/>
    </row>
    <row r="581" ht="15.75" customHeight="1">
      <c r="C581" s="155"/>
      <c r="E581" s="124"/>
      <c r="F581" s="124"/>
      <c r="G581" s="124"/>
      <c r="H581" s="124"/>
      <c r="J581" s="124"/>
      <c r="K581" s="124"/>
    </row>
    <row r="582" ht="15.75" customHeight="1">
      <c r="C582" s="155"/>
      <c r="E582" s="124"/>
      <c r="F582" s="124"/>
      <c r="G582" s="124"/>
      <c r="H582" s="124"/>
      <c r="J582" s="124"/>
      <c r="K582" s="124"/>
    </row>
    <row r="583" ht="15.75" customHeight="1">
      <c r="C583" s="155"/>
      <c r="E583" s="124"/>
      <c r="F583" s="124"/>
      <c r="G583" s="124"/>
      <c r="H583" s="124"/>
      <c r="J583" s="124"/>
      <c r="K583" s="124"/>
    </row>
    <row r="584" ht="15.75" customHeight="1">
      <c r="C584" s="155"/>
      <c r="E584" s="124"/>
      <c r="F584" s="124"/>
      <c r="G584" s="124"/>
      <c r="H584" s="124"/>
      <c r="J584" s="124"/>
      <c r="K584" s="124"/>
    </row>
    <row r="585" ht="15.75" customHeight="1">
      <c r="C585" s="155"/>
      <c r="E585" s="124"/>
      <c r="F585" s="124"/>
      <c r="G585" s="124"/>
      <c r="H585" s="124"/>
      <c r="J585" s="124"/>
      <c r="K585" s="124"/>
    </row>
    <row r="586" ht="15.75" customHeight="1">
      <c r="C586" s="155"/>
      <c r="E586" s="124"/>
      <c r="F586" s="124"/>
      <c r="G586" s="124"/>
      <c r="H586" s="124"/>
      <c r="J586" s="124"/>
      <c r="K586" s="124"/>
    </row>
    <row r="587" ht="15.75" customHeight="1">
      <c r="C587" s="155"/>
      <c r="E587" s="124"/>
      <c r="F587" s="124"/>
      <c r="G587" s="124"/>
      <c r="H587" s="124"/>
      <c r="J587" s="124"/>
      <c r="K587" s="124"/>
    </row>
    <row r="588" ht="15.75" customHeight="1">
      <c r="C588" s="155"/>
      <c r="E588" s="124"/>
      <c r="F588" s="124"/>
      <c r="G588" s="124"/>
      <c r="H588" s="124"/>
      <c r="J588" s="124"/>
      <c r="K588" s="124"/>
    </row>
    <row r="589" ht="15.75" customHeight="1">
      <c r="C589" s="155"/>
      <c r="E589" s="124"/>
      <c r="F589" s="124"/>
      <c r="G589" s="124"/>
      <c r="H589" s="124"/>
      <c r="J589" s="124"/>
      <c r="K589" s="124"/>
    </row>
    <row r="590" ht="15.75" customHeight="1">
      <c r="C590" s="155"/>
      <c r="E590" s="124"/>
      <c r="F590" s="124"/>
      <c r="G590" s="124"/>
      <c r="H590" s="124"/>
      <c r="J590" s="124"/>
      <c r="K590" s="124"/>
    </row>
    <row r="591" ht="15.75" customHeight="1">
      <c r="C591" s="155"/>
      <c r="E591" s="124"/>
      <c r="F591" s="124"/>
      <c r="G591" s="124"/>
      <c r="H591" s="124"/>
      <c r="J591" s="124"/>
      <c r="K591" s="124"/>
    </row>
    <row r="592" ht="15.75" customHeight="1">
      <c r="C592" s="155"/>
      <c r="E592" s="124"/>
      <c r="F592" s="124"/>
      <c r="G592" s="124"/>
      <c r="H592" s="124"/>
      <c r="J592" s="124"/>
      <c r="K592" s="124"/>
    </row>
    <row r="593" ht="15.75" customHeight="1">
      <c r="C593" s="155"/>
      <c r="E593" s="124"/>
      <c r="F593" s="124"/>
      <c r="G593" s="124"/>
      <c r="H593" s="124"/>
      <c r="J593" s="124"/>
      <c r="K593" s="124"/>
    </row>
    <row r="594" ht="15.75" customHeight="1">
      <c r="C594" s="155"/>
      <c r="E594" s="124"/>
      <c r="F594" s="124"/>
      <c r="G594" s="124"/>
      <c r="H594" s="124"/>
      <c r="J594" s="124"/>
      <c r="K594" s="124"/>
    </row>
    <row r="595" ht="15.75" customHeight="1">
      <c r="C595" s="155"/>
      <c r="E595" s="124"/>
      <c r="F595" s="124"/>
      <c r="G595" s="124"/>
      <c r="H595" s="124"/>
      <c r="J595" s="124"/>
      <c r="K595" s="124"/>
    </row>
    <row r="596" ht="15.75" customHeight="1">
      <c r="C596" s="155"/>
      <c r="E596" s="124"/>
      <c r="F596" s="124"/>
      <c r="G596" s="124"/>
      <c r="H596" s="124"/>
      <c r="J596" s="124"/>
      <c r="K596" s="124"/>
    </row>
    <row r="597" ht="15.75" customHeight="1">
      <c r="C597" s="155"/>
      <c r="E597" s="124"/>
      <c r="F597" s="124"/>
      <c r="G597" s="124"/>
      <c r="H597" s="124"/>
      <c r="J597" s="124"/>
      <c r="K597" s="124"/>
    </row>
    <row r="598" ht="15.75" customHeight="1">
      <c r="C598" s="155"/>
      <c r="E598" s="124"/>
      <c r="F598" s="124"/>
      <c r="G598" s="124"/>
      <c r="H598" s="124"/>
      <c r="J598" s="124"/>
      <c r="K598" s="124"/>
    </row>
    <row r="599" ht="15.75" customHeight="1">
      <c r="C599" s="155"/>
      <c r="E599" s="124"/>
      <c r="F599" s="124"/>
      <c r="G599" s="124"/>
      <c r="H599" s="124"/>
      <c r="J599" s="124"/>
      <c r="K599" s="124"/>
    </row>
    <row r="600" ht="15.75" customHeight="1">
      <c r="C600" s="155"/>
      <c r="E600" s="124"/>
      <c r="F600" s="124"/>
      <c r="G600" s="124"/>
      <c r="H600" s="124"/>
      <c r="J600" s="124"/>
      <c r="K600" s="124"/>
    </row>
    <row r="601" ht="15.75" customHeight="1">
      <c r="C601" s="155"/>
      <c r="E601" s="124"/>
      <c r="F601" s="124"/>
      <c r="G601" s="124"/>
      <c r="H601" s="124"/>
      <c r="J601" s="124"/>
      <c r="K601" s="124"/>
    </row>
    <row r="602" ht="15.75" customHeight="1">
      <c r="C602" s="155"/>
      <c r="E602" s="124"/>
      <c r="F602" s="124"/>
      <c r="G602" s="124"/>
      <c r="H602" s="124"/>
      <c r="J602" s="124"/>
      <c r="K602" s="124"/>
    </row>
    <row r="603" ht="15.75" customHeight="1">
      <c r="C603" s="155"/>
      <c r="E603" s="124"/>
      <c r="F603" s="124"/>
      <c r="G603" s="124"/>
      <c r="H603" s="124"/>
      <c r="J603" s="124"/>
      <c r="K603" s="124"/>
    </row>
    <row r="604" ht="15.75" customHeight="1">
      <c r="C604" s="155"/>
      <c r="E604" s="124"/>
      <c r="F604" s="124"/>
      <c r="G604" s="124"/>
      <c r="H604" s="124"/>
      <c r="J604" s="124"/>
      <c r="K604" s="124"/>
    </row>
    <row r="605" ht="15.75" customHeight="1">
      <c r="C605" s="155"/>
      <c r="E605" s="124"/>
      <c r="F605" s="124"/>
      <c r="G605" s="124"/>
      <c r="H605" s="124"/>
      <c r="J605" s="124"/>
      <c r="K605" s="124"/>
    </row>
    <row r="606" ht="15.75" customHeight="1">
      <c r="C606" s="155"/>
      <c r="E606" s="124"/>
      <c r="F606" s="124"/>
      <c r="G606" s="124"/>
      <c r="H606" s="124"/>
      <c r="J606" s="124"/>
      <c r="K606" s="124"/>
    </row>
    <row r="607" ht="15.75" customHeight="1">
      <c r="C607" s="155"/>
      <c r="E607" s="124"/>
      <c r="F607" s="124"/>
      <c r="G607" s="124"/>
      <c r="H607" s="124"/>
      <c r="J607" s="124"/>
      <c r="K607" s="124"/>
    </row>
    <row r="608" ht="15.75" customHeight="1">
      <c r="C608" s="155"/>
      <c r="E608" s="124"/>
      <c r="F608" s="124"/>
      <c r="G608" s="124"/>
      <c r="H608" s="124"/>
      <c r="J608" s="124"/>
      <c r="K608" s="124"/>
    </row>
    <row r="609" ht="15.75" customHeight="1">
      <c r="C609" s="155"/>
      <c r="E609" s="124"/>
      <c r="F609" s="124"/>
      <c r="G609" s="124"/>
      <c r="H609" s="124"/>
      <c r="J609" s="124"/>
      <c r="K609" s="124"/>
    </row>
    <row r="610" ht="15.75" customHeight="1">
      <c r="C610" s="155"/>
      <c r="E610" s="124"/>
      <c r="F610" s="124"/>
      <c r="G610" s="124"/>
      <c r="H610" s="124"/>
      <c r="J610" s="124"/>
      <c r="K610" s="124"/>
    </row>
    <row r="611" ht="15.75" customHeight="1">
      <c r="C611" s="155"/>
      <c r="E611" s="124"/>
      <c r="F611" s="124"/>
      <c r="G611" s="124"/>
      <c r="H611" s="124"/>
      <c r="J611" s="124"/>
      <c r="K611" s="124"/>
    </row>
    <row r="612" ht="15.75" customHeight="1">
      <c r="C612" s="155"/>
      <c r="E612" s="124"/>
      <c r="F612" s="124"/>
      <c r="G612" s="124"/>
      <c r="H612" s="124"/>
      <c r="J612" s="124"/>
      <c r="K612" s="124"/>
    </row>
    <row r="613" ht="15.75" customHeight="1">
      <c r="C613" s="155"/>
      <c r="E613" s="124"/>
      <c r="F613" s="124"/>
      <c r="G613" s="124"/>
      <c r="H613" s="124"/>
      <c r="J613" s="124"/>
      <c r="K613" s="124"/>
    </row>
    <row r="614" ht="15.75" customHeight="1">
      <c r="C614" s="155"/>
      <c r="E614" s="124"/>
      <c r="F614" s="124"/>
      <c r="G614" s="124"/>
      <c r="H614" s="124"/>
      <c r="J614" s="124"/>
      <c r="K614" s="124"/>
    </row>
    <row r="615" ht="15.75" customHeight="1">
      <c r="C615" s="155"/>
      <c r="E615" s="124"/>
      <c r="F615" s="124"/>
      <c r="G615" s="124"/>
      <c r="H615" s="124"/>
      <c r="J615" s="124"/>
      <c r="K615" s="124"/>
    </row>
    <row r="616" ht="15.75" customHeight="1">
      <c r="C616" s="155"/>
      <c r="E616" s="124"/>
      <c r="F616" s="124"/>
      <c r="G616" s="124"/>
      <c r="H616" s="124"/>
      <c r="J616" s="124"/>
      <c r="K616" s="124"/>
    </row>
    <row r="617" ht="15.75" customHeight="1">
      <c r="C617" s="155"/>
      <c r="E617" s="124"/>
      <c r="F617" s="124"/>
      <c r="G617" s="124"/>
      <c r="H617" s="124"/>
      <c r="J617" s="124"/>
      <c r="K617" s="124"/>
    </row>
    <row r="618" ht="15.75" customHeight="1">
      <c r="C618" s="155"/>
      <c r="E618" s="124"/>
      <c r="F618" s="124"/>
      <c r="G618" s="124"/>
      <c r="H618" s="124"/>
      <c r="J618" s="124"/>
      <c r="K618" s="124"/>
    </row>
    <row r="619" ht="15.75" customHeight="1">
      <c r="C619" s="155"/>
      <c r="E619" s="124"/>
      <c r="F619" s="124"/>
      <c r="G619" s="124"/>
      <c r="H619" s="124"/>
      <c r="J619" s="124"/>
      <c r="K619" s="124"/>
    </row>
    <row r="620" ht="15.75" customHeight="1">
      <c r="C620" s="155"/>
      <c r="E620" s="124"/>
      <c r="F620" s="124"/>
      <c r="G620" s="124"/>
      <c r="H620" s="124"/>
      <c r="J620" s="124"/>
      <c r="K620" s="124"/>
    </row>
    <row r="621" ht="15.75" customHeight="1">
      <c r="C621" s="155"/>
      <c r="E621" s="124"/>
      <c r="F621" s="124"/>
      <c r="G621" s="124"/>
      <c r="H621" s="124"/>
      <c r="J621" s="124"/>
      <c r="K621" s="124"/>
    </row>
    <row r="622" ht="15.75" customHeight="1">
      <c r="C622" s="155"/>
      <c r="E622" s="124"/>
      <c r="F622" s="124"/>
      <c r="G622" s="124"/>
      <c r="H622" s="124"/>
      <c r="J622" s="124"/>
      <c r="K622" s="124"/>
    </row>
    <row r="623" ht="15.75" customHeight="1">
      <c r="C623" s="155"/>
      <c r="E623" s="124"/>
      <c r="F623" s="124"/>
      <c r="G623" s="124"/>
      <c r="H623" s="124"/>
      <c r="J623" s="124"/>
      <c r="K623" s="124"/>
    </row>
    <row r="624" ht="15.75" customHeight="1">
      <c r="C624" s="155"/>
      <c r="E624" s="124"/>
      <c r="F624" s="124"/>
      <c r="G624" s="124"/>
      <c r="H624" s="124"/>
      <c r="J624" s="124"/>
      <c r="K624" s="124"/>
    </row>
    <row r="625" ht="15.75" customHeight="1">
      <c r="C625" s="155"/>
      <c r="E625" s="124"/>
      <c r="F625" s="124"/>
      <c r="G625" s="124"/>
      <c r="H625" s="124"/>
      <c r="J625" s="124"/>
      <c r="K625" s="124"/>
    </row>
    <row r="626" ht="15.75" customHeight="1">
      <c r="C626" s="155"/>
      <c r="E626" s="124"/>
      <c r="F626" s="124"/>
      <c r="G626" s="124"/>
      <c r="H626" s="124"/>
      <c r="J626" s="124"/>
      <c r="K626" s="124"/>
    </row>
    <row r="627" ht="15.75" customHeight="1">
      <c r="C627" s="155"/>
      <c r="E627" s="124"/>
      <c r="F627" s="124"/>
      <c r="G627" s="124"/>
      <c r="H627" s="124"/>
      <c r="J627" s="124"/>
      <c r="K627" s="124"/>
    </row>
    <row r="628" ht="15.75" customHeight="1">
      <c r="C628" s="155"/>
      <c r="E628" s="124"/>
      <c r="F628" s="124"/>
      <c r="G628" s="124"/>
      <c r="H628" s="124"/>
      <c r="J628" s="124"/>
      <c r="K628" s="124"/>
    </row>
    <row r="629" ht="15.75" customHeight="1">
      <c r="C629" s="155"/>
      <c r="E629" s="124"/>
      <c r="F629" s="124"/>
      <c r="G629" s="124"/>
      <c r="H629" s="124"/>
      <c r="J629" s="124"/>
      <c r="K629" s="124"/>
    </row>
    <row r="630" ht="15.75" customHeight="1">
      <c r="C630" s="155"/>
      <c r="E630" s="124"/>
      <c r="F630" s="124"/>
      <c r="G630" s="124"/>
      <c r="H630" s="124"/>
      <c r="J630" s="124"/>
      <c r="K630" s="124"/>
    </row>
    <row r="631" ht="15.75" customHeight="1">
      <c r="C631" s="155"/>
      <c r="E631" s="124"/>
      <c r="F631" s="124"/>
      <c r="G631" s="124"/>
      <c r="H631" s="124"/>
      <c r="J631" s="124"/>
      <c r="K631" s="124"/>
    </row>
    <row r="632" ht="15.75" customHeight="1">
      <c r="C632" s="155"/>
      <c r="E632" s="124"/>
      <c r="F632" s="124"/>
      <c r="G632" s="124"/>
      <c r="H632" s="124"/>
      <c r="J632" s="124"/>
      <c r="K632" s="124"/>
    </row>
    <row r="633" ht="15.75" customHeight="1">
      <c r="C633" s="155"/>
      <c r="E633" s="124"/>
      <c r="F633" s="124"/>
      <c r="G633" s="124"/>
      <c r="H633" s="124"/>
      <c r="J633" s="124"/>
      <c r="K633" s="124"/>
    </row>
    <row r="634" ht="15.75" customHeight="1">
      <c r="C634" s="155"/>
      <c r="E634" s="124"/>
      <c r="F634" s="124"/>
      <c r="G634" s="124"/>
      <c r="H634" s="124"/>
      <c r="J634" s="124"/>
      <c r="K634" s="124"/>
    </row>
    <row r="635" ht="15.75" customHeight="1">
      <c r="C635" s="155"/>
      <c r="E635" s="124"/>
      <c r="F635" s="124"/>
      <c r="G635" s="124"/>
      <c r="H635" s="124"/>
      <c r="J635" s="124"/>
      <c r="K635" s="124"/>
    </row>
    <row r="636" ht="15.75" customHeight="1">
      <c r="C636" s="155"/>
      <c r="E636" s="124"/>
      <c r="F636" s="124"/>
      <c r="G636" s="124"/>
      <c r="H636" s="124"/>
      <c r="J636" s="124"/>
      <c r="K636" s="124"/>
    </row>
    <row r="637" ht="15.75" customHeight="1">
      <c r="C637" s="155"/>
      <c r="E637" s="124"/>
      <c r="F637" s="124"/>
      <c r="G637" s="124"/>
      <c r="H637" s="124"/>
      <c r="J637" s="124"/>
      <c r="K637" s="124"/>
    </row>
    <row r="638" ht="15.75" customHeight="1">
      <c r="C638" s="155"/>
      <c r="E638" s="124"/>
      <c r="F638" s="124"/>
      <c r="G638" s="124"/>
      <c r="H638" s="124"/>
      <c r="J638" s="124"/>
      <c r="K638" s="124"/>
    </row>
    <row r="639" ht="15.75" customHeight="1">
      <c r="C639" s="155"/>
      <c r="E639" s="124"/>
      <c r="F639" s="124"/>
      <c r="G639" s="124"/>
      <c r="H639" s="124"/>
      <c r="J639" s="124"/>
      <c r="K639" s="124"/>
    </row>
    <row r="640" ht="15.75" customHeight="1">
      <c r="C640" s="155"/>
      <c r="E640" s="124"/>
      <c r="F640" s="124"/>
      <c r="G640" s="124"/>
      <c r="H640" s="124"/>
      <c r="J640" s="124"/>
      <c r="K640" s="124"/>
    </row>
    <row r="641" ht="15.75" customHeight="1">
      <c r="C641" s="155"/>
      <c r="E641" s="124"/>
      <c r="F641" s="124"/>
      <c r="G641" s="124"/>
      <c r="H641" s="124"/>
      <c r="J641" s="124"/>
      <c r="K641" s="124"/>
    </row>
    <row r="642" ht="15.75" customHeight="1">
      <c r="C642" s="155"/>
      <c r="E642" s="124"/>
      <c r="F642" s="124"/>
      <c r="G642" s="124"/>
      <c r="H642" s="124"/>
      <c r="J642" s="124"/>
      <c r="K642" s="124"/>
    </row>
    <row r="643" ht="15.75" customHeight="1">
      <c r="C643" s="155"/>
      <c r="E643" s="124"/>
      <c r="F643" s="124"/>
      <c r="G643" s="124"/>
      <c r="H643" s="124"/>
      <c r="J643" s="124"/>
      <c r="K643" s="124"/>
    </row>
    <row r="644" ht="15.75" customHeight="1">
      <c r="C644" s="155"/>
      <c r="E644" s="124"/>
      <c r="F644" s="124"/>
      <c r="G644" s="124"/>
      <c r="H644" s="124"/>
      <c r="J644" s="124"/>
      <c r="K644" s="124"/>
    </row>
    <row r="645" ht="15.75" customHeight="1">
      <c r="C645" s="155"/>
      <c r="E645" s="124"/>
      <c r="F645" s="124"/>
      <c r="G645" s="124"/>
      <c r="H645" s="124"/>
      <c r="J645" s="124"/>
      <c r="K645" s="124"/>
    </row>
    <row r="646" ht="15.75" customHeight="1">
      <c r="C646" s="155"/>
      <c r="E646" s="124"/>
      <c r="F646" s="124"/>
      <c r="G646" s="124"/>
      <c r="H646" s="124"/>
      <c r="J646" s="124"/>
      <c r="K646" s="124"/>
    </row>
    <row r="647" ht="15.75" customHeight="1">
      <c r="C647" s="155"/>
      <c r="E647" s="124"/>
      <c r="F647" s="124"/>
      <c r="G647" s="124"/>
      <c r="H647" s="124"/>
      <c r="J647" s="124"/>
      <c r="K647" s="124"/>
    </row>
    <row r="648" ht="15.75" customHeight="1">
      <c r="C648" s="155"/>
      <c r="E648" s="124"/>
      <c r="F648" s="124"/>
      <c r="G648" s="124"/>
      <c r="H648" s="124"/>
      <c r="J648" s="124"/>
      <c r="K648" s="124"/>
    </row>
    <row r="649" ht="15.75" customHeight="1">
      <c r="C649" s="155"/>
      <c r="E649" s="124"/>
      <c r="F649" s="124"/>
      <c r="G649" s="124"/>
      <c r="H649" s="124"/>
      <c r="J649" s="124"/>
      <c r="K649" s="124"/>
    </row>
    <row r="650" ht="15.75" customHeight="1">
      <c r="C650" s="155"/>
      <c r="E650" s="124"/>
      <c r="F650" s="124"/>
      <c r="G650" s="124"/>
      <c r="H650" s="124"/>
      <c r="J650" s="124"/>
      <c r="K650" s="124"/>
    </row>
    <row r="651" ht="15.75" customHeight="1">
      <c r="C651" s="155"/>
      <c r="E651" s="124"/>
      <c r="F651" s="124"/>
      <c r="G651" s="124"/>
      <c r="H651" s="124"/>
      <c r="J651" s="124"/>
      <c r="K651" s="124"/>
    </row>
    <row r="652" ht="15.75" customHeight="1">
      <c r="C652" s="155"/>
      <c r="E652" s="124"/>
      <c r="F652" s="124"/>
      <c r="G652" s="124"/>
      <c r="H652" s="124"/>
      <c r="J652" s="124"/>
      <c r="K652" s="124"/>
    </row>
    <row r="653" ht="15.75" customHeight="1">
      <c r="C653" s="155"/>
      <c r="E653" s="124"/>
      <c r="F653" s="124"/>
      <c r="G653" s="124"/>
      <c r="H653" s="124"/>
      <c r="J653" s="124"/>
      <c r="K653" s="124"/>
    </row>
    <row r="654" ht="15.75" customHeight="1">
      <c r="C654" s="155"/>
      <c r="E654" s="124"/>
      <c r="F654" s="124"/>
      <c r="G654" s="124"/>
      <c r="H654" s="124"/>
      <c r="J654" s="124"/>
      <c r="K654" s="124"/>
    </row>
    <row r="655" ht="15.75" customHeight="1">
      <c r="C655" s="155"/>
      <c r="E655" s="124"/>
      <c r="F655" s="124"/>
      <c r="G655" s="124"/>
      <c r="H655" s="124"/>
      <c r="J655" s="124"/>
      <c r="K655" s="124"/>
    </row>
    <row r="656" ht="15.75" customHeight="1">
      <c r="C656" s="155"/>
      <c r="E656" s="124"/>
      <c r="F656" s="124"/>
      <c r="G656" s="124"/>
      <c r="H656" s="124"/>
      <c r="J656" s="124"/>
      <c r="K656" s="124"/>
    </row>
    <row r="657" ht="15.75" customHeight="1">
      <c r="C657" s="155"/>
      <c r="E657" s="124"/>
      <c r="F657" s="124"/>
      <c r="G657" s="124"/>
      <c r="H657" s="124"/>
      <c r="J657" s="124"/>
      <c r="K657" s="124"/>
    </row>
    <row r="658" ht="15.75" customHeight="1">
      <c r="C658" s="155"/>
      <c r="E658" s="124"/>
      <c r="F658" s="124"/>
      <c r="G658" s="124"/>
      <c r="H658" s="124"/>
      <c r="J658" s="124"/>
      <c r="K658" s="124"/>
    </row>
    <row r="659" ht="15.75" customHeight="1">
      <c r="C659" s="155"/>
      <c r="E659" s="124"/>
      <c r="F659" s="124"/>
      <c r="G659" s="124"/>
      <c r="H659" s="124"/>
      <c r="J659" s="124"/>
      <c r="K659" s="124"/>
    </row>
    <row r="660" ht="15.75" customHeight="1">
      <c r="C660" s="155"/>
      <c r="E660" s="124"/>
      <c r="F660" s="124"/>
      <c r="G660" s="124"/>
      <c r="H660" s="124"/>
      <c r="J660" s="124"/>
      <c r="K660" s="124"/>
    </row>
    <row r="661" ht="15.75" customHeight="1">
      <c r="C661" s="155"/>
      <c r="E661" s="124"/>
      <c r="F661" s="124"/>
      <c r="G661" s="124"/>
      <c r="H661" s="124"/>
      <c r="J661" s="124"/>
      <c r="K661" s="124"/>
    </row>
    <row r="662" ht="15.75" customHeight="1">
      <c r="C662" s="155"/>
      <c r="E662" s="124"/>
      <c r="F662" s="124"/>
      <c r="G662" s="124"/>
      <c r="H662" s="124"/>
      <c r="J662" s="124"/>
      <c r="K662" s="124"/>
    </row>
    <row r="663" ht="15.75" customHeight="1">
      <c r="C663" s="155"/>
      <c r="E663" s="124"/>
      <c r="F663" s="124"/>
      <c r="G663" s="124"/>
      <c r="H663" s="124"/>
      <c r="J663" s="124"/>
      <c r="K663" s="124"/>
    </row>
    <row r="664" ht="15.75" customHeight="1">
      <c r="C664" s="155"/>
      <c r="E664" s="124"/>
      <c r="F664" s="124"/>
      <c r="G664" s="124"/>
      <c r="H664" s="124"/>
      <c r="J664" s="124"/>
      <c r="K664" s="124"/>
    </row>
    <row r="665" ht="15.75" customHeight="1">
      <c r="C665" s="155"/>
      <c r="E665" s="124"/>
      <c r="F665" s="124"/>
      <c r="G665" s="124"/>
      <c r="H665" s="124"/>
      <c r="J665" s="124"/>
      <c r="K665" s="124"/>
    </row>
    <row r="666" ht="15.75" customHeight="1">
      <c r="C666" s="155"/>
      <c r="E666" s="124"/>
      <c r="F666" s="124"/>
      <c r="G666" s="124"/>
      <c r="H666" s="124"/>
      <c r="J666" s="124"/>
      <c r="K666" s="124"/>
    </row>
    <row r="667" ht="15.75" customHeight="1">
      <c r="C667" s="155"/>
      <c r="E667" s="124"/>
      <c r="F667" s="124"/>
      <c r="G667" s="124"/>
      <c r="H667" s="124"/>
      <c r="J667" s="124"/>
      <c r="K667" s="124"/>
    </row>
    <row r="668" ht="15.75" customHeight="1">
      <c r="C668" s="155"/>
      <c r="E668" s="124"/>
      <c r="F668" s="124"/>
      <c r="G668" s="124"/>
      <c r="H668" s="124"/>
      <c r="J668" s="124"/>
      <c r="K668" s="124"/>
    </row>
    <row r="669" ht="15.75" customHeight="1">
      <c r="C669" s="155"/>
      <c r="E669" s="124"/>
      <c r="F669" s="124"/>
      <c r="G669" s="124"/>
      <c r="H669" s="124"/>
      <c r="J669" s="124"/>
      <c r="K669" s="124"/>
    </row>
    <row r="670" ht="15.75" customHeight="1">
      <c r="C670" s="155"/>
      <c r="E670" s="124"/>
      <c r="F670" s="124"/>
      <c r="G670" s="124"/>
      <c r="H670" s="124"/>
      <c r="J670" s="124"/>
      <c r="K670" s="124"/>
    </row>
    <row r="671" ht="15.75" customHeight="1">
      <c r="C671" s="155"/>
      <c r="E671" s="124"/>
      <c r="F671" s="124"/>
      <c r="G671" s="124"/>
      <c r="H671" s="124"/>
      <c r="J671" s="124"/>
      <c r="K671" s="124"/>
    </row>
    <row r="672" ht="15.75" customHeight="1">
      <c r="C672" s="155"/>
      <c r="E672" s="124"/>
      <c r="F672" s="124"/>
      <c r="G672" s="124"/>
      <c r="H672" s="124"/>
      <c r="J672" s="124"/>
      <c r="K672" s="124"/>
    </row>
    <row r="673" ht="15.75" customHeight="1">
      <c r="C673" s="155"/>
      <c r="E673" s="124"/>
      <c r="F673" s="124"/>
      <c r="G673" s="124"/>
      <c r="H673" s="124"/>
      <c r="J673" s="124"/>
      <c r="K673" s="124"/>
    </row>
    <row r="674" ht="15.75" customHeight="1">
      <c r="C674" s="155"/>
      <c r="E674" s="124"/>
      <c r="F674" s="124"/>
      <c r="G674" s="124"/>
      <c r="H674" s="124"/>
      <c r="J674" s="124"/>
      <c r="K674" s="124"/>
    </row>
    <row r="675" ht="15.75" customHeight="1">
      <c r="C675" s="155"/>
      <c r="E675" s="124"/>
      <c r="F675" s="124"/>
      <c r="G675" s="124"/>
      <c r="H675" s="124"/>
      <c r="J675" s="124"/>
      <c r="K675" s="124"/>
    </row>
    <row r="676" ht="15.75" customHeight="1">
      <c r="C676" s="155"/>
      <c r="E676" s="124"/>
      <c r="F676" s="124"/>
      <c r="G676" s="124"/>
      <c r="H676" s="124"/>
      <c r="J676" s="124"/>
      <c r="K676" s="124"/>
    </row>
    <row r="677" ht="15.75" customHeight="1">
      <c r="C677" s="155"/>
      <c r="E677" s="124"/>
      <c r="F677" s="124"/>
      <c r="G677" s="124"/>
      <c r="H677" s="124"/>
      <c r="J677" s="124"/>
      <c r="K677" s="124"/>
    </row>
    <row r="678" ht="15.75" customHeight="1">
      <c r="C678" s="155"/>
      <c r="E678" s="124"/>
      <c r="F678" s="124"/>
      <c r="G678" s="124"/>
      <c r="H678" s="124"/>
      <c r="J678" s="124"/>
      <c r="K678" s="124"/>
    </row>
    <row r="679" ht="15.75" customHeight="1">
      <c r="C679" s="155"/>
      <c r="E679" s="124"/>
      <c r="F679" s="124"/>
      <c r="G679" s="124"/>
      <c r="H679" s="124"/>
      <c r="J679" s="124"/>
      <c r="K679" s="124"/>
    </row>
    <row r="680" ht="15.75" customHeight="1">
      <c r="C680" s="155"/>
      <c r="E680" s="124"/>
      <c r="F680" s="124"/>
      <c r="G680" s="124"/>
      <c r="H680" s="124"/>
      <c r="J680" s="124"/>
      <c r="K680" s="124"/>
    </row>
    <row r="681" ht="15.75" customHeight="1">
      <c r="C681" s="155"/>
      <c r="E681" s="124"/>
      <c r="F681" s="124"/>
      <c r="G681" s="124"/>
      <c r="H681" s="124"/>
      <c r="J681" s="124"/>
      <c r="K681" s="124"/>
    </row>
    <row r="682" ht="15.75" customHeight="1">
      <c r="C682" s="155"/>
      <c r="E682" s="124"/>
      <c r="F682" s="124"/>
      <c r="G682" s="124"/>
      <c r="H682" s="124"/>
      <c r="J682" s="124"/>
      <c r="K682" s="124"/>
    </row>
    <row r="683" ht="15.75" customHeight="1">
      <c r="C683" s="155"/>
      <c r="E683" s="124"/>
      <c r="F683" s="124"/>
      <c r="G683" s="124"/>
      <c r="H683" s="124"/>
      <c r="J683" s="124"/>
      <c r="K683" s="124"/>
    </row>
    <row r="684" ht="15.75" customHeight="1">
      <c r="C684" s="155"/>
      <c r="E684" s="124"/>
      <c r="F684" s="124"/>
      <c r="G684" s="124"/>
      <c r="H684" s="124"/>
      <c r="J684" s="124"/>
      <c r="K684" s="124"/>
    </row>
    <row r="685" ht="15.75" customHeight="1">
      <c r="C685" s="155"/>
      <c r="E685" s="124"/>
      <c r="F685" s="124"/>
      <c r="G685" s="124"/>
      <c r="H685" s="124"/>
      <c r="J685" s="124"/>
      <c r="K685" s="124"/>
    </row>
    <row r="686" ht="15.75" customHeight="1">
      <c r="C686" s="155"/>
      <c r="E686" s="124"/>
      <c r="F686" s="124"/>
      <c r="G686" s="124"/>
      <c r="H686" s="124"/>
      <c r="J686" s="124"/>
      <c r="K686" s="124"/>
    </row>
    <row r="687" ht="15.75" customHeight="1">
      <c r="C687" s="155"/>
      <c r="E687" s="124"/>
      <c r="F687" s="124"/>
      <c r="G687" s="124"/>
      <c r="H687" s="124"/>
      <c r="J687" s="124"/>
      <c r="K687" s="124"/>
    </row>
    <row r="688" ht="15.75" customHeight="1">
      <c r="C688" s="155"/>
      <c r="E688" s="124"/>
      <c r="F688" s="124"/>
      <c r="G688" s="124"/>
      <c r="H688" s="124"/>
      <c r="J688" s="124"/>
      <c r="K688" s="124"/>
    </row>
    <row r="689" ht="15.75" customHeight="1">
      <c r="C689" s="155"/>
      <c r="E689" s="124"/>
      <c r="F689" s="124"/>
      <c r="G689" s="124"/>
      <c r="H689" s="124"/>
      <c r="J689" s="124"/>
      <c r="K689" s="124"/>
    </row>
    <row r="690" ht="15.75" customHeight="1">
      <c r="C690" s="155"/>
      <c r="E690" s="124"/>
      <c r="F690" s="124"/>
      <c r="G690" s="124"/>
      <c r="H690" s="124"/>
      <c r="J690" s="124"/>
      <c r="K690" s="124"/>
    </row>
    <row r="691" ht="15.75" customHeight="1">
      <c r="C691" s="155"/>
      <c r="E691" s="124"/>
      <c r="F691" s="124"/>
      <c r="G691" s="124"/>
      <c r="H691" s="124"/>
      <c r="J691" s="124"/>
      <c r="K691" s="124"/>
    </row>
    <row r="692" ht="15.75" customHeight="1">
      <c r="C692" s="155"/>
      <c r="E692" s="124"/>
      <c r="F692" s="124"/>
      <c r="G692" s="124"/>
      <c r="H692" s="124"/>
      <c r="J692" s="124"/>
      <c r="K692" s="124"/>
    </row>
    <row r="693" ht="15.75" customHeight="1">
      <c r="C693" s="155"/>
      <c r="E693" s="124"/>
      <c r="F693" s="124"/>
      <c r="G693" s="124"/>
      <c r="H693" s="124"/>
      <c r="J693" s="124"/>
      <c r="K693" s="124"/>
    </row>
    <row r="694" ht="15.75" customHeight="1">
      <c r="C694" s="155"/>
      <c r="E694" s="124"/>
      <c r="F694" s="124"/>
      <c r="G694" s="124"/>
      <c r="H694" s="124"/>
      <c r="J694" s="124"/>
      <c r="K694" s="124"/>
    </row>
    <row r="695" ht="15.75" customHeight="1">
      <c r="C695" s="155"/>
      <c r="E695" s="124"/>
      <c r="F695" s="124"/>
      <c r="G695" s="124"/>
      <c r="H695" s="124"/>
      <c r="J695" s="124"/>
      <c r="K695" s="124"/>
    </row>
    <row r="696" ht="15.75" customHeight="1">
      <c r="C696" s="155"/>
      <c r="E696" s="124"/>
      <c r="F696" s="124"/>
      <c r="G696" s="124"/>
      <c r="H696" s="124"/>
      <c r="J696" s="124"/>
      <c r="K696" s="124"/>
    </row>
    <row r="697" ht="15.75" customHeight="1">
      <c r="C697" s="155"/>
      <c r="E697" s="124"/>
      <c r="F697" s="124"/>
      <c r="G697" s="124"/>
      <c r="H697" s="124"/>
      <c r="J697" s="124"/>
      <c r="K697" s="124"/>
    </row>
    <row r="698" ht="15.75" customHeight="1">
      <c r="C698" s="155"/>
      <c r="E698" s="124"/>
      <c r="F698" s="124"/>
      <c r="G698" s="124"/>
      <c r="H698" s="124"/>
      <c r="J698" s="124"/>
      <c r="K698" s="124"/>
    </row>
    <row r="699" ht="15.75" customHeight="1">
      <c r="C699" s="155"/>
      <c r="E699" s="124"/>
      <c r="F699" s="124"/>
      <c r="G699" s="124"/>
      <c r="H699" s="124"/>
      <c r="J699" s="124"/>
      <c r="K699" s="124"/>
    </row>
    <row r="700" ht="15.75" customHeight="1">
      <c r="C700" s="155"/>
      <c r="E700" s="124"/>
      <c r="F700" s="124"/>
      <c r="G700" s="124"/>
      <c r="H700" s="124"/>
      <c r="J700" s="124"/>
      <c r="K700" s="124"/>
    </row>
    <row r="701" ht="15.75" customHeight="1">
      <c r="C701" s="155"/>
      <c r="E701" s="124"/>
      <c r="F701" s="124"/>
      <c r="G701" s="124"/>
      <c r="H701" s="124"/>
      <c r="J701" s="124"/>
      <c r="K701" s="124"/>
    </row>
    <row r="702" ht="15.75" customHeight="1">
      <c r="C702" s="155"/>
      <c r="E702" s="124"/>
      <c r="F702" s="124"/>
      <c r="G702" s="124"/>
      <c r="H702" s="124"/>
      <c r="J702" s="124"/>
      <c r="K702" s="124"/>
    </row>
    <row r="703" ht="15.75" customHeight="1">
      <c r="C703" s="155"/>
      <c r="E703" s="124"/>
      <c r="F703" s="124"/>
      <c r="G703" s="124"/>
      <c r="H703" s="124"/>
      <c r="J703" s="124"/>
      <c r="K703" s="124"/>
    </row>
    <row r="704" ht="15.75" customHeight="1">
      <c r="C704" s="155"/>
      <c r="E704" s="124"/>
      <c r="F704" s="124"/>
      <c r="G704" s="124"/>
      <c r="H704" s="124"/>
      <c r="J704" s="124"/>
      <c r="K704" s="124"/>
    </row>
    <row r="705" ht="15.75" customHeight="1">
      <c r="C705" s="155"/>
      <c r="E705" s="124"/>
      <c r="F705" s="124"/>
      <c r="G705" s="124"/>
      <c r="H705" s="124"/>
      <c r="J705" s="124"/>
      <c r="K705" s="124"/>
    </row>
    <row r="706" ht="15.75" customHeight="1">
      <c r="C706" s="155"/>
      <c r="E706" s="124"/>
      <c r="F706" s="124"/>
      <c r="G706" s="124"/>
      <c r="H706" s="124"/>
      <c r="J706" s="124"/>
      <c r="K706" s="124"/>
    </row>
    <row r="707" ht="15.75" customHeight="1">
      <c r="C707" s="155"/>
      <c r="E707" s="124"/>
      <c r="F707" s="124"/>
      <c r="G707" s="124"/>
      <c r="H707" s="124"/>
      <c r="J707" s="124"/>
      <c r="K707" s="124"/>
    </row>
    <row r="708" ht="15.75" customHeight="1">
      <c r="C708" s="155"/>
      <c r="E708" s="124"/>
      <c r="F708" s="124"/>
      <c r="G708" s="124"/>
      <c r="H708" s="124"/>
      <c r="J708" s="124"/>
      <c r="K708" s="124"/>
    </row>
    <row r="709" ht="15.75" customHeight="1">
      <c r="C709" s="155"/>
      <c r="E709" s="124"/>
      <c r="F709" s="124"/>
      <c r="G709" s="124"/>
      <c r="H709" s="124"/>
      <c r="J709" s="124"/>
      <c r="K709" s="124"/>
    </row>
    <row r="710" ht="15.75" customHeight="1">
      <c r="C710" s="155"/>
      <c r="E710" s="124"/>
      <c r="F710" s="124"/>
      <c r="G710" s="124"/>
      <c r="H710" s="124"/>
      <c r="J710" s="124"/>
      <c r="K710" s="124"/>
    </row>
    <row r="711" ht="15.75" customHeight="1">
      <c r="C711" s="155"/>
      <c r="E711" s="124"/>
      <c r="F711" s="124"/>
      <c r="G711" s="124"/>
      <c r="H711" s="124"/>
      <c r="J711" s="124"/>
      <c r="K711" s="124"/>
    </row>
    <row r="712" ht="15.75" customHeight="1">
      <c r="C712" s="155"/>
      <c r="E712" s="124"/>
      <c r="F712" s="124"/>
      <c r="G712" s="124"/>
      <c r="H712" s="124"/>
      <c r="J712" s="124"/>
      <c r="K712" s="124"/>
    </row>
    <row r="713" ht="15.75" customHeight="1">
      <c r="C713" s="155"/>
      <c r="E713" s="124"/>
      <c r="F713" s="124"/>
      <c r="G713" s="124"/>
      <c r="H713" s="124"/>
      <c r="J713" s="124"/>
      <c r="K713" s="124"/>
    </row>
    <row r="714" ht="15.75" customHeight="1">
      <c r="C714" s="155"/>
      <c r="E714" s="124"/>
      <c r="F714" s="124"/>
      <c r="G714" s="124"/>
      <c r="H714" s="124"/>
      <c r="J714" s="124"/>
      <c r="K714" s="124"/>
    </row>
    <row r="715" ht="15.75" customHeight="1">
      <c r="C715" s="155"/>
      <c r="E715" s="124"/>
      <c r="F715" s="124"/>
      <c r="G715" s="124"/>
      <c r="H715" s="124"/>
      <c r="J715" s="124"/>
      <c r="K715" s="124"/>
    </row>
    <row r="716" ht="15.75" customHeight="1">
      <c r="C716" s="155"/>
      <c r="E716" s="124"/>
      <c r="F716" s="124"/>
      <c r="G716" s="124"/>
      <c r="H716" s="124"/>
      <c r="J716" s="124"/>
      <c r="K716" s="124"/>
    </row>
    <row r="717" ht="15.75" customHeight="1">
      <c r="C717" s="155"/>
      <c r="E717" s="124"/>
      <c r="F717" s="124"/>
      <c r="G717" s="124"/>
      <c r="H717" s="124"/>
      <c r="J717" s="124"/>
      <c r="K717" s="124"/>
    </row>
    <row r="718" ht="15.75" customHeight="1">
      <c r="C718" s="155"/>
      <c r="E718" s="124"/>
      <c r="F718" s="124"/>
      <c r="G718" s="124"/>
      <c r="H718" s="124"/>
      <c r="J718" s="124"/>
      <c r="K718" s="124"/>
    </row>
    <row r="719" ht="15.75" customHeight="1">
      <c r="C719" s="155"/>
      <c r="E719" s="124"/>
      <c r="F719" s="124"/>
      <c r="G719" s="124"/>
      <c r="H719" s="124"/>
      <c r="J719" s="124"/>
      <c r="K719" s="124"/>
    </row>
    <row r="720" ht="15.75" customHeight="1">
      <c r="C720" s="155"/>
      <c r="E720" s="124"/>
      <c r="F720" s="124"/>
      <c r="G720" s="124"/>
      <c r="H720" s="124"/>
      <c r="J720" s="124"/>
      <c r="K720" s="124"/>
    </row>
    <row r="721" ht="15.75" customHeight="1">
      <c r="C721" s="155"/>
      <c r="E721" s="124"/>
      <c r="F721" s="124"/>
      <c r="G721" s="124"/>
      <c r="H721" s="124"/>
      <c r="J721" s="124"/>
      <c r="K721" s="124"/>
    </row>
    <row r="722" ht="15.75" customHeight="1">
      <c r="C722" s="155"/>
      <c r="E722" s="124"/>
      <c r="F722" s="124"/>
      <c r="G722" s="124"/>
      <c r="H722" s="124"/>
      <c r="J722" s="124"/>
      <c r="K722" s="124"/>
    </row>
    <row r="723" ht="15.75" customHeight="1">
      <c r="C723" s="155"/>
      <c r="E723" s="124"/>
      <c r="F723" s="124"/>
      <c r="G723" s="124"/>
      <c r="H723" s="124"/>
      <c r="J723" s="124"/>
      <c r="K723" s="124"/>
    </row>
    <row r="724" ht="15.75" customHeight="1">
      <c r="C724" s="155"/>
      <c r="E724" s="124"/>
      <c r="F724" s="124"/>
      <c r="G724" s="124"/>
      <c r="H724" s="124"/>
      <c r="J724" s="124"/>
      <c r="K724" s="124"/>
    </row>
    <row r="725" ht="15.75" customHeight="1">
      <c r="C725" s="155"/>
      <c r="E725" s="124"/>
      <c r="F725" s="124"/>
      <c r="G725" s="124"/>
      <c r="H725" s="124"/>
      <c r="J725" s="124"/>
      <c r="K725" s="124"/>
    </row>
    <row r="726" ht="15.75" customHeight="1">
      <c r="C726" s="155"/>
      <c r="E726" s="124"/>
      <c r="F726" s="124"/>
      <c r="G726" s="124"/>
      <c r="H726" s="124"/>
      <c r="J726" s="124"/>
      <c r="K726" s="124"/>
    </row>
    <row r="727" ht="15.75" customHeight="1">
      <c r="C727" s="155"/>
      <c r="E727" s="124"/>
      <c r="F727" s="124"/>
      <c r="G727" s="124"/>
      <c r="H727" s="124"/>
      <c r="J727" s="124"/>
      <c r="K727" s="124"/>
    </row>
    <row r="728" ht="15.75" customHeight="1">
      <c r="C728" s="155"/>
      <c r="E728" s="124"/>
      <c r="F728" s="124"/>
      <c r="G728" s="124"/>
      <c r="H728" s="124"/>
      <c r="J728" s="124"/>
      <c r="K728" s="124"/>
    </row>
    <row r="729" ht="15.75" customHeight="1">
      <c r="C729" s="155"/>
      <c r="E729" s="124"/>
      <c r="F729" s="124"/>
      <c r="G729" s="124"/>
      <c r="H729" s="124"/>
      <c r="J729" s="124"/>
      <c r="K729" s="124"/>
    </row>
    <row r="730" ht="15.75" customHeight="1">
      <c r="C730" s="155"/>
      <c r="E730" s="124"/>
      <c r="F730" s="124"/>
      <c r="G730" s="124"/>
      <c r="H730" s="124"/>
      <c r="J730" s="124"/>
      <c r="K730" s="124"/>
    </row>
    <row r="731" ht="15.75" customHeight="1">
      <c r="C731" s="155"/>
      <c r="E731" s="124"/>
      <c r="F731" s="124"/>
      <c r="G731" s="124"/>
      <c r="H731" s="124"/>
      <c r="J731" s="124"/>
      <c r="K731" s="124"/>
    </row>
    <row r="732" ht="15.75" customHeight="1">
      <c r="C732" s="155"/>
      <c r="E732" s="124"/>
      <c r="F732" s="124"/>
      <c r="G732" s="124"/>
      <c r="H732" s="124"/>
      <c r="J732" s="124"/>
      <c r="K732" s="124"/>
    </row>
    <row r="733" ht="15.75" customHeight="1">
      <c r="C733" s="155"/>
      <c r="E733" s="124"/>
      <c r="F733" s="124"/>
      <c r="G733" s="124"/>
      <c r="H733" s="124"/>
      <c r="J733" s="124"/>
      <c r="K733" s="124"/>
    </row>
    <row r="734" ht="15.75" customHeight="1">
      <c r="C734" s="155"/>
      <c r="E734" s="124"/>
      <c r="F734" s="124"/>
      <c r="G734" s="124"/>
      <c r="H734" s="124"/>
      <c r="J734" s="124"/>
      <c r="K734" s="124"/>
    </row>
    <row r="735" ht="15.75" customHeight="1">
      <c r="C735" s="155"/>
      <c r="E735" s="124"/>
      <c r="F735" s="124"/>
      <c r="G735" s="124"/>
      <c r="H735" s="124"/>
      <c r="J735" s="124"/>
      <c r="K735" s="124"/>
    </row>
    <row r="736" ht="15.75" customHeight="1">
      <c r="C736" s="155"/>
      <c r="E736" s="124"/>
      <c r="F736" s="124"/>
      <c r="G736" s="124"/>
      <c r="H736" s="124"/>
      <c r="J736" s="124"/>
      <c r="K736" s="124"/>
    </row>
    <row r="737" ht="15.75" customHeight="1">
      <c r="C737" s="155"/>
      <c r="E737" s="124"/>
      <c r="F737" s="124"/>
      <c r="G737" s="124"/>
      <c r="H737" s="124"/>
      <c r="J737" s="124"/>
      <c r="K737" s="124"/>
    </row>
    <row r="738" ht="15.75" customHeight="1">
      <c r="C738" s="155"/>
      <c r="E738" s="124"/>
      <c r="F738" s="124"/>
      <c r="G738" s="124"/>
      <c r="H738" s="124"/>
      <c r="J738" s="124"/>
      <c r="K738" s="124"/>
    </row>
    <row r="739" ht="15.75" customHeight="1">
      <c r="C739" s="155"/>
      <c r="E739" s="124"/>
      <c r="F739" s="124"/>
      <c r="G739" s="124"/>
      <c r="H739" s="124"/>
      <c r="J739" s="124"/>
      <c r="K739" s="124"/>
    </row>
    <row r="740" ht="15.75" customHeight="1">
      <c r="C740" s="155"/>
      <c r="E740" s="124"/>
      <c r="F740" s="124"/>
      <c r="G740" s="124"/>
      <c r="H740" s="124"/>
      <c r="J740" s="124"/>
      <c r="K740" s="124"/>
    </row>
    <row r="741" ht="15.75" customHeight="1">
      <c r="C741" s="155"/>
      <c r="E741" s="124"/>
      <c r="F741" s="124"/>
      <c r="G741" s="124"/>
      <c r="H741" s="124"/>
      <c r="J741" s="124"/>
      <c r="K741" s="124"/>
    </row>
    <row r="742" ht="15.75" customHeight="1">
      <c r="C742" s="155"/>
      <c r="E742" s="124"/>
      <c r="F742" s="124"/>
      <c r="G742" s="124"/>
      <c r="H742" s="124"/>
      <c r="J742" s="124"/>
      <c r="K742" s="124"/>
    </row>
    <row r="743" ht="15.75" customHeight="1">
      <c r="C743" s="155"/>
      <c r="E743" s="124"/>
      <c r="F743" s="124"/>
      <c r="G743" s="124"/>
      <c r="H743" s="124"/>
      <c r="J743" s="124"/>
      <c r="K743" s="124"/>
    </row>
    <row r="744" ht="15.75" customHeight="1">
      <c r="C744" s="155"/>
      <c r="E744" s="124"/>
      <c r="F744" s="124"/>
      <c r="G744" s="124"/>
      <c r="H744" s="124"/>
      <c r="J744" s="124"/>
      <c r="K744" s="124"/>
    </row>
    <row r="745" ht="15.75" customHeight="1">
      <c r="C745" s="155"/>
      <c r="E745" s="124"/>
      <c r="F745" s="124"/>
      <c r="G745" s="124"/>
      <c r="H745" s="124"/>
      <c r="J745" s="124"/>
      <c r="K745" s="124"/>
    </row>
    <row r="746" ht="15.75" customHeight="1">
      <c r="C746" s="155"/>
      <c r="E746" s="124"/>
      <c r="F746" s="124"/>
      <c r="G746" s="124"/>
      <c r="H746" s="124"/>
      <c r="J746" s="124"/>
      <c r="K746" s="124"/>
    </row>
    <row r="747" ht="15.75" customHeight="1">
      <c r="C747" s="155"/>
      <c r="E747" s="124"/>
      <c r="F747" s="124"/>
      <c r="G747" s="124"/>
      <c r="H747" s="124"/>
      <c r="J747" s="124"/>
      <c r="K747" s="124"/>
    </row>
    <row r="748" ht="15.75" customHeight="1">
      <c r="C748" s="155"/>
      <c r="E748" s="124"/>
      <c r="F748" s="124"/>
      <c r="G748" s="124"/>
      <c r="H748" s="124"/>
      <c r="J748" s="124"/>
      <c r="K748" s="124"/>
    </row>
    <row r="749" ht="15.75" customHeight="1">
      <c r="C749" s="155"/>
      <c r="E749" s="124"/>
      <c r="F749" s="124"/>
      <c r="G749" s="124"/>
      <c r="H749" s="124"/>
      <c r="J749" s="124"/>
      <c r="K749" s="124"/>
    </row>
    <row r="750" ht="15.75" customHeight="1">
      <c r="C750" s="155"/>
      <c r="E750" s="124"/>
      <c r="F750" s="124"/>
      <c r="G750" s="124"/>
      <c r="H750" s="124"/>
      <c r="J750" s="124"/>
      <c r="K750" s="124"/>
    </row>
    <row r="751" ht="15.75" customHeight="1">
      <c r="C751" s="155"/>
      <c r="E751" s="124"/>
      <c r="F751" s="124"/>
      <c r="G751" s="124"/>
      <c r="H751" s="124"/>
      <c r="J751" s="124"/>
      <c r="K751" s="124"/>
    </row>
    <row r="752" ht="15.75" customHeight="1">
      <c r="C752" s="155"/>
      <c r="E752" s="124"/>
      <c r="F752" s="124"/>
      <c r="G752" s="124"/>
      <c r="H752" s="124"/>
      <c r="J752" s="124"/>
      <c r="K752" s="124"/>
    </row>
    <row r="753" ht="15.75" customHeight="1">
      <c r="C753" s="155"/>
      <c r="E753" s="124"/>
      <c r="F753" s="124"/>
      <c r="G753" s="124"/>
      <c r="H753" s="124"/>
      <c r="J753" s="124"/>
      <c r="K753" s="124"/>
    </row>
    <row r="754" ht="15.75" customHeight="1">
      <c r="C754" s="155"/>
      <c r="E754" s="124"/>
      <c r="F754" s="124"/>
      <c r="G754" s="124"/>
      <c r="H754" s="124"/>
      <c r="J754" s="124"/>
      <c r="K754" s="124"/>
    </row>
    <row r="755" ht="15.75" customHeight="1">
      <c r="C755" s="155"/>
      <c r="E755" s="124"/>
      <c r="F755" s="124"/>
      <c r="G755" s="124"/>
      <c r="H755" s="124"/>
      <c r="J755" s="124"/>
      <c r="K755" s="124"/>
    </row>
    <row r="756" ht="15.75" customHeight="1">
      <c r="C756" s="155"/>
      <c r="E756" s="124"/>
      <c r="F756" s="124"/>
      <c r="G756" s="124"/>
      <c r="H756" s="124"/>
      <c r="J756" s="124"/>
      <c r="K756" s="124"/>
    </row>
    <row r="757" ht="15.75" customHeight="1">
      <c r="C757" s="155"/>
      <c r="E757" s="124"/>
      <c r="F757" s="124"/>
      <c r="G757" s="124"/>
      <c r="H757" s="124"/>
      <c r="J757" s="124"/>
      <c r="K757" s="124"/>
    </row>
    <row r="758" ht="15.75" customHeight="1">
      <c r="C758" s="155"/>
      <c r="E758" s="124"/>
      <c r="F758" s="124"/>
      <c r="G758" s="124"/>
      <c r="H758" s="124"/>
      <c r="J758" s="124"/>
      <c r="K758" s="124"/>
    </row>
    <row r="759" ht="15.75" customHeight="1">
      <c r="C759" s="155"/>
      <c r="E759" s="124"/>
      <c r="F759" s="124"/>
      <c r="G759" s="124"/>
      <c r="H759" s="124"/>
      <c r="J759" s="124"/>
      <c r="K759" s="124"/>
    </row>
    <row r="760" ht="15.75" customHeight="1">
      <c r="C760" s="155"/>
      <c r="E760" s="124"/>
      <c r="F760" s="124"/>
      <c r="G760" s="124"/>
      <c r="H760" s="124"/>
      <c r="J760" s="124"/>
      <c r="K760" s="124"/>
    </row>
    <row r="761" ht="15.75" customHeight="1">
      <c r="C761" s="155"/>
      <c r="E761" s="124"/>
      <c r="F761" s="124"/>
      <c r="G761" s="124"/>
      <c r="H761" s="124"/>
      <c r="J761" s="124"/>
      <c r="K761" s="124"/>
    </row>
    <row r="762" ht="15.75" customHeight="1">
      <c r="C762" s="155"/>
      <c r="E762" s="124"/>
      <c r="F762" s="124"/>
      <c r="G762" s="124"/>
      <c r="H762" s="124"/>
      <c r="J762" s="124"/>
      <c r="K762" s="124"/>
    </row>
    <row r="763" ht="15.75" customHeight="1">
      <c r="C763" s="155"/>
      <c r="E763" s="124"/>
      <c r="F763" s="124"/>
      <c r="G763" s="124"/>
      <c r="H763" s="124"/>
      <c r="J763" s="124"/>
      <c r="K763" s="124"/>
    </row>
    <row r="764" ht="15.75" customHeight="1">
      <c r="C764" s="155"/>
      <c r="E764" s="124"/>
      <c r="F764" s="124"/>
      <c r="G764" s="124"/>
      <c r="H764" s="124"/>
      <c r="J764" s="124"/>
      <c r="K764" s="124"/>
    </row>
    <row r="765" ht="15.75" customHeight="1">
      <c r="C765" s="155"/>
      <c r="E765" s="124"/>
      <c r="F765" s="124"/>
      <c r="G765" s="124"/>
      <c r="H765" s="124"/>
      <c r="J765" s="124"/>
      <c r="K765" s="124"/>
    </row>
    <row r="766" ht="15.75" customHeight="1">
      <c r="C766" s="155"/>
      <c r="E766" s="124"/>
      <c r="F766" s="124"/>
      <c r="G766" s="124"/>
      <c r="H766" s="124"/>
      <c r="J766" s="124"/>
      <c r="K766" s="124"/>
    </row>
    <row r="767" ht="15.75" customHeight="1">
      <c r="C767" s="155"/>
      <c r="E767" s="124"/>
      <c r="F767" s="124"/>
      <c r="G767" s="124"/>
      <c r="H767" s="124"/>
      <c r="J767" s="124"/>
      <c r="K767" s="124"/>
    </row>
    <row r="768" ht="15.75" customHeight="1">
      <c r="C768" s="155"/>
      <c r="E768" s="124"/>
      <c r="F768" s="124"/>
      <c r="G768" s="124"/>
      <c r="H768" s="124"/>
      <c r="J768" s="124"/>
      <c r="K768" s="124"/>
    </row>
    <row r="769" ht="15.75" customHeight="1">
      <c r="C769" s="155"/>
      <c r="E769" s="124"/>
      <c r="F769" s="124"/>
      <c r="G769" s="124"/>
      <c r="H769" s="124"/>
      <c r="J769" s="124"/>
      <c r="K769" s="124"/>
    </row>
    <row r="770" ht="15.75" customHeight="1">
      <c r="C770" s="155"/>
      <c r="E770" s="124"/>
      <c r="F770" s="124"/>
      <c r="G770" s="124"/>
      <c r="H770" s="124"/>
      <c r="J770" s="124"/>
      <c r="K770" s="124"/>
    </row>
    <row r="771" ht="15.75" customHeight="1">
      <c r="C771" s="155"/>
      <c r="E771" s="124"/>
      <c r="F771" s="124"/>
      <c r="G771" s="124"/>
      <c r="H771" s="124"/>
      <c r="J771" s="124"/>
      <c r="K771" s="124"/>
    </row>
    <row r="772" ht="15.75" customHeight="1">
      <c r="C772" s="155"/>
      <c r="E772" s="124"/>
      <c r="F772" s="124"/>
      <c r="G772" s="124"/>
      <c r="H772" s="124"/>
      <c r="J772" s="124"/>
      <c r="K772" s="124"/>
    </row>
    <row r="773" ht="15.75" customHeight="1">
      <c r="C773" s="155"/>
      <c r="E773" s="124"/>
      <c r="F773" s="124"/>
      <c r="G773" s="124"/>
      <c r="H773" s="124"/>
      <c r="J773" s="124"/>
      <c r="K773" s="124"/>
    </row>
    <row r="774" ht="15.75" customHeight="1">
      <c r="C774" s="155"/>
      <c r="E774" s="124"/>
      <c r="F774" s="124"/>
      <c r="G774" s="124"/>
      <c r="H774" s="124"/>
      <c r="J774" s="124"/>
      <c r="K774" s="124"/>
    </row>
    <row r="775" ht="15.75" customHeight="1">
      <c r="C775" s="155"/>
      <c r="E775" s="124"/>
      <c r="F775" s="124"/>
      <c r="G775" s="124"/>
      <c r="H775" s="124"/>
      <c r="J775" s="124"/>
      <c r="K775" s="124"/>
    </row>
    <row r="776" ht="15.75" customHeight="1">
      <c r="C776" s="155"/>
      <c r="E776" s="124"/>
      <c r="F776" s="124"/>
      <c r="G776" s="124"/>
      <c r="H776" s="124"/>
      <c r="J776" s="124"/>
      <c r="K776" s="124"/>
    </row>
    <row r="777" ht="15.75" customHeight="1">
      <c r="C777" s="155"/>
      <c r="E777" s="124"/>
      <c r="F777" s="124"/>
      <c r="G777" s="124"/>
      <c r="H777" s="124"/>
      <c r="J777" s="124"/>
      <c r="K777" s="124"/>
    </row>
    <row r="778" ht="15.75" customHeight="1">
      <c r="C778" s="155"/>
      <c r="E778" s="124"/>
      <c r="F778" s="124"/>
      <c r="G778" s="124"/>
      <c r="H778" s="124"/>
      <c r="J778" s="124"/>
      <c r="K778" s="124"/>
    </row>
    <row r="779" ht="15.75" customHeight="1">
      <c r="C779" s="155"/>
      <c r="E779" s="124"/>
      <c r="F779" s="124"/>
      <c r="G779" s="124"/>
      <c r="H779" s="124"/>
      <c r="J779" s="124"/>
      <c r="K779" s="124"/>
    </row>
    <row r="780" ht="15.75" customHeight="1">
      <c r="C780" s="155"/>
      <c r="E780" s="124"/>
      <c r="F780" s="124"/>
      <c r="G780" s="124"/>
      <c r="H780" s="124"/>
      <c r="J780" s="124"/>
      <c r="K780" s="124"/>
    </row>
    <row r="781" ht="15.75" customHeight="1">
      <c r="C781" s="155"/>
      <c r="E781" s="124"/>
      <c r="F781" s="124"/>
      <c r="G781" s="124"/>
      <c r="H781" s="124"/>
      <c r="J781" s="124"/>
      <c r="K781" s="124"/>
    </row>
    <row r="782" ht="15.75" customHeight="1">
      <c r="C782" s="155"/>
      <c r="E782" s="124"/>
      <c r="F782" s="124"/>
      <c r="G782" s="124"/>
      <c r="H782" s="124"/>
      <c r="J782" s="124"/>
      <c r="K782" s="124"/>
    </row>
    <row r="783" ht="15.75" customHeight="1">
      <c r="C783" s="155"/>
      <c r="E783" s="124"/>
      <c r="F783" s="124"/>
      <c r="G783" s="124"/>
      <c r="H783" s="124"/>
      <c r="J783" s="124"/>
      <c r="K783" s="124"/>
    </row>
    <row r="784" ht="15.75" customHeight="1">
      <c r="C784" s="155"/>
      <c r="E784" s="124"/>
      <c r="F784" s="124"/>
      <c r="G784" s="124"/>
      <c r="H784" s="124"/>
      <c r="J784" s="124"/>
      <c r="K784" s="124"/>
    </row>
    <row r="785" ht="15.75" customHeight="1">
      <c r="C785" s="155"/>
      <c r="E785" s="124"/>
      <c r="F785" s="124"/>
      <c r="G785" s="124"/>
      <c r="H785" s="124"/>
      <c r="J785" s="124"/>
      <c r="K785" s="124"/>
    </row>
    <row r="786" ht="15.75" customHeight="1">
      <c r="C786" s="155"/>
      <c r="E786" s="124"/>
      <c r="F786" s="124"/>
      <c r="G786" s="124"/>
      <c r="H786" s="124"/>
      <c r="J786" s="124"/>
      <c r="K786" s="124"/>
    </row>
    <row r="787" ht="15.75" customHeight="1">
      <c r="C787" s="155"/>
      <c r="E787" s="124"/>
      <c r="F787" s="124"/>
      <c r="G787" s="124"/>
      <c r="H787" s="124"/>
      <c r="J787" s="124"/>
      <c r="K787" s="124"/>
    </row>
    <row r="788" ht="15.75" customHeight="1">
      <c r="C788" s="155"/>
      <c r="E788" s="124"/>
      <c r="F788" s="124"/>
      <c r="G788" s="124"/>
      <c r="H788" s="124"/>
      <c r="J788" s="124"/>
      <c r="K788" s="124"/>
    </row>
    <row r="789" ht="15.75" customHeight="1">
      <c r="C789" s="155"/>
      <c r="E789" s="124"/>
      <c r="F789" s="124"/>
      <c r="G789" s="124"/>
      <c r="H789" s="124"/>
      <c r="J789" s="124"/>
      <c r="K789" s="124"/>
    </row>
    <row r="790" ht="15.75" customHeight="1">
      <c r="C790" s="155"/>
      <c r="E790" s="124"/>
      <c r="F790" s="124"/>
      <c r="G790" s="124"/>
      <c r="H790" s="124"/>
      <c r="J790" s="124"/>
      <c r="K790" s="124"/>
    </row>
    <row r="791" ht="15.75" customHeight="1">
      <c r="C791" s="155"/>
      <c r="E791" s="124"/>
      <c r="F791" s="124"/>
      <c r="G791" s="124"/>
      <c r="H791" s="124"/>
      <c r="J791" s="124"/>
      <c r="K791" s="124"/>
    </row>
    <row r="792" ht="15.75" customHeight="1">
      <c r="C792" s="155"/>
      <c r="E792" s="124"/>
      <c r="F792" s="124"/>
      <c r="G792" s="124"/>
      <c r="H792" s="124"/>
      <c r="J792" s="124"/>
      <c r="K792" s="124"/>
    </row>
    <row r="793" ht="15.75" customHeight="1">
      <c r="C793" s="155"/>
      <c r="E793" s="124"/>
      <c r="F793" s="124"/>
      <c r="G793" s="124"/>
      <c r="H793" s="124"/>
      <c r="J793" s="124"/>
      <c r="K793" s="124"/>
    </row>
    <row r="794" ht="15.75" customHeight="1">
      <c r="C794" s="155"/>
      <c r="E794" s="124"/>
      <c r="F794" s="124"/>
      <c r="G794" s="124"/>
      <c r="H794" s="124"/>
      <c r="J794" s="124"/>
      <c r="K794" s="124"/>
    </row>
    <row r="795" ht="15.75" customHeight="1">
      <c r="C795" s="155"/>
      <c r="E795" s="124"/>
      <c r="F795" s="124"/>
      <c r="G795" s="124"/>
      <c r="H795" s="124"/>
      <c r="J795" s="124"/>
      <c r="K795" s="124"/>
    </row>
    <row r="796" ht="15.75" customHeight="1">
      <c r="C796" s="155"/>
      <c r="E796" s="124"/>
      <c r="F796" s="124"/>
      <c r="G796" s="124"/>
      <c r="H796" s="124"/>
      <c r="J796" s="124"/>
      <c r="K796" s="124"/>
    </row>
    <row r="797" ht="15.75" customHeight="1">
      <c r="C797" s="155"/>
      <c r="E797" s="124"/>
      <c r="F797" s="124"/>
      <c r="G797" s="124"/>
      <c r="H797" s="124"/>
      <c r="J797" s="124"/>
      <c r="K797" s="124"/>
    </row>
    <row r="798" ht="15.75" customHeight="1">
      <c r="C798" s="155"/>
      <c r="E798" s="124"/>
      <c r="F798" s="124"/>
      <c r="G798" s="124"/>
      <c r="H798" s="124"/>
      <c r="J798" s="124"/>
      <c r="K798" s="124"/>
    </row>
    <row r="799" ht="15.75" customHeight="1">
      <c r="C799" s="155"/>
      <c r="E799" s="124"/>
      <c r="F799" s="124"/>
      <c r="G799" s="124"/>
      <c r="H799" s="124"/>
      <c r="J799" s="124"/>
      <c r="K799" s="124"/>
    </row>
    <row r="800" ht="15.75" customHeight="1">
      <c r="C800" s="155"/>
      <c r="E800" s="124"/>
      <c r="F800" s="124"/>
      <c r="G800" s="124"/>
      <c r="H800" s="124"/>
      <c r="J800" s="124"/>
      <c r="K800" s="124"/>
    </row>
    <row r="801" ht="15.75" customHeight="1">
      <c r="C801" s="155"/>
      <c r="E801" s="124"/>
      <c r="F801" s="124"/>
      <c r="G801" s="124"/>
      <c r="H801" s="124"/>
      <c r="J801" s="124"/>
      <c r="K801" s="124"/>
    </row>
    <row r="802" ht="15.75" customHeight="1">
      <c r="C802" s="155"/>
      <c r="E802" s="124"/>
      <c r="F802" s="124"/>
      <c r="G802" s="124"/>
      <c r="H802" s="124"/>
      <c r="J802" s="124"/>
      <c r="K802" s="124"/>
    </row>
    <row r="803" ht="15.75" customHeight="1">
      <c r="C803" s="155"/>
      <c r="E803" s="124"/>
      <c r="F803" s="124"/>
      <c r="G803" s="124"/>
      <c r="H803" s="124"/>
      <c r="J803" s="124"/>
      <c r="K803" s="124"/>
    </row>
    <row r="804" ht="15.75" customHeight="1">
      <c r="C804" s="155"/>
      <c r="E804" s="124"/>
      <c r="F804" s="124"/>
      <c r="G804" s="124"/>
      <c r="H804" s="124"/>
      <c r="J804" s="124"/>
      <c r="K804" s="124"/>
    </row>
    <row r="805" ht="15.75" customHeight="1">
      <c r="C805" s="155"/>
      <c r="E805" s="124"/>
      <c r="F805" s="124"/>
      <c r="G805" s="124"/>
      <c r="H805" s="124"/>
      <c r="J805" s="124"/>
      <c r="K805" s="124"/>
    </row>
    <row r="806" ht="15.75" customHeight="1">
      <c r="C806" s="155"/>
      <c r="E806" s="124"/>
      <c r="F806" s="124"/>
      <c r="G806" s="124"/>
      <c r="H806" s="124"/>
      <c r="J806" s="124"/>
      <c r="K806" s="124"/>
    </row>
    <row r="807" ht="15.75" customHeight="1">
      <c r="C807" s="155"/>
      <c r="E807" s="124"/>
      <c r="F807" s="124"/>
      <c r="G807" s="124"/>
      <c r="H807" s="124"/>
      <c r="J807" s="124"/>
      <c r="K807" s="124"/>
    </row>
    <row r="808" ht="15.75" customHeight="1">
      <c r="C808" s="155"/>
      <c r="E808" s="124"/>
      <c r="F808" s="124"/>
      <c r="G808" s="124"/>
      <c r="H808" s="124"/>
      <c r="J808" s="124"/>
      <c r="K808" s="124"/>
    </row>
    <row r="809" ht="15.75" customHeight="1">
      <c r="C809" s="155"/>
      <c r="E809" s="124"/>
      <c r="F809" s="124"/>
      <c r="G809" s="124"/>
      <c r="H809" s="124"/>
      <c r="J809" s="124"/>
      <c r="K809" s="124"/>
    </row>
    <row r="810" ht="15.75" customHeight="1">
      <c r="C810" s="155"/>
      <c r="E810" s="124"/>
      <c r="F810" s="124"/>
      <c r="G810" s="124"/>
      <c r="H810" s="124"/>
      <c r="J810" s="124"/>
      <c r="K810" s="124"/>
    </row>
    <row r="811" ht="15.75" customHeight="1">
      <c r="C811" s="155"/>
      <c r="E811" s="124"/>
      <c r="F811" s="124"/>
      <c r="G811" s="124"/>
      <c r="H811" s="124"/>
      <c r="J811" s="124"/>
      <c r="K811" s="124"/>
    </row>
    <row r="812" ht="15.75" customHeight="1">
      <c r="C812" s="155"/>
      <c r="E812" s="124"/>
      <c r="F812" s="124"/>
      <c r="G812" s="124"/>
      <c r="H812" s="124"/>
      <c r="J812" s="124"/>
      <c r="K812" s="124"/>
    </row>
    <row r="813" ht="15.75" customHeight="1">
      <c r="C813" s="155"/>
      <c r="E813" s="124"/>
      <c r="F813" s="124"/>
      <c r="G813" s="124"/>
      <c r="H813" s="124"/>
      <c r="J813" s="124"/>
      <c r="K813" s="124"/>
    </row>
    <row r="814" ht="15.75" customHeight="1">
      <c r="C814" s="155"/>
      <c r="E814" s="124"/>
      <c r="F814" s="124"/>
      <c r="G814" s="124"/>
      <c r="H814" s="124"/>
      <c r="J814" s="124"/>
      <c r="K814" s="124"/>
    </row>
    <row r="815" ht="15.75" customHeight="1">
      <c r="C815" s="155"/>
      <c r="E815" s="124"/>
      <c r="F815" s="124"/>
      <c r="G815" s="124"/>
      <c r="H815" s="124"/>
      <c r="J815" s="124"/>
      <c r="K815" s="124"/>
    </row>
    <row r="816" ht="15.75" customHeight="1">
      <c r="C816" s="155"/>
      <c r="E816" s="124"/>
      <c r="F816" s="124"/>
      <c r="G816" s="124"/>
      <c r="H816" s="124"/>
      <c r="J816" s="124"/>
      <c r="K816" s="124"/>
    </row>
    <row r="817" ht="15.75" customHeight="1">
      <c r="C817" s="155"/>
      <c r="E817" s="124"/>
      <c r="F817" s="124"/>
      <c r="G817" s="124"/>
      <c r="H817" s="124"/>
      <c r="J817" s="124"/>
      <c r="K817" s="124"/>
    </row>
    <row r="818" ht="15.75" customHeight="1">
      <c r="C818" s="155"/>
      <c r="E818" s="124"/>
      <c r="F818" s="124"/>
      <c r="G818" s="124"/>
      <c r="H818" s="124"/>
      <c r="J818" s="124"/>
      <c r="K818" s="124"/>
    </row>
    <row r="819" ht="15.75" customHeight="1">
      <c r="C819" s="155"/>
      <c r="E819" s="124"/>
      <c r="F819" s="124"/>
      <c r="G819" s="124"/>
      <c r="H819" s="124"/>
      <c r="J819" s="124"/>
      <c r="K819" s="124"/>
    </row>
    <row r="820" ht="15.75" customHeight="1">
      <c r="C820" s="155"/>
      <c r="E820" s="124"/>
      <c r="F820" s="124"/>
      <c r="G820" s="124"/>
      <c r="H820" s="124"/>
      <c r="J820" s="124"/>
      <c r="K820" s="124"/>
    </row>
    <row r="821" ht="15.75" customHeight="1">
      <c r="C821" s="155"/>
      <c r="E821" s="124"/>
      <c r="F821" s="124"/>
      <c r="G821" s="124"/>
      <c r="H821" s="124"/>
      <c r="J821" s="124"/>
      <c r="K821" s="124"/>
    </row>
    <row r="822" ht="15.75" customHeight="1">
      <c r="C822" s="155"/>
      <c r="E822" s="124"/>
      <c r="F822" s="124"/>
      <c r="G822" s="124"/>
      <c r="H822" s="124"/>
      <c r="J822" s="124"/>
      <c r="K822" s="124"/>
    </row>
    <row r="823" ht="15.75" customHeight="1">
      <c r="C823" s="155"/>
      <c r="E823" s="124"/>
      <c r="F823" s="124"/>
      <c r="G823" s="124"/>
      <c r="H823" s="124"/>
      <c r="J823" s="124"/>
      <c r="K823" s="124"/>
    </row>
    <row r="824" ht="15.75" customHeight="1">
      <c r="C824" s="155"/>
      <c r="E824" s="124"/>
      <c r="F824" s="124"/>
      <c r="G824" s="124"/>
      <c r="H824" s="124"/>
      <c r="J824" s="124"/>
      <c r="K824" s="124"/>
    </row>
    <row r="825" ht="15.75" customHeight="1">
      <c r="C825" s="155"/>
      <c r="E825" s="124"/>
      <c r="F825" s="124"/>
      <c r="G825" s="124"/>
      <c r="H825" s="124"/>
      <c r="J825" s="124"/>
      <c r="K825" s="124"/>
    </row>
    <row r="826" ht="15.75" customHeight="1">
      <c r="C826" s="155"/>
      <c r="E826" s="124"/>
      <c r="F826" s="124"/>
      <c r="G826" s="124"/>
      <c r="H826" s="124"/>
      <c r="J826" s="124"/>
      <c r="K826" s="124"/>
    </row>
    <row r="827" ht="15.75" customHeight="1">
      <c r="C827" s="155"/>
      <c r="E827" s="124"/>
      <c r="F827" s="124"/>
      <c r="G827" s="124"/>
      <c r="H827" s="124"/>
      <c r="J827" s="124"/>
      <c r="K827" s="124"/>
    </row>
    <row r="828" ht="15.75" customHeight="1">
      <c r="C828" s="155"/>
      <c r="E828" s="124"/>
      <c r="F828" s="124"/>
      <c r="G828" s="124"/>
      <c r="H828" s="124"/>
      <c r="J828" s="124"/>
      <c r="K828" s="124"/>
    </row>
    <row r="829" ht="15.75" customHeight="1">
      <c r="C829" s="155"/>
      <c r="E829" s="124"/>
      <c r="F829" s="124"/>
      <c r="G829" s="124"/>
      <c r="H829" s="124"/>
      <c r="J829" s="124"/>
      <c r="K829" s="124"/>
    </row>
    <row r="830" ht="15.75" customHeight="1">
      <c r="C830" s="155"/>
      <c r="E830" s="124"/>
      <c r="F830" s="124"/>
      <c r="G830" s="124"/>
      <c r="H830" s="124"/>
      <c r="J830" s="124"/>
      <c r="K830" s="124"/>
    </row>
    <row r="831" ht="15.75" customHeight="1">
      <c r="C831" s="155"/>
      <c r="E831" s="124"/>
      <c r="F831" s="124"/>
      <c r="G831" s="124"/>
      <c r="H831" s="124"/>
      <c r="J831" s="124"/>
      <c r="K831" s="124"/>
    </row>
    <row r="832" ht="15.75" customHeight="1">
      <c r="C832" s="155"/>
      <c r="E832" s="124"/>
      <c r="F832" s="124"/>
      <c r="G832" s="124"/>
      <c r="H832" s="124"/>
      <c r="J832" s="124"/>
      <c r="K832" s="124"/>
    </row>
    <row r="833" ht="15.75" customHeight="1">
      <c r="C833" s="155"/>
      <c r="E833" s="124"/>
      <c r="F833" s="124"/>
      <c r="G833" s="124"/>
      <c r="H833" s="124"/>
      <c r="J833" s="124"/>
      <c r="K833" s="124"/>
    </row>
    <row r="834" ht="15.75" customHeight="1">
      <c r="C834" s="155"/>
      <c r="E834" s="124"/>
      <c r="F834" s="124"/>
      <c r="G834" s="124"/>
      <c r="H834" s="124"/>
      <c r="J834" s="124"/>
      <c r="K834" s="124"/>
    </row>
    <row r="835" ht="15.75" customHeight="1">
      <c r="C835" s="155"/>
      <c r="E835" s="124"/>
      <c r="F835" s="124"/>
      <c r="G835" s="124"/>
      <c r="H835" s="124"/>
      <c r="J835" s="124"/>
      <c r="K835" s="124"/>
    </row>
    <row r="836" ht="15.75" customHeight="1">
      <c r="C836" s="155"/>
      <c r="E836" s="124"/>
      <c r="F836" s="124"/>
      <c r="G836" s="124"/>
      <c r="H836" s="124"/>
      <c r="J836" s="124"/>
      <c r="K836" s="124"/>
    </row>
    <row r="837" ht="15.75" customHeight="1">
      <c r="C837" s="155"/>
      <c r="E837" s="124"/>
      <c r="F837" s="124"/>
      <c r="G837" s="124"/>
      <c r="H837" s="124"/>
      <c r="J837" s="124"/>
      <c r="K837" s="124"/>
    </row>
    <row r="838" ht="15.75" customHeight="1">
      <c r="C838" s="155"/>
      <c r="E838" s="124"/>
      <c r="F838" s="124"/>
      <c r="G838" s="124"/>
      <c r="H838" s="124"/>
      <c r="J838" s="124"/>
      <c r="K838" s="124"/>
    </row>
    <row r="839" ht="15.75" customHeight="1">
      <c r="C839" s="155"/>
      <c r="E839" s="124"/>
      <c r="F839" s="124"/>
      <c r="G839" s="124"/>
      <c r="H839" s="124"/>
      <c r="J839" s="124"/>
      <c r="K839" s="124"/>
    </row>
    <row r="840" ht="15.75" customHeight="1">
      <c r="C840" s="155"/>
      <c r="E840" s="124"/>
      <c r="F840" s="124"/>
      <c r="G840" s="124"/>
      <c r="H840" s="124"/>
      <c r="J840" s="124"/>
      <c r="K840" s="124"/>
    </row>
    <row r="841" ht="15.75" customHeight="1">
      <c r="C841" s="155"/>
      <c r="E841" s="124"/>
      <c r="F841" s="124"/>
      <c r="G841" s="124"/>
      <c r="H841" s="124"/>
      <c r="J841" s="124"/>
      <c r="K841" s="124"/>
    </row>
    <row r="842" ht="15.75" customHeight="1">
      <c r="C842" s="155"/>
      <c r="E842" s="124"/>
      <c r="F842" s="124"/>
      <c r="G842" s="124"/>
      <c r="H842" s="124"/>
      <c r="J842" s="124"/>
      <c r="K842" s="124"/>
    </row>
    <row r="843" ht="15.75" customHeight="1">
      <c r="C843" s="155"/>
      <c r="E843" s="124"/>
      <c r="F843" s="124"/>
      <c r="G843" s="124"/>
      <c r="H843" s="124"/>
      <c r="J843" s="124"/>
      <c r="K843" s="124"/>
    </row>
    <row r="844" ht="15.75" customHeight="1">
      <c r="C844" s="155"/>
      <c r="E844" s="124"/>
      <c r="F844" s="124"/>
      <c r="G844" s="124"/>
      <c r="H844" s="124"/>
      <c r="J844" s="124"/>
      <c r="K844" s="124"/>
    </row>
    <row r="845" ht="15.75" customHeight="1">
      <c r="C845" s="155"/>
      <c r="E845" s="124"/>
      <c r="F845" s="124"/>
      <c r="G845" s="124"/>
      <c r="H845" s="124"/>
      <c r="J845" s="124"/>
      <c r="K845" s="124"/>
    </row>
    <row r="846" ht="15.75" customHeight="1">
      <c r="C846" s="155"/>
      <c r="E846" s="124"/>
      <c r="F846" s="124"/>
      <c r="G846" s="124"/>
      <c r="H846" s="124"/>
      <c r="J846" s="124"/>
      <c r="K846" s="124"/>
    </row>
    <row r="847" ht="15.75" customHeight="1">
      <c r="C847" s="155"/>
      <c r="E847" s="124"/>
      <c r="F847" s="124"/>
      <c r="G847" s="124"/>
      <c r="H847" s="124"/>
      <c r="J847" s="124"/>
      <c r="K847" s="124"/>
    </row>
    <row r="848" ht="15.75" customHeight="1">
      <c r="C848" s="155"/>
      <c r="E848" s="124"/>
      <c r="F848" s="124"/>
      <c r="G848" s="124"/>
      <c r="H848" s="124"/>
      <c r="J848" s="124"/>
      <c r="K848" s="124"/>
    </row>
    <row r="849" ht="15.75" customHeight="1">
      <c r="C849" s="155"/>
      <c r="E849" s="124"/>
      <c r="F849" s="124"/>
      <c r="G849" s="124"/>
      <c r="H849" s="124"/>
      <c r="J849" s="124"/>
      <c r="K849" s="124"/>
    </row>
    <row r="850" ht="15.75" customHeight="1">
      <c r="C850" s="155"/>
      <c r="E850" s="124"/>
      <c r="F850" s="124"/>
      <c r="G850" s="124"/>
      <c r="H850" s="124"/>
      <c r="J850" s="124"/>
      <c r="K850" s="124"/>
    </row>
    <row r="851" ht="15.75" customHeight="1">
      <c r="C851" s="155"/>
      <c r="E851" s="124"/>
      <c r="F851" s="124"/>
      <c r="G851" s="124"/>
      <c r="H851" s="124"/>
      <c r="J851" s="124"/>
      <c r="K851" s="124"/>
    </row>
    <row r="852" ht="15.75" customHeight="1">
      <c r="C852" s="155"/>
      <c r="E852" s="124"/>
      <c r="F852" s="124"/>
      <c r="G852" s="124"/>
      <c r="H852" s="124"/>
      <c r="J852" s="124"/>
      <c r="K852" s="124"/>
    </row>
    <row r="853" ht="15.75" customHeight="1">
      <c r="C853" s="155"/>
      <c r="E853" s="124"/>
      <c r="F853" s="124"/>
      <c r="G853" s="124"/>
      <c r="H853" s="124"/>
      <c r="J853" s="124"/>
      <c r="K853" s="124"/>
    </row>
    <row r="854" ht="15.75" customHeight="1">
      <c r="C854" s="155"/>
      <c r="E854" s="124"/>
      <c r="F854" s="124"/>
      <c r="G854" s="124"/>
      <c r="H854" s="124"/>
      <c r="J854" s="124"/>
      <c r="K854" s="124"/>
    </row>
    <row r="855" ht="15.75" customHeight="1">
      <c r="C855" s="155"/>
      <c r="E855" s="124"/>
      <c r="F855" s="124"/>
      <c r="G855" s="124"/>
      <c r="H855" s="124"/>
      <c r="J855" s="124"/>
      <c r="K855" s="124"/>
    </row>
    <row r="856" ht="15.75" customHeight="1">
      <c r="C856" s="155"/>
      <c r="E856" s="124"/>
      <c r="F856" s="124"/>
      <c r="G856" s="124"/>
      <c r="H856" s="124"/>
      <c r="J856" s="124"/>
      <c r="K856" s="124"/>
    </row>
    <row r="857" ht="15.75" customHeight="1">
      <c r="C857" s="155"/>
      <c r="E857" s="124"/>
      <c r="F857" s="124"/>
      <c r="G857" s="124"/>
      <c r="H857" s="124"/>
      <c r="J857" s="124"/>
      <c r="K857" s="124"/>
    </row>
    <row r="858" ht="15.75" customHeight="1">
      <c r="C858" s="155"/>
      <c r="E858" s="124"/>
      <c r="F858" s="124"/>
      <c r="G858" s="124"/>
      <c r="H858" s="124"/>
      <c r="J858" s="124"/>
      <c r="K858" s="124"/>
    </row>
    <row r="859" ht="15.75" customHeight="1">
      <c r="C859" s="155"/>
      <c r="E859" s="124"/>
      <c r="F859" s="124"/>
      <c r="G859" s="124"/>
      <c r="H859" s="124"/>
      <c r="J859" s="124"/>
      <c r="K859" s="124"/>
    </row>
    <row r="860" ht="15.75" customHeight="1">
      <c r="C860" s="155"/>
      <c r="E860" s="124"/>
      <c r="F860" s="124"/>
      <c r="G860" s="124"/>
      <c r="H860" s="124"/>
      <c r="J860" s="124"/>
      <c r="K860" s="124"/>
    </row>
    <row r="861" ht="15.75" customHeight="1">
      <c r="C861" s="155"/>
      <c r="E861" s="124"/>
      <c r="F861" s="124"/>
      <c r="G861" s="124"/>
      <c r="H861" s="124"/>
      <c r="J861" s="124"/>
      <c r="K861" s="124"/>
    </row>
    <row r="862" ht="15.75" customHeight="1">
      <c r="C862" s="155"/>
      <c r="E862" s="124"/>
      <c r="F862" s="124"/>
      <c r="G862" s="124"/>
      <c r="H862" s="124"/>
      <c r="J862" s="124"/>
      <c r="K862" s="124"/>
    </row>
    <row r="863" ht="15.75" customHeight="1">
      <c r="C863" s="155"/>
      <c r="E863" s="124"/>
      <c r="F863" s="124"/>
      <c r="G863" s="124"/>
      <c r="H863" s="124"/>
      <c r="J863" s="124"/>
      <c r="K863" s="124"/>
    </row>
    <row r="864" ht="15.75" customHeight="1">
      <c r="C864" s="155"/>
      <c r="E864" s="124"/>
      <c r="F864" s="124"/>
      <c r="G864" s="124"/>
      <c r="H864" s="124"/>
      <c r="J864" s="124"/>
      <c r="K864" s="124"/>
    </row>
    <row r="865" ht="15.75" customHeight="1">
      <c r="C865" s="155"/>
      <c r="E865" s="124"/>
      <c r="F865" s="124"/>
      <c r="G865" s="124"/>
      <c r="H865" s="124"/>
      <c r="J865" s="124"/>
      <c r="K865" s="124"/>
    </row>
    <row r="866" ht="15.75" customHeight="1">
      <c r="C866" s="155"/>
      <c r="E866" s="124"/>
      <c r="F866" s="124"/>
      <c r="G866" s="124"/>
      <c r="H866" s="124"/>
      <c r="J866" s="124"/>
      <c r="K866" s="124"/>
    </row>
    <row r="867" ht="15.75" customHeight="1">
      <c r="C867" s="155"/>
      <c r="E867" s="124"/>
      <c r="F867" s="124"/>
      <c r="G867" s="124"/>
      <c r="H867" s="124"/>
      <c r="J867" s="124"/>
      <c r="K867" s="124"/>
    </row>
    <row r="868" ht="15.75" customHeight="1">
      <c r="C868" s="155"/>
      <c r="E868" s="124"/>
      <c r="F868" s="124"/>
      <c r="G868" s="124"/>
      <c r="H868" s="124"/>
      <c r="J868" s="124"/>
      <c r="K868" s="124"/>
    </row>
    <row r="869" ht="15.75" customHeight="1">
      <c r="C869" s="155"/>
      <c r="E869" s="124"/>
      <c r="F869" s="124"/>
      <c r="G869" s="124"/>
      <c r="H869" s="124"/>
      <c r="J869" s="124"/>
      <c r="K869" s="124"/>
    </row>
    <row r="870" ht="15.75" customHeight="1">
      <c r="C870" s="155"/>
      <c r="E870" s="124"/>
      <c r="F870" s="124"/>
      <c r="G870" s="124"/>
      <c r="H870" s="124"/>
      <c r="J870" s="124"/>
      <c r="K870" s="124"/>
    </row>
    <row r="871" ht="15.75" customHeight="1">
      <c r="C871" s="155"/>
      <c r="E871" s="124"/>
      <c r="F871" s="124"/>
      <c r="G871" s="124"/>
      <c r="H871" s="124"/>
      <c r="J871" s="124"/>
      <c r="K871" s="124"/>
    </row>
    <row r="872" ht="15.75" customHeight="1">
      <c r="C872" s="155"/>
      <c r="E872" s="124"/>
      <c r="F872" s="124"/>
      <c r="G872" s="124"/>
      <c r="H872" s="124"/>
      <c r="J872" s="124"/>
      <c r="K872" s="124"/>
    </row>
    <row r="873" ht="15.75" customHeight="1">
      <c r="C873" s="155"/>
      <c r="E873" s="124"/>
      <c r="F873" s="124"/>
      <c r="G873" s="124"/>
      <c r="H873" s="124"/>
      <c r="J873" s="124"/>
      <c r="K873" s="124"/>
    </row>
    <row r="874" ht="15.75" customHeight="1">
      <c r="C874" s="155"/>
      <c r="E874" s="124"/>
      <c r="F874" s="124"/>
      <c r="G874" s="124"/>
      <c r="H874" s="124"/>
      <c r="J874" s="124"/>
      <c r="K874" s="124"/>
    </row>
    <row r="875" ht="15.75" customHeight="1">
      <c r="C875" s="155"/>
      <c r="E875" s="124"/>
      <c r="F875" s="124"/>
      <c r="G875" s="124"/>
      <c r="H875" s="124"/>
      <c r="J875" s="124"/>
      <c r="K875" s="124"/>
    </row>
    <row r="876" ht="15.75" customHeight="1">
      <c r="C876" s="155"/>
      <c r="E876" s="124"/>
      <c r="F876" s="124"/>
      <c r="G876" s="124"/>
      <c r="H876" s="124"/>
      <c r="J876" s="124"/>
      <c r="K876" s="124"/>
    </row>
    <row r="877" ht="15.75" customHeight="1">
      <c r="C877" s="155"/>
      <c r="E877" s="124"/>
      <c r="F877" s="124"/>
      <c r="G877" s="124"/>
      <c r="H877" s="124"/>
      <c r="J877" s="124"/>
      <c r="K877" s="124"/>
    </row>
    <row r="878" ht="15.75" customHeight="1">
      <c r="C878" s="155"/>
      <c r="E878" s="124"/>
      <c r="F878" s="124"/>
      <c r="G878" s="124"/>
      <c r="H878" s="124"/>
      <c r="J878" s="124"/>
      <c r="K878" s="124"/>
    </row>
    <row r="879" ht="15.75" customHeight="1">
      <c r="C879" s="155"/>
      <c r="E879" s="124"/>
      <c r="F879" s="124"/>
      <c r="G879" s="124"/>
      <c r="H879" s="124"/>
      <c r="J879" s="124"/>
      <c r="K879" s="124"/>
    </row>
    <row r="880" ht="15.75" customHeight="1">
      <c r="C880" s="155"/>
      <c r="E880" s="124"/>
      <c r="F880" s="124"/>
      <c r="G880" s="124"/>
      <c r="H880" s="124"/>
      <c r="J880" s="124"/>
      <c r="K880" s="124"/>
    </row>
    <row r="881" ht="15.75" customHeight="1">
      <c r="C881" s="155"/>
      <c r="E881" s="124"/>
      <c r="F881" s="124"/>
      <c r="G881" s="124"/>
      <c r="H881" s="124"/>
      <c r="J881" s="124"/>
      <c r="K881" s="124"/>
    </row>
    <row r="882" ht="15.75" customHeight="1">
      <c r="C882" s="155"/>
      <c r="E882" s="124"/>
      <c r="F882" s="124"/>
      <c r="G882" s="124"/>
      <c r="H882" s="124"/>
      <c r="J882" s="124"/>
      <c r="K882" s="124"/>
    </row>
    <row r="883" ht="15.75" customHeight="1">
      <c r="C883" s="155"/>
      <c r="E883" s="124"/>
      <c r="F883" s="124"/>
      <c r="G883" s="124"/>
      <c r="H883" s="124"/>
      <c r="J883" s="124"/>
      <c r="K883" s="124"/>
    </row>
    <row r="884" ht="15.75" customHeight="1">
      <c r="C884" s="155"/>
      <c r="E884" s="124"/>
      <c r="F884" s="124"/>
      <c r="G884" s="124"/>
      <c r="H884" s="124"/>
      <c r="J884" s="124"/>
      <c r="K884" s="124"/>
    </row>
    <row r="885" ht="15.75" customHeight="1">
      <c r="C885" s="155"/>
      <c r="E885" s="124"/>
      <c r="F885" s="124"/>
      <c r="G885" s="124"/>
      <c r="H885" s="124"/>
      <c r="J885" s="124"/>
      <c r="K885" s="124"/>
    </row>
    <row r="886" ht="15.75" customHeight="1">
      <c r="C886" s="155"/>
      <c r="E886" s="124"/>
      <c r="F886" s="124"/>
      <c r="G886" s="124"/>
      <c r="H886" s="124"/>
      <c r="J886" s="124"/>
      <c r="K886" s="124"/>
    </row>
    <row r="887" ht="15.75" customHeight="1">
      <c r="C887" s="155"/>
      <c r="E887" s="124"/>
      <c r="F887" s="124"/>
      <c r="G887" s="124"/>
      <c r="H887" s="124"/>
      <c r="J887" s="124"/>
      <c r="K887" s="124"/>
    </row>
    <row r="888" ht="15.75" customHeight="1">
      <c r="C888" s="155"/>
      <c r="E888" s="124"/>
      <c r="F888" s="124"/>
      <c r="G888" s="124"/>
      <c r="H888" s="124"/>
      <c r="J888" s="124"/>
      <c r="K888" s="124"/>
    </row>
    <row r="889" ht="15.75" customHeight="1">
      <c r="C889" s="155"/>
      <c r="E889" s="124"/>
      <c r="F889" s="124"/>
      <c r="G889" s="124"/>
      <c r="H889" s="124"/>
      <c r="J889" s="124"/>
      <c r="K889" s="124"/>
    </row>
    <row r="890" ht="15.75" customHeight="1">
      <c r="C890" s="155"/>
      <c r="E890" s="124"/>
      <c r="F890" s="124"/>
      <c r="G890" s="124"/>
      <c r="H890" s="124"/>
      <c r="J890" s="124"/>
      <c r="K890" s="124"/>
    </row>
    <row r="891" ht="15.75" customHeight="1">
      <c r="C891" s="155"/>
      <c r="E891" s="124"/>
      <c r="F891" s="124"/>
      <c r="G891" s="124"/>
      <c r="H891" s="124"/>
      <c r="J891" s="124"/>
      <c r="K891" s="124"/>
    </row>
    <row r="892" ht="15.75" customHeight="1">
      <c r="C892" s="155"/>
      <c r="E892" s="124"/>
      <c r="F892" s="124"/>
      <c r="G892" s="124"/>
      <c r="H892" s="124"/>
      <c r="J892" s="124"/>
      <c r="K892" s="124"/>
    </row>
    <row r="893" ht="15.75" customHeight="1">
      <c r="C893" s="155"/>
      <c r="E893" s="124"/>
      <c r="F893" s="124"/>
      <c r="G893" s="124"/>
      <c r="H893" s="124"/>
      <c r="J893" s="124"/>
      <c r="K893" s="124"/>
    </row>
    <row r="894" ht="15.75" customHeight="1">
      <c r="C894" s="155"/>
      <c r="E894" s="124"/>
      <c r="F894" s="124"/>
      <c r="G894" s="124"/>
      <c r="H894" s="124"/>
      <c r="J894" s="124"/>
      <c r="K894" s="124"/>
    </row>
    <row r="895" ht="15.75" customHeight="1">
      <c r="C895" s="155"/>
      <c r="E895" s="124"/>
      <c r="F895" s="124"/>
      <c r="G895" s="124"/>
      <c r="H895" s="124"/>
      <c r="J895" s="124"/>
      <c r="K895" s="124"/>
    </row>
    <row r="896" ht="15.75" customHeight="1">
      <c r="C896" s="155"/>
      <c r="E896" s="124"/>
      <c r="F896" s="124"/>
      <c r="G896" s="124"/>
      <c r="H896" s="124"/>
      <c r="J896" s="124"/>
      <c r="K896" s="124"/>
    </row>
    <row r="897" ht="15.75" customHeight="1">
      <c r="C897" s="155"/>
      <c r="E897" s="124"/>
      <c r="F897" s="124"/>
      <c r="G897" s="124"/>
      <c r="H897" s="124"/>
      <c r="J897" s="124"/>
      <c r="K897" s="124"/>
    </row>
    <row r="898" ht="15.75" customHeight="1">
      <c r="C898" s="155"/>
      <c r="E898" s="124"/>
      <c r="F898" s="124"/>
      <c r="G898" s="124"/>
      <c r="H898" s="124"/>
      <c r="J898" s="124"/>
      <c r="K898" s="124"/>
    </row>
    <row r="899" ht="15.75" customHeight="1">
      <c r="C899" s="155"/>
      <c r="E899" s="124"/>
      <c r="F899" s="124"/>
      <c r="G899" s="124"/>
      <c r="H899" s="124"/>
      <c r="J899" s="124"/>
      <c r="K899" s="124"/>
    </row>
    <row r="900" ht="15.75" customHeight="1">
      <c r="C900" s="155"/>
      <c r="E900" s="124"/>
      <c r="F900" s="124"/>
      <c r="G900" s="124"/>
      <c r="H900" s="124"/>
      <c r="J900" s="124"/>
      <c r="K900" s="124"/>
    </row>
    <row r="901" ht="15.75" customHeight="1">
      <c r="C901" s="155"/>
      <c r="E901" s="124"/>
      <c r="F901" s="124"/>
      <c r="G901" s="124"/>
      <c r="H901" s="124"/>
      <c r="J901" s="124"/>
      <c r="K901" s="124"/>
    </row>
    <row r="902" ht="15.75" customHeight="1">
      <c r="C902" s="155"/>
      <c r="E902" s="124"/>
      <c r="F902" s="124"/>
      <c r="G902" s="124"/>
      <c r="H902" s="124"/>
      <c r="J902" s="124"/>
      <c r="K902" s="124"/>
    </row>
    <row r="903" ht="15.75" customHeight="1">
      <c r="C903" s="155"/>
      <c r="E903" s="124"/>
      <c r="F903" s="124"/>
      <c r="G903" s="124"/>
      <c r="H903" s="124"/>
      <c r="J903" s="124"/>
      <c r="K903" s="124"/>
    </row>
    <row r="904" ht="15.75" customHeight="1">
      <c r="C904" s="155"/>
      <c r="E904" s="124"/>
      <c r="F904" s="124"/>
      <c r="G904" s="124"/>
      <c r="H904" s="124"/>
      <c r="J904" s="124"/>
      <c r="K904" s="124"/>
    </row>
    <row r="905" ht="15.75" customHeight="1">
      <c r="C905" s="155"/>
      <c r="E905" s="124"/>
      <c r="F905" s="124"/>
      <c r="G905" s="124"/>
      <c r="H905" s="124"/>
      <c r="J905" s="124"/>
      <c r="K905" s="124"/>
    </row>
    <row r="906" ht="15.75" customHeight="1">
      <c r="C906" s="155"/>
      <c r="E906" s="124"/>
      <c r="F906" s="124"/>
      <c r="G906" s="124"/>
      <c r="H906" s="124"/>
      <c r="J906" s="124"/>
      <c r="K906" s="124"/>
    </row>
    <row r="907" ht="15.75" customHeight="1">
      <c r="C907" s="155"/>
      <c r="E907" s="124"/>
      <c r="F907" s="124"/>
      <c r="G907" s="124"/>
      <c r="H907" s="124"/>
      <c r="J907" s="124"/>
      <c r="K907" s="124"/>
    </row>
    <row r="908" ht="15.75" customHeight="1">
      <c r="C908" s="155"/>
      <c r="E908" s="124"/>
      <c r="F908" s="124"/>
      <c r="G908" s="124"/>
      <c r="H908" s="124"/>
      <c r="J908" s="124"/>
      <c r="K908" s="124"/>
    </row>
    <row r="909" ht="15.75" customHeight="1">
      <c r="C909" s="155"/>
      <c r="E909" s="124"/>
      <c r="F909" s="124"/>
      <c r="G909" s="124"/>
      <c r="H909" s="124"/>
      <c r="J909" s="124"/>
      <c r="K909" s="124"/>
    </row>
    <row r="910" ht="15.75" customHeight="1">
      <c r="C910" s="155"/>
      <c r="E910" s="124"/>
      <c r="F910" s="124"/>
      <c r="G910" s="124"/>
      <c r="H910" s="124"/>
      <c r="J910" s="124"/>
      <c r="K910" s="124"/>
    </row>
    <row r="911" ht="15.75" customHeight="1">
      <c r="C911" s="155"/>
      <c r="E911" s="124"/>
      <c r="F911" s="124"/>
      <c r="G911" s="124"/>
      <c r="H911" s="124"/>
      <c r="J911" s="124"/>
      <c r="K911" s="124"/>
    </row>
    <row r="912" ht="15.75" customHeight="1">
      <c r="C912" s="155"/>
      <c r="E912" s="124"/>
      <c r="F912" s="124"/>
      <c r="G912" s="124"/>
      <c r="H912" s="124"/>
      <c r="J912" s="124"/>
      <c r="K912" s="124"/>
    </row>
    <row r="913" ht="15.75" customHeight="1">
      <c r="C913" s="155"/>
      <c r="E913" s="124"/>
      <c r="F913" s="124"/>
      <c r="G913" s="124"/>
      <c r="H913" s="124"/>
      <c r="J913" s="124"/>
      <c r="K913" s="124"/>
    </row>
    <row r="914" ht="15.75" customHeight="1">
      <c r="C914" s="155"/>
      <c r="E914" s="124"/>
      <c r="F914" s="124"/>
      <c r="G914" s="124"/>
      <c r="H914" s="124"/>
      <c r="J914" s="124"/>
      <c r="K914" s="124"/>
    </row>
    <row r="915" ht="15.75" customHeight="1">
      <c r="C915" s="155"/>
      <c r="E915" s="124"/>
      <c r="F915" s="124"/>
      <c r="G915" s="124"/>
      <c r="H915" s="124"/>
      <c r="J915" s="124"/>
      <c r="K915" s="124"/>
    </row>
    <row r="916" ht="15.75" customHeight="1">
      <c r="C916" s="155"/>
      <c r="E916" s="124"/>
      <c r="F916" s="124"/>
      <c r="G916" s="124"/>
      <c r="H916" s="124"/>
      <c r="J916" s="124"/>
      <c r="K916" s="124"/>
    </row>
    <row r="917" ht="15.75" customHeight="1">
      <c r="C917" s="155"/>
      <c r="E917" s="124"/>
      <c r="F917" s="124"/>
      <c r="G917" s="124"/>
      <c r="H917" s="124"/>
      <c r="J917" s="124"/>
      <c r="K917" s="124"/>
    </row>
    <row r="918" ht="15.75" customHeight="1">
      <c r="C918" s="155"/>
      <c r="E918" s="124"/>
      <c r="F918" s="124"/>
      <c r="G918" s="124"/>
      <c r="H918" s="124"/>
      <c r="J918" s="124"/>
      <c r="K918" s="124"/>
    </row>
    <row r="919" ht="15.75" customHeight="1">
      <c r="C919" s="155"/>
      <c r="E919" s="124"/>
      <c r="F919" s="124"/>
      <c r="G919" s="124"/>
      <c r="H919" s="124"/>
      <c r="J919" s="124"/>
      <c r="K919" s="124"/>
    </row>
    <row r="920" ht="15.75" customHeight="1">
      <c r="C920" s="155"/>
      <c r="E920" s="124"/>
      <c r="F920" s="124"/>
      <c r="G920" s="124"/>
      <c r="H920" s="124"/>
      <c r="J920" s="124"/>
      <c r="K920" s="124"/>
    </row>
    <row r="921" ht="15.75" customHeight="1">
      <c r="C921" s="155"/>
      <c r="E921" s="124"/>
      <c r="F921" s="124"/>
      <c r="G921" s="124"/>
      <c r="H921" s="124"/>
      <c r="J921" s="124"/>
      <c r="K921" s="124"/>
    </row>
    <row r="922" ht="15.75" customHeight="1">
      <c r="C922" s="155"/>
      <c r="E922" s="124"/>
      <c r="F922" s="124"/>
      <c r="G922" s="124"/>
      <c r="H922" s="124"/>
      <c r="J922" s="124"/>
      <c r="K922" s="124"/>
    </row>
    <row r="923" ht="15.75" customHeight="1">
      <c r="C923" s="155"/>
      <c r="E923" s="124"/>
      <c r="F923" s="124"/>
      <c r="G923" s="124"/>
      <c r="H923" s="124"/>
      <c r="J923" s="124"/>
      <c r="K923" s="124"/>
    </row>
    <row r="924" ht="15.75" customHeight="1">
      <c r="C924" s="155"/>
      <c r="E924" s="124"/>
      <c r="F924" s="124"/>
      <c r="G924" s="124"/>
      <c r="H924" s="124"/>
      <c r="J924" s="124"/>
      <c r="K924" s="124"/>
    </row>
    <row r="925" ht="15.75" customHeight="1">
      <c r="C925" s="155"/>
      <c r="E925" s="124"/>
      <c r="F925" s="124"/>
      <c r="G925" s="124"/>
      <c r="H925" s="124"/>
      <c r="J925" s="124"/>
      <c r="K925" s="124"/>
    </row>
    <row r="926" ht="15.75" customHeight="1">
      <c r="C926" s="155"/>
      <c r="E926" s="124"/>
      <c r="F926" s="124"/>
      <c r="G926" s="124"/>
      <c r="H926" s="124"/>
      <c r="J926" s="124"/>
      <c r="K926" s="124"/>
    </row>
    <row r="927" ht="15.75" customHeight="1">
      <c r="C927" s="155"/>
      <c r="E927" s="124"/>
      <c r="F927" s="124"/>
      <c r="G927" s="124"/>
      <c r="H927" s="124"/>
      <c r="J927" s="124"/>
      <c r="K927" s="124"/>
    </row>
    <row r="928" ht="15.75" customHeight="1">
      <c r="C928" s="155"/>
      <c r="E928" s="124"/>
      <c r="F928" s="124"/>
      <c r="G928" s="124"/>
      <c r="H928" s="124"/>
      <c r="J928" s="124"/>
      <c r="K928" s="124"/>
    </row>
    <row r="929" ht="15.75" customHeight="1">
      <c r="C929" s="155"/>
      <c r="E929" s="124"/>
      <c r="F929" s="124"/>
      <c r="G929" s="124"/>
      <c r="H929" s="124"/>
      <c r="J929" s="124"/>
      <c r="K929" s="124"/>
    </row>
    <row r="930" ht="15.75" customHeight="1">
      <c r="C930" s="155"/>
      <c r="E930" s="124"/>
      <c r="F930" s="124"/>
      <c r="G930" s="124"/>
      <c r="H930" s="124"/>
      <c r="J930" s="124"/>
      <c r="K930" s="124"/>
    </row>
    <row r="931" ht="15.75" customHeight="1">
      <c r="C931" s="155"/>
      <c r="E931" s="124"/>
      <c r="F931" s="124"/>
      <c r="G931" s="124"/>
      <c r="H931" s="124"/>
      <c r="J931" s="124"/>
      <c r="K931" s="124"/>
    </row>
    <row r="932" ht="15.75" customHeight="1">
      <c r="C932" s="155"/>
      <c r="E932" s="124"/>
      <c r="F932" s="124"/>
      <c r="G932" s="124"/>
      <c r="H932" s="124"/>
      <c r="J932" s="124"/>
      <c r="K932" s="124"/>
    </row>
    <row r="933" ht="15.75" customHeight="1">
      <c r="C933" s="155"/>
      <c r="E933" s="124"/>
      <c r="F933" s="124"/>
      <c r="G933" s="124"/>
      <c r="H933" s="124"/>
      <c r="J933" s="124"/>
      <c r="K933" s="124"/>
    </row>
    <row r="934" ht="15.75" customHeight="1">
      <c r="C934" s="155"/>
      <c r="E934" s="124"/>
      <c r="F934" s="124"/>
      <c r="G934" s="124"/>
      <c r="H934" s="124"/>
      <c r="J934" s="124"/>
      <c r="K934" s="124"/>
    </row>
    <row r="935" ht="15.75" customHeight="1">
      <c r="C935" s="155"/>
      <c r="E935" s="124"/>
      <c r="F935" s="124"/>
      <c r="G935" s="124"/>
      <c r="H935" s="124"/>
      <c r="J935" s="124"/>
      <c r="K935" s="124"/>
    </row>
    <row r="936" ht="15.75" customHeight="1">
      <c r="C936" s="155"/>
      <c r="E936" s="124"/>
      <c r="F936" s="124"/>
      <c r="G936" s="124"/>
      <c r="H936" s="124"/>
      <c r="J936" s="124"/>
      <c r="K936" s="124"/>
    </row>
    <row r="937" ht="15.75" customHeight="1">
      <c r="C937" s="155"/>
      <c r="E937" s="124"/>
      <c r="F937" s="124"/>
      <c r="G937" s="124"/>
      <c r="H937" s="124"/>
      <c r="J937" s="124"/>
      <c r="K937" s="124"/>
    </row>
    <row r="938" ht="15.75" customHeight="1">
      <c r="C938" s="155"/>
      <c r="E938" s="124"/>
      <c r="F938" s="124"/>
      <c r="G938" s="124"/>
      <c r="H938" s="124"/>
      <c r="J938" s="124"/>
      <c r="K938" s="124"/>
    </row>
    <row r="939" ht="15.75" customHeight="1">
      <c r="C939" s="155"/>
      <c r="E939" s="124"/>
      <c r="F939" s="124"/>
      <c r="G939" s="124"/>
      <c r="H939" s="124"/>
      <c r="J939" s="124"/>
      <c r="K939" s="124"/>
    </row>
    <row r="940" ht="15.75" customHeight="1">
      <c r="C940" s="155"/>
      <c r="E940" s="124"/>
      <c r="F940" s="124"/>
      <c r="G940" s="124"/>
      <c r="H940" s="124"/>
      <c r="J940" s="124"/>
      <c r="K940" s="124"/>
    </row>
    <row r="941" ht="15.75" customHeight="1">
      <c r="C941" s="155"/>
      <c r="E941" s="124"/>
      <c r="F941" s="124"/>
      <c r="G941" s="124"/>
      <c r="H941" s="124"/>
      <c r="J941" s="124"/>
      <c r="K941" s="124"/>
    </row>
    <row r="942" ht="15.75" customHeight="1">
      <c r="C942" s="155"/>
      <c r="E942" s="124"/>
      <c r="F942" s="124"/>
      <c r="G942" s="124"/>
      <c r="H942" s="124"/>
      <c r="J942" s="124"/>
      <c r="K942" s="124"/>
    </row>
    <row r="943" ht="15.75" customHeight="1">
      <c r="C943" s="155"/>
      <c r="E943" s="124"/>
      <c r="F943" s="124"/>
      <c r="G943" s="124"/>
      <c r="H943" s="124"/>
      <c r="J943" s="124"/>
      <c r="K943" s="124"/>
    </row>
    <row r="944" ht="15.75" customHeight="1">
      <c r="C944" s="155"/>
      <c r="E944" s="124"/>
      <c r="F944" s="124"/>
      <c r="G944" s="124"/>
      <c r="H944" s="124"/>
      <c r="J944" s="124"/>
      <c r="K944" s="124"/>
    </row>
    <row r="945" ht="15.75" customHeight="1">
      <c r="C945" s="155"/>
      <c r="E945" s="124"/>
      <c r="F945" s="124"/>
      <c r="G945" s="124"/>
      <c r="H945" s="124"/>
      <c r="J945" s="124"/>
      <c r="K945" s="124"/>
    </row>
    <row r="946" ht="15.75" customHeight="1">
      <c r="C946" s="155"/>
      <c r="E946" s="124"/>
      <c r="F946" s="124"/>
      <c r="G946" s="124"/>
      <c r="H946" s="124"/>
      <c r="J946" s="124"/>
      <c r="K946" s="124"/>
    </row>
    <row r="947" ht="15.75" customHeight="1">
      <c r="C947" s="155"/>
      <c r="E947" s="124"/>
      <c r="F947" s="124"/>
      <c r="G947" s="124"/>
      <c r="H947" s="124"/>
      <c r="J947" s="124"/>
      <c r="K947" s="124"/>
    </row>
    <row r="948" ht="15.75" customHeight="1">
      <c r="C948" s="155"/>
      <c r="E948" s="124"/>
      <c r="F948" s="124"/>
      <c r="G948" s="124"/>
      <c r="H948" s="124"/>
      <c r="J948" s="124"/>
      <c r="K948" s="124"/>
    </row>
    <row r="949" ht="15.75" customHeight="1">
      <c r="C949" s="155"/>
      <c r="E949" s="124"/>
      <c r="F949" s="124"/>
      <c r="G949" s="124"/>
      <c r="H949" s="124"/>
      <c r="J949" s="124"/>
      <c r="K949" s="124"/>
    </row>
    <row r="950" ht="15.75" customHeight="1">
      <c r="C950" s="155"/>
      <c r="E950" s="124"/>
      <c r="F950" s="124"/>
      <c r="G950" s="124"/>
      <c r="H950" s="124"/>
      <c r="J950" s="124"/>
      <c r="K950" s="124"/>
    </row>
    <row r="951" ht="15.75" customHeight="1">
      <c r="C951" s="155"/>
      <c r="E951" s="124"/>
      <c r="F951" s="124"/>
      <c r="G951" s="124"/>
      <c r="H951" s="124"/>
      <c r="J951" s="124"/>
      <c r="K951" s="124"/>
    </row>
    <row r="952" ht="15.75" customHeight="1">
      <c r="C952" s="155"/>
      <c r="E952" s="124"/>
      <c r="F952" s="124"/>
      <c r="G952" s="124"/>
      <c r="H952" s="124"/>
      <c r="J952" s="124"/>
      <c r="K952" s="124"/>
    </row>
    <row r="953" ht="15.75" customHeight="1">
      <c r="C953" s="155"/>
      <c r="E953" s="124"/>
      <c r="F953" s="124"/>
      <c r="G953" s="124"/>
      <c r="H953" s="124"/>
      <c r="J953" s="124"/>
      <c r="K953" s="124"/>
    </row>
    <row r="954" ht="15.75" customHeight="1">
      <c r="C954" s="155"/>
      <c r="E954" s="124"/>
      <c r="F954" s="124"/>
      <c r="G954" s="124"/>
      <c r="H954" s="124"/>
      <c r="J954" s="124"/>
      <c r="K954" s="124"/>
    </row>
    <row r="955" ht="15.75" customHeight="1">
      <c r="C955" s="155"/>
      <c r="E955" s="124"/>
      <c r="F955" s="124"/>
      <c r="G955" s="124"/>
      <c r="H955" s="124"/>
      <c r="J955" s="124"/>
      <c r="K955" s="124"/>
    </row>
    <row r="956" ht="15.75" customHeight="1">
      <c r="C956" s="155"/>
      <c r="E956" s="124"/>
      <c r="F956" s="124"/>
      <c r="G956" s="124"/>
      <c r="H956" s="124"/>
      <c r="J956" s="124"/>
      <c r="K956" s="124"/>
    </row>
    <row r="957" ht="15.75" customHeight="1">
      <c r="C957" s="155"/>
      <c r="E957" s="124"/>
      <c r="F957" s="124"/>
      <c r="G957" s="124"/>
      <c r="H957" s="124"/>
      <c r="J957" s="124"/>
      <c r="K957" s="124"/>
    </row>
    <row r="958" ht="15.75" customHeight="1">
      <c r="C958" s="155"/>
      <c r="E958" s="124"/>
      <c r="F958" s="124"/>
      <c r="G958" s="124"/>
      <c r="H958" s="124"/>
      <c r="J958" s="124"/>
      <c r="K958" s="124"/>
    </row>
    <row r="959" ht="15.75" customHeight="1">
      <c r="C959" s="155"/>
      <c r="E959" s="124"/>
      <c r="F959" s="124"/>
      <c r="G959" s="124"/>
      <c r="H959" s="124"/>
      <c r="J959" s="124"/>
      <c r="K959" s="124"/>
    </row>
    <row r="960" ht="15.75" customHeight="1">
      <c r="C960" s="155"/>
      <c r="E960" s="124"/>
      <c r="F960" s="124"/>
      <c r="G960" s="124"/>
      <c r="H960" s="124"/>
      <c r="J960" s="124"/>
      <c r="K960" s="124"/>
    </row>
    <row r="961" ht="15.75" customHeight="1">
      <c r="C961" s="155"/>
      <c r="E961" s="124"/>
      <c r="F961" s="124"/>
      <c r="G961" s="124"/>
      <c r="H961" s="124"/>
      <c r="J961" s="124"/>
      <c r="K961" s="124"/>
    </row>
    <row r="962" ht="15.75" customHeight="1">
      <c r="C962" s="155"/>
      <c r="E962" s="124"/>
      <c r="F962" s="124"/>
      <c r="G962" s="124"/>
      <c r="H962" s="124"/>
      <c r="J962" s="124"/>
      <c r="K962" s="124"/>
    </row>
    <row r="963" ht="15.75" customHeight="1">
      <c r="C963" s="155"/>
      <c r="E963" s="124"/>
      <c r="F963" s="124"/>
      <c r="G963" s="124"/>
      <c r="H963" s="124"/>
      <c r="J963" s="124"/>
      <c r="K963" s="124"/>
    </row>
    <row r="964" ht="15.75" customHeight="1">
      <c r="C964" s="155"/>
      <c r="E964" s="124"/>
      <c r="F964" s="124"/>
      <c r="G964" s="124"/>
      <c r="H964" s="124"/>
      <c r="J964" s="124"/>
      <c r="K964" s="124"/>
    </row>
    <row r="965" ht="15.75" customHeight="1">
      <c r="C965" s="155"/>
      <c r="E965" s="124"/>
      <c r="F965" s="124"/>
      <c r="G965" s="124"/>
      <c r="H965" s="124"/>
      <c r="J965" s="124"/>
      <c r="K965" s="124"/>
    </row>
    <row r="966" ht="15.75" customHeight="1">
      <c r="C966" s="155"/>
      <c r="E966" s="124"/>
      <c r="F966" s="124"/>
      <c r="G966" s="124"/>
      <c r="H966" s="124"/>
      <c r="J966" s="124"/>
      <c r="K966" s="124"/>
    </row>
    <row r="967" ht="15.75" customHeight="1">
      <c r="C967" s="155"/>
      <c r="E967" s="124"/>
      <c r="F967" s="124"/>
      <c r="G967" s="124"/>
      <c r="H967" s="124"/>
      <c r="J967" s="124"/>
      <c r="K967" s="124"/>
    </row>
    <row r="968" ht="15.75" customHeight="1">
      <c r="C968" s="155"/>
      <c r="E968" s="124"/>
      <c r="F968" s="124"/>
      <c r="G968" s="124"/>
      <c r="H968" s="124"/>
      <c r="J968" s="124"/>
      <c r="K968" s="124"/>
    </row>
    <row r="969" ht="15.75" customHeight="1">
      <c r="C969" s="155"/>
      <c r="E969" s="124"/>
      <c r="F969" s="124"/>
      <c r="G969" s="124"/>
      <c r="H969" s="124"/>
      <c r="J969" s="124"/>
      <c r="K969" s="124"/>
    </row>
    <row r="970" ht="15.75" customHeight="1">
      <c r="C970" s="155"/>
      <c r="E970" s="124"/>
      <c r="F970" s="124"/>
      <c r="G970" s="124"/>
      <c r="H970" s="124"/>
      <c r="J970" s="124"/>
      <c r="K970" s="124"/>
    </row>
    <row r="971" ht="15.75" customHeight="1">
      <c r="C971" s="155"/>
      <c r="E971" s="124"/>
      <c r="F971" s="124"/>
      <c r="G971" s="124"/>
      <c r="H971" s="124"/>
      <c r="J971" s="124"/>
      <c r="K971" s="124"/>
    </row>
    <row r="972" ht="15.75" customHeight="1">
      <c r="C972" s="155"/>
      <c r="E972" s="124"/>
      <c r="F972" s="124"/>
      <c r="G972" s="124"/>
      <c r="H972" s="124"/>
      <c r="J972" s="124"/>
      <c r="K972" s="124"/>
    </row>
    <row r="973" ht="15.75" customHeight="1">
      <c r="C973" s="155"/>
      <c r="E973" s="124"/>
      <c r="F973" s="124"/>
      <c r="G973" s="124"/>
      <c r="H973" s="124"/>
      <c r="J973" s="124"/>
      <c r="K973" s="124"/>
    </row>
    <row r="974" ht="15.75" customHeight="1">
      <c r="C974" s="155"/>
      <c r="E974" s="124"/>
      <c r="F974" s="124"/>
      <c r="G974" s="124"/>
      <c r="H974" s="124"/>
      <c r="J974" s="124"/>
      <c r="K974" s="124"/>
    </row>
    <row r="975" ht="15.75" customHeight="1">
      <c r="C975" s="155"/>
      <c r="E975" s="124"/>
      <c r="F975" s="124"/>
      <c r="G975" s="124"/>
      <c r="H975" s="124"/>
      <c r="J975" s="124"/>
      <c r="K975" s="124"/>
    </row>
    <row r="976" ht="15.75" customHeight="1">
      <c r="C976" s="155"/>
      <c r="E976" s="124"/>
      <c r="F976" s="124"/>
      <c r="G976" s="124"/>
      <c r="H976" s="124"/>
      <c r="J976" s="124"/>
      <c r="K976" s="124"/>
    </row>
    <row r="977" ht="15.75" customHeight="1">
      <c r="C977" s="155"/>
      <c r="E977" s="124"/>
      <c r="F977" s="124"/>
      <c r="G977" s="124"/>
      <c r="H977" s="124"/>
      <c r="J977" s="124"/>
      <c r="K977" s="124"/>
    </row>
    <row r="978" ht="15.75" customHeight="1">
      <c r="C978" s="155"/>
      <c r="E978" s="124"/>
      <c r="F978" s="124"/>
      <c r="G978" s="124"/>
      <c r="H978" s="124"/>
      <c r="J978" s="124"/>
      <c r="K978" s="124"/>
    </row>
    <row r="979" ht="15.75" customHeight="1">
      <c r="C979" s="155"/>
      <c r="E979" s="124"/>
      <c r="F979" s="124"/>
      <c r="G979" s="124"/>
      <c r="H979" s="124"/>
      <c r="J979" s="124"/>
      <c r="K979" s="124"/>
    </row>
    <row r="980" ht="15.75" customHeight="1">
      <c r="C980" s="155"/>
      <c r="E980" s="124"/>
      <c r="F980" s="124"/>
      <c r="G980" s="124"/>
      <c r="H980" s="124"/>
      <c r="J980" s="124"/>
      <c r="K980" s="124"/>
    </row>
    <row r="981" ht="15.75" customHeight="1">
      <c r="C981" s="155"/>
      <c r="E981" s="124"/>
      <c r="F981" s="124"/>
      <c r="G981" s="124"/>
      <c r="H981" s="124"/>
      <c r="J981" s="124"/>
      <c r="K981" s="124"/>
    </row>
    <row r="982" ht="15.75" customHeight="1">
      <c r="C982" s="155"/>
      <c r="E982" s="124"/>
      <c r="F982" s="124"/>
      <c r="G982" s="124"/>
      <c r="H982" s="124"/>
      <c r="J982" s="124"/>
      <c r="K982" s="124"/>
    </row>
    <row r="983" ht="15.75" customHeight="1">
      <c r="C983" s="155"/>
      <c r="E983" s="124"/>
      <c r="F983" s="124"/>
      <c r="G983" s="124"/>
      <c r="H983" s="124"/>
      <c r="J983" s="124"/>
      <c r="K983" s="124"/>
    </row>
    <row r="984" ht="15.75" customHeight="1">
      <c r="C984" s="155"/>
      <c r="E984" s="124"/>
      <c r="F984" s="124"/>
      <c r="G984" s="124"/>
      <c r="H984" s="124"/>
      <c r="J984" s="124"/>
      <c r="K984" s="124"/>
    </row>
    <row r="985" ht="15.75" customHeight="1">
      <c r="C985" s="155"/>
      <c r="E985" s="124"/>
      <c r="F985" s="124"/>
      <c r="G985" s="124"/>
      <c r="H985" s="124"/>
      <c r="J985" s="124"/>
      <c r="K985" s="124"/>
    </row>
    <row r="986" ht="15.75" customHeight="1">
      <c r="C986" s="155"/>
      <c r="E986" s="124"/>
      <c r="F986" s="124"/>
      <c r="G986" s="124"/>
      <c r="H986" s="124"/>
      <c r="J986" s="124"/>
      <c r="K986" s="124"/>
    </row>
    <row r="987" ht="15.75" customHeight="1">
      <c r="C987" s="155"/>
      <c r="E987" s="124"/>
      <c r="F987" s="124"/>
      <c r="G987" s="124"/>
      <c r="H987" s="124"/>
      <c r="J987" s="124"/>
      <c r="K987" s="124"/>
    </row>
    <row r="988" ht="15.75" customHeight="1">
      <c r="C988" s="155"/>
      <c r="E988" s="124"/>
      <c r="F988" s="124"/>
      <c r="G988" s="124"/>
      <c r="H988" s="124"/>
      <c r="J988" s="124"/>
      <c r="K988" s="124"/>
    </row>
    <row r="989" ht="15.75" customHeight="1">
      <c r="C989" s="155"/>
      <c r="E989" s="124"/>
      <c r="F989" s="124"/>
      <c r="G989" s="124"/>
      <c r="H989" s="124"/>
      <c r="J989" s="124"/>
      <c r="K989" s="124"/>
    </row>
    <row r="990" ht="15.75" customHeight="1">
      <c r="C990" s="155"/>
      <c r="E990" s="124"/>
      <c r="F990" s="124"/>
      <c r="G990" s="124"/>
      <c r="H990" s="124"/>
      <c r="J990" s="124"/>
      <c r="K990" s="124"/>
    </row>
    <row r="991" ht="15.75" customHeight="1">
      <c r="C991" s="155"/>
      <c r="E991" s="124"/>
      <c r="F991" s="124"/>
      <c r="G991" s="124"/>
      <c r="H991" s="124"/>
      <c r="J991" s="124"/>
      <c r="K991" s="124"/>
    </row>
    <row r="992" ht="15.75" customHeight="1">
      <c r="C992" s="155"/>
      <c r="E992" s="124"/>
      <c r="F992" s="124"/>
      <c r="G992" s="124"/>
      <c r="H992" s="124"/>
      <c r="J992" s="124"/>
      <c r="K992" s="124"/>
    </row>
    <row r="993" ht="15.75" customHeight="1">
      <c r="C993" s="155"/>
      <c r="E993" s="124"/>
      <c r="F993" s="124"/>
      <c r="G993" s="124"/>
      <c r="H993" s="124"/>
      <c r="J993" s="124"/>
      <c r="K993" s="124"/>
    </row>
    <row r="994" ht="15.75" customHeight="1">
      <c r="C994" s="155"/>
      <c r="E994" s="124"/>
      <c r="F994" s="124"/>
      <c r="G994" s="124"/>
      <c r="H994" s="124"/>
      <c r="J994" s="124"/>
      <c r="K994" s="124"/>
    </row>
    <row r="995" ht="15.75" customHeight="1">
      <c r="C995" s="155"/>
      <c r="E995" s="124"/>
      <c r="F995" s="124"/>
      <c r="G995" s="124"/>
      <c r="H995" s="124"/>
      <c r="J995" s="124"/>
      <c r="K995" s="124"/>
    </row>
    <row r="996" ht="15.75" customHeight="1">
      <c r="C996" s="155"/>
      <c r="E996" s="124"/>
      <c r="F996" s="124"/>
      <c r="G996" s="124"/>
      <c r="H996" s="124"/>
      <c r="J996" s="124"/>
      <c r="K996" s="124"/>
    </row>
    <row r="997" ht="15.75" customHeight="1">
      <c r="C997" s="155"/>
      <c r="E997" s="124"/>
      <c r="F997" s="124"/>
      <c r="G997" s="124"/>
      <c r="H997" s="124"/>
      <c r="J997" s="124"/>
      <c r="K997" s="124"/>
    </row>
    <row r="998" ht="15.75" customHeight="1">
      <c r="C998" s="155"/>
      <c r="E998" s="124"/>
      <c r="F998" s="124"/>
      <c r="G998" s="124"/>
      <c r="H998" s="124"/>
      <c r="J998" s="124"/>
      <c r="K998" s="124"/>
    </row>
    <row r="999" ht="15.75" customHeight="1">
      <c r="C999" s="155"/>
      <c r="E999" s="124"/>
      <c r="F999" s="124"/>
      <c r="G999" s="124"/>
      <c r="H999" s="124"/>
      <c r="J999" s="124"/>
      <c r="K999" s="124"/>
    </row>
    <row r="1000" ht="15.75" customHeight="1">
      <c r="C1000" s="155"/>
      <c r="E1000" s="124"/>
      <c r="F1000" s="124"/>
      <c r="G1000" s="124"/>
      <c r="H1000" s="124"/>
      <c r="J1000" s="124"/>
      <c r="K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65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5.75" customHeight="1">
      <c r="A1" s="175" t="s">
        <v>104</v>
      </c>
      <c r="B1" s="175" t="s">
        <v>105</v>
      </c>
      <c r="D1" s="175" t="s">
        <v>106</v>
      </c>
      <c r="F1" s="175" t="s">
        <v>20</v>
      </c>
    </row>
    <row r="2" ht="15.75" customHeight="1">
      <c r="A2" s="124"/>
      <c r="B2" s="175" t="s">
        <v>107</v>
      </c>
      <c r="C2" s="175" t="s">
        <v>15</v>
      </c>
      <c r="D2" s="175" t="s">
        <v>107</v>
      </c>
      <c r="E2" s="175" t="s">
        <v>15</v>
      </c>
    </row>
    <row r="3" ht="15.75" customHeight="1">
      <c r="A3" s="124"/>
    </row>
    <row r="4" ht="15.75" customHeight="1">
      <c r="A4" s="124"/>
    </row>
    <row r="5" ht="15.75" customHeight="1">
      <c r="A5" s="124"/>
    </row>
    <row r="6" ht="15.75" customHeight="1">
      <c r="A6" s="124"/>
    </row>
    <row r="7" ht="15.75" customHeight="1">
      <c r="A7" s="124"/>
    </row>
    <row r="8" ht="15.75" customHeight="1">
      <c r="A8" s="124"/>
    </row>
    <row r="9" ht="15.75" customHeight="1">
      <c r="A9" s="124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1.22" defaultRowHeight="15.0"/>
  <cols>
    <col customWidth="1" min="1" max="1" width="3.44"/>
    <col customWidth="1" min="2" max="2" width="14.33"/>
    <col customWidth="1" min="3" max="3" width="20.0"/>
    <col customWidth="1" min="4" max="4" width="14.89"/>
    <col customWidth="1" min="5" max="5" width="15.11"/>
    <col customWidth="1" min="6" max="10" width="15.67"/>
    <col customWidth="1" min="11" max="11" width="11.0"/>
    <col customWidth="1" min="12" max="12" width="14.33"/>
    <col customWidth="1" min="13" max="13" width="16.0"/>
    <col customWidth="1" min="14" max="14" width="13.44"/>
    <col customWidth="1" min="15" max="15" width="14.11"/>
    <col customWidth="1" min="16" max="16" width="17.22"/>
    <col customWidth="1" min="17" max="17" width="17.11"/>
    <col customWidth="1" min="18" max="18" width="17.67"/>
    <col customWidth="1" min="19" max="19" width="16.11"/>
    <col customWidth="1" min="20" max="20" width="18.11"/>
    <col customWidth="1" min="21" max="22" width="19.11"/>
    <col customWidth="1" min="23" max="23" width="20.78"/>
    <col customWidth="1" min="24" max="24" width="11.89"/>
    <col customWidth="1" min="25" max="26" width="11.78"/>
    <col customWidth="1" min="27" max="28" width="11.0"/>
    <col customWidth="1" min="29" max="29" width="12.67"/>
  </cols>
  <sheetData>
    <row r="1" ht="25.5" customHeight="1">
      <c r="A1" s="113" t="s">
        <v>21</v>
      </c>
    </row>
    <row r="2" ht="25.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ht="15.75" customHeight="1">
      <c r="A3" s="114" t="s">
        <v>22</v>
      </c>
      <c r="B3" s="114" t="s">
        <v>23</v>
      </c>
      <c r="C3" s="115" t="s">
        <v>24</v>
      </c>
      <c r="D3" s="116" t="s">
        <v>25</v>
      </c>
      <c r="E3" s="116" t="s">
        <v>26</v>
      </c>
      <c r="F3" s="116" t="s">
        <v>27</v>
      </c>
      <c r="G3" s="116" t="s">
        <v>28</v>
      </c>
      <c r="H3" s="116" t="s">
        <v>29</v>
      </c>
      <c r="I3" s="116" t="s">
        <v>30</v>
      </c>
      <c r="J3" s="116" t="s">
        <v>31</v>
      </c>
      <c r="K3" s="116" t="s">
        <v>32</v>
      </c>
      <c r="L3" s="116" t="s">
        <v>33</v>
      </c>
      <c r="M3" s="117" t="s">
        <v>34</v>
      </c>
      <c r="N3" s="117" t="s">
        <v>35</v>
      </c>
      <c r="O3" s="118" t="s">
        <v>36</v>
      </c>
      <c r="P3" s="118" t="s">
        <v>37</v>
      </c>
      <c r="Q3" s="118" t="s">
        <v>38</v>
      </c>
      <c r="R3" s="119" t="s">
        <v>39</v>
      </c>
      <c r="S3" s="119" t="s">
        <v>40</v>
      </c>
      <c r="T3" s="120" t="s">
        <v>41</v>
      </c>
      <c r="U3" s="121" t="s">
        <v>42</v>
      </c>
      <c r="V3" s="122" t="s">
        <v>43</v>
      </c>
      <c r="W3" s="123" t="s">
        <v>44</v>
      </c>
      <c r="X3" s="123" t="s">
        <v>45</v>
      </c>
      <c r="Y3" s="123" t="s">
        <v>46</v>
      </c>
      <c r="Z3" s="123" t="s">
        <v>47</v>
      </c>
      <c r="AA3" s="124"/>
    </row>
    <row r="4" ht="15.75" customHeight="1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124"/>
    </row>
    <row r="5" ht="15.75" customHeight="1">
      <c r="A5" s="125">
        <v>1.0</v>
      </c>
      <c r="B5" s="126">
        <v>45080.0</v>
      </c>
      <c r="C5" s="125" t="s">
        <v>48</v>
      </c>
      <c r="D5" s="127">
        <v>2603.0</v>
      </c>
      <c r="E5" s="128">
        <v>0.0</v>
      </c>
      <c r="F5" s="128">
        <v>0.0</v>
      </c>
      <c r="G5" s="128">
        <v>0.0</v>
      </c>
      <c r="H5" s="128"/>
      <c r="I5" s="128"/>
      <c r="J5" s="128"/>
      <c r="K5" s="127">
        <v>100.0</v>
      </c>
      <c r="L5" s="128">
        <v>0.0</v>
      </c>
      <c r="M5" s="127">
        <f>(D5*14000)+(E5*13000)+(F5*12000)+(G5*11000)+(K5*14000)</f>
        <v>37842000</v>
      </c>
      <c r="N5" s="128">
        <v>0.0</v>
      </c>
      <c r="O5" s="129">
        <v>400000.0</v>
      </c>
      <c r="P5" s="129">
        <v>322000.0</v>
      </c>
      <c r="Q5" s="129">
        <v>500000.0</v>
      </c>
      <c r="R5" s="129">
        <v>0.0</v>
      </c>
      <c r="S5" s="129">
        <v>100000.0</v>
      </c>
      <c r="T5" s="129">
        <f t="shared" ref="T5:T14" si="1">(SUM(D5:G5)+L5)*$D$116</f>
        <v>6640305.06</v>
      </c>
      <c r="U5" s="129">
        <f t="shared" ref="U5:U14" si="2">SUM(M5:S5)</f>
        <v>39164000</v>
      </c>
      <c r="V5" s="129">
        <f t="shared" ref="V5:V14" si="3">SUM(O5:T5)</f>
        <v>7962305.06</v>
      </c>
      <c r="W5" s="129">
        <f t="shared" ref="W5:W14" si="4">V5/(SUM(D5:G5)+L5)</f>
        <v>3058.895528</v>
      </c>
      <c r="X5" s="129">
        <f t="shared" ref="X5:X14" si="5">M5/SUM(D5:K5)+W5</f>
        <v>17058.89553</v>
      </c>
      <c r="Y5" s="129"/>
      <c r="Z5" s="129">
        <f>K5*14000</f>
        <v>1400000</v>
      </c>
      <c r="AA5" s="124"/>
    </row>
    <row r="6" ht="15.75" customHeight="1">
      <c r="A6" s="125">
        <v>2.0</v>
      </c>
      <c r="B6" s="126">
        <v>45081.0</v>
      </c>
      <c r="C6" s="125" t="s">
        <v>49</v>
      </c>
      <c r="D6" s="128"/>
      <c r="E6" s="127">
        <v>4154.0</v>
      </c>
      <c r="F6" s="128">
        <v>0.0</v>
      </c>
      <c r="G6" s="128">
        <v>0.0</v>
      </c>
      <c r="H6" s="128"/>
      <c r="I6" s="128"/>
      <c r="J6" s="128"/>
      <c r="K6" s="127">
        <v>18.0</v>
      </c>
      <c r="L6" s="127">
        <v>112.0</v>
      </c>
      <c r="M6" s="127">
        <f t="shared" ref="M6:M12" si="6">SUM(D6:K6)*13000</f>
        <v>54236000</v>
      </c>
      <c r="N6" s="127">
        <f t="shared" ref="N6:N14" si="7">L6*7000</f>
        <v>784000</v>
      </c>
      <c r="O6" s="129">
        <v>612000.0</v>
      </c>
      <c r="P6" s="129">
        <v>414000.0</v>
      </c>
      <c r="Q6" s="129">
        <v>750000.0</v>
      </c>
      <c r="R6" s="130">
        <v>428000.0</v>
      </c>
      <c r="S6" s="130">
        <v>1285200.0</v>
      </c>
      <c r="T6" s="129">
        <f t="shared" si="1"/>
        <v>10882651.32</v>
      </c>
      <c r="U6" s="129">
        <f t="shared" si="2"/>
        <v>58509200</v>
      </c>
      <c r="V6" s="129">
        <f t="shared" si="3"/>
        <v>14371851.32</v>
      </c>
      <c r="W6" s="129">
        <f t="shared" si="4"/>
        <v>3368.929048</v>
      </c>
      <c r="X6" s="129">
        <f t="shared" si="5"/>
        <v>16368.92905</v>
      </c>
      <c r="Y6" s="129">
        <f t="shared" ref="Y6:Y14" si="8">(N6/L6)+W6</f>
        <v>10368.92905</v>
      </c>
      <c r="Z6" s="129">
        <f t="shared" ref="Z6:Z12" si="9">K6*13000</f>
        <v>234000</v>
      </c>
      <c r="AA6" s="124"/>
    </row>
    <row r="7" ht="15.75" customHeight="1">
      <c r="A7" s="125">
        <v>3.0</v>
      </c>
      <c r="B7" s="126">
        <v>45087.0</v>
      </c>
      <c r="C7" s="125" t="s">
        <v>48</v>
      </c>
      <c r="D7" s="128">
        <v>0.0</v>
      </c>
      <c r="E7" s="127">
        <v>2420.0</v>
      </c>
      <c r="F7" s="128">
        <v>0.0</v>
      </c>
      <c r="G7" s="128">
        <v>0.0</v>
      </c>
      <c r="H7" s="128"/>
      <c r="I7" s="128"/>
      <c r="J7" s="128"/>
      <c r="K7" s="127">
        <v>10.0</v>
      </c>
      <c r="L7" s="127">
        <v>90.0</v>
      </c>
      <c r="M7" s="127">
        <f t="shared" si="6"/>
        <v>31590000</v>
      </c>
      <c r="N7" s="127">
        <f t="shared" si="7"/>
        <v>630000</v>
      </c>
      <c r="O7" s="129">
        <v>360000.0</v>
      </c>
      <c r="P7" s="129">
        <v>322000.0</v>
      </c>
      <c r="Q7" s="129">
        <v>500000.0</v>
      </c>
      <c r="R7" s="129">
        <v>252000.0</v>
      </c>
      <c r="S7" s="129">
        <v>756000.0</v>
      </c>
      <c r="T7" s="129">
        <f t="shared" si="1"/>
        <v>6403060.2</v>
      </c>
      <c r="U7" s="129">
        <f t="shared" si="2"/>
        <v>34410000</v>
      </c>
      <c r="V7" s="129">
        <f t="shared" si="3"/>
        <v>8593060.2</v>
      </c>
      <c r="W7" s="129">
        <f t="shared" si="4"/>
        <v>3423.52996</v>
      </c>
      <c r="X7" s="129">
        <f t="shared" si="5"/>
        <v>16423.52996</v>
      </c>
      <c r="Y7" s="129">
        <f t="shared" si="8"/>
        <v>10423.52996</v>
      </c>
      <c r="Z7" s="129">
        <f t="shared" si="9"/>
        <v>130000</v>
      </c>
      <c r="AA7" s="124"/>
    </row>
    <row r="8" ht="15.75" customHeight="1">
      <c r="A8" s="125">
        <v>4.0</v>
      </c>
      <c r="B8" s="126">
        <v>45089.0</v>
      </c>
      <c r="C8" s="125" t="s">
        <v>50</v>
      </c>
      <c r="D8" s="128">
        <v>0.0</v>
      </c>
      <c r="E8" s="127">
        <f>4389+24</f>
        <v>4413</v>
      </c>
      <c r="F8" s="128">
        <v>0.0</v>
      </c>
      <c r="G8" s="128">
        <v>0.0</v>
      </c>
      <c r="H8" s="128"/>
      <c r="I8" s="128"/>
      <c r="J8" s="128"/>
      <c r="K8" s="127">
        <f>111-24</f>
        <v>87</v>
      </c>
      <c r="L8" s="131">
        <v>56.0</v>
      </c>
      <c r="M8" s="127">
        <f t="shared" si="6"/>
        <v>58500000</v>
      </c>
      <c r="N8" s="127">
        <f t="shared" si="7"/>
        <v>392000</v>
      </c>
      <c r="O8" s="129">
        <v>660000.0</v>
      </c>
      <c r="P8" s="129">
        <v>414000.0</v>
      </c>
      <c r="Q8" s="129">
        <v>750000.0</v>
      </c>
      <c r="R8" s="129">
        <v>455600.0</v>
      </c>
      <c r="S8" s="129">
        <v>1366800.0</v>
      </c>
      <c r="T8" s="129">
        <f t="shared" si="1"/>
        <v>11400508.38</v>
      </c>
      <c r="U8" s="129">
        <f t="shared" si="2"/>
        <v>62538400</v>
      </c>
      <c r="V8" s="129">
        <f t="shared" si="3"/>
        <v>15046908.38</v>
      </c>
      <c r="W8" s="129">
        <f t="shared" si="4"/>
        <v>3366.951976</v>
      </c>
      <c r="X8" s="129">
        <f t="shared" si="5"/>
        <v>16366.95198</v>
      </c>
      <c r="Y8" s="129">
        <f t="shared" si="8"/>
        <v>10366.95198</v>
      </c>
      <c r="Z8" s="129">
        <f t="shared" si="9"/>
        <v>1131000</v>
      </c>
      <c r="AA8" s="124"/>
    </row>
    <row r="9" ht="15.75" customHeight="1">
      <c r="A9" s="125">
        <v>5.0</v>
      </c>
      <c r="B9" s="126">
        <v>45091.0</v>
      </c>
      <c r="C9" s="125" t="s">
        <v>51</v>
      </c>
      <c r="D9" s="128">
        <v>0.0</v>
      </c>
      <c r="E9" s="127">
        <v>4378.0</v>
      </c>
      <c r="F9" s="128">
        <v>0.0</v>
      </c>
      <c r="G9" s="128">
        <v>0.0</v>
      </c>
      <c r="H9" s="128"/>
      <c r="I9" s="128"/>
      <c r="J9" s="128"/>
      <c r="K9" s="127">
        <v>4.0</v>
      </c>
      <c r="L9" s="127">
        <v>70.0</v>
      </c>
      <c r="M9" s="127">
        <f t="shared" si="6"/>
        <v>56966000</v>
      </c>
      <c r="N9" s="127">
        <f t="shared" si="7"/>
        <v>490000</v>
      </c>
      <c r="O9" s="129">
        <v>636000.0</v>
      </c>
      <c r="P9" s="129">
        <v>529000.0</v>
      </c>
      <c r="Q9" s="129">
        <v>750000.0</v>
      </c>
      <c r="R9" s="129">
        <v>445200.0</v>
      </c>
      <c r="S9" s="129">
        <v>1335600.0</v>
      </c>
      <c r="T9" s="129">
        <f t="shared" si="1"/>
        <v>11346936.96</v>
      </c>
      <c r="U9" s="129">
        <f t="shared" si="2"/>
        <v>61151800</v>
      </c>
      <c r="V9" s="129">
        <f t="shared" si="3"/>
        <v>15042736.96</v>
      </c>
      <c r="W9" s="129">
        <f t="shared" si="4"/>
        <v>3381.910288</v>
      </c>
      <c r="X9" s="129">
        <f t="shared" si="5"/>
        <v>16381.91029</v>
      </c>
      <c r="Y9" s="129">
        <f t="shared" si="8"/>
        <v>10381.91029</v>
      </c>
      <c r="Z9" s="129">
        <f t="shared" si="9"/>
        <v>52000</v>
      </c>
    </row>
    <row r="10" ht="15.75" customHeight="1">
      <c r="A10" s="125">
        <v>6.0</v>
      </c>
      <c r="B10" s="126">
        <v>45092.0</v>
      </c>
      <c r="C10" s="125" t="s">
        <v>52</v>
      </c>
      <c r="D10" s="128">
        <v>0.0</v>
      </c>
      <c r="E10" s="127">
        <v>5844.0</v>
      </c>
      <c r="F10" s="128">
        <v>0.0</v>
      </c>
      <c r="G10" s="128">
        <v>0.0</v>
      </c>
      <c r="H10" s="128"/>
      <c r="I10" s="128"/>
      <c r="J10" s="128"/>
      <c r="K10" s="128">
        <v>0.0</v>
      </c>
      <c r="L10" s="127">
        <v>140.0</v>
      </c>
      <c r="M10" s="127">
        <f t="shared" si="6"/>
        <v>75972000</v>
      </c>
      <c r="N10" s="127">
        <f t="shared" si="7"/>
        <v>980000</v>
      </c>
      <c r="O10" s="129">
        <v>892000.0</v>
      </c>
      <c r="P10" s="129">
        <v>575000.0</v>
      </c>
      <c r="Q10" s="129">
        <v>1000000.0</v>
      </c>
      <c r="R10" s="129">
        <v>598000.0</v>
      </c>
      <c r="S10" s="129">
        <v>1795200.0</v>
      </c>
      <c r="T10" s="129">
        <f t="shared" si="1"/>
        <v>15265303.68</v>
      </c>
      <c r="U10" s="129">
        <f t="shared" si="2"/>
        <v>81812200</v>
      </c>
      <c r="V10" s="129">
        <f t="shared" si="3"/>
        <v>20125503.68</v>
      </c>
      <c r="W10" s="129">
        <f t="shared" si="4"/>
        <v>3363.219198</v>
      </c>
      <c r="X10" s="129">
        <f t="shared" si="5"/>
        <v>16363.2192</v>
      </c>
      <c r="Y10" s="129">
        <f t="shared" si="8"/>
        <v>10363.2192</v>
      </c>
      <c r="Z10" s="129">
        <f t="shared" si="9"/>
        <v>0</v>
      </c>
    </row>
    <row r="11" ht="15.75" customHeight="1">
      <c r="A11" s="125">
        <v>7.0</v>
      </c>
      <c r="B11" s="126">
        <v>45098.0</v>
      </c>
      <c r="C11" s="125" t="s">
        <v>51</v>
      </c>
      <c r="D11" s="128">
        <v>0.0</v>
      </c>
      <c r="E11" s="127">
        <v>6450.0</v>
      </c>
      <c r="F11" s="128">
        <v>0.0</v>
      </c>
      <c r="G11" s="128">
        <v>0.0</v>
      </c>
      <c r="H11" s="128"/>
      <c r="I11" s="128"/>
      <c r="J11" s="128"/>
      <c r="K11" s="127">
        <v>96.0</v>
      </c>
      <c r="L11" s="127">
        <v>90.0</v>
      </c>
      <c r="M11" s="127">
        <f t="shared" si="6"/>
        <v>85098000</v>
      </c>
      <c r="N11" s="127">
        <f t="shared" si="7"/>
        <v>630000</v>
      </c>
      <c r="O11" s="129">
        <v>948000.0</v>
      </c>
      <c r="P11" s="129">
        <v>644000.0</v>
      </c>
      <c r="Q11" s="129">
        <v>1000000.0</v>
      </c>
      <c r="R11" s="129">
        <v>663000.0</v>
      </c>
      <c r="S11" s="129">
        <v>1990800.0</v>
      </c>
      <c r="T11" s="129">
        <f t="shared" si="1"/>
        <v>16683670.8</v>
      </c>
      <c r="U11" s="129">
        <f t="shared" si="2"/>
        <v>90973800</v>
      </c>
      <c r="V11" s="129">
        <f t="shared" si="3"/>
        <v>21929470.8</v>
      </c>
      <c r="W11" s="129">
        <f t="shared" si="4"/>
        <v>3353.130092</v>
      </c>
      <c r="X11" s="129">
        <f t="shared" si="5"/>
        <v>16353.13009</v>
      </c>
      <c r="Y11" s="129">
        <f t="shared" si="8"/>
        <v>10353.13009</v>
      </c>
      <c r="Z11" s="129">
        <f t="shared" si="9"/>
        <v>1248000</v>
      </c>
    </row>
    <row r="12" ht="15.75" customHeight="1">
      <c r="A12" s="125">
        <v>8.0</v>
      </c>
      <c r="B12" s="126">
        <v>45101.0</v>
      </c>
      <c r="C12" s="125" t="s">
        <v>53</v>
      </c>
      <c r="D12" s="128">
        <v>0.0</v>
      </c>
      <c r="E12" s="127">
        <v>7610.0</v>
      </c>
      <c r="F12" s="128">
        <v>0.0</v>
      </c>
      <c r="G12" s="128">
        <v>0.0</v>
      </c>
      <c r="H12" s="128"/>
      <c r="I12" s="128"/>
      <c r="J12" s="128"/>
      <c r="K12" s="128">
        <v>0.0</v>
      </c>
      <c r="L12" s="127">
        <v>90.0</v>
      </c>
      <c r="M12" s="127">
        <f t="shared" si="6"/>
        <v>98930000</v>
      </c>
      <c r="N12" s="127">
        <f t="shared" si="7"/>
        <v>630000</v>
      </c>
      <c r="O12" s="129">
        <v>1100000.0</v>
      </c>
      <c r="P12" s="129">
        <v>874000.0</v>
      </c>
      <c r="Q12" s="129">
        <v>1250000.0</v>
      </c>
      <c r="R12" s="129">
        <v>770000.0</v>
      </c>
      <c r="S12" s="129">
        <v>2310000.0</v>
      </c>
      <c r="T12" s="129">
        <f t="shared" si="1"/>
        <v>19642854</v>
      </c>
      <c r="U12" s="129">
        <f t="shared" si="2"/>
        <v>105864000</v>
      </c>
      <c r="V12" s="129">
        <f t="shared" si="3"/>
        <v>25946854</v>
      </c>
      <c r="W12" s="129">
        <f t="shared" si="4"/>
        <v>3369.721299</v>
      </c>
      <c r="X12" s="129">
        <f t="shared" si="5"/>
        <v>16369.7213</v>
      </c>
      <c r="Y12" s="129">
        <f t="shared" si="8"/>
        <v>10369.7213</v>
      </c>
      <c r="Z12" s="129">
        <f t="shared" si="9"/>
        <v>0</v>
      </c>
    </row>
    <row r="13" ht="15.75" customHeight="1">
      <c r="A13" s="125">
        <v>9.0</v>
      </c>
      <c r="B13" s="126">
        <v>45102.0</v>
      </c>
      <c r="C13" s="125" t="s">
        <v>48</v>
      </c>
      <c r="D13" s="128">
        <v>0.0</v>
      </c>
      <c r="E13" s="128">
        <v>0.0</v>
      </c>
      <c r="F13" s="127">
        <v>6027.0</v>
      </c>
      <c r="G13" s="128">
        <v>0.0</v>
      </c>
      <c r="H13" s="128"/>
      <c r="I13" s="128"/>
      <c r="J13" s="128"/>
      <c r="K13" s="127">
        <v>116.0</v>
      </c>
      <c r="L13" s="127">
        <v>213.0</v>
      </c>
      <c r="M13" s="127">
        <f t="shared" ref="M13:M14" si="10">SUM(D13:K13)*12000</f>
        <v>73716000</v>
      </c>
      <c r="N13" s="127">
        <f t="shared" si="7"/>
        <v>1491000</v>
      </c>
      <c r="O13" s="129">
        <v>908000.0</v>
      </c>
      <c r="P13" s="129">
        <v>690000.0</v>
      </c>
      <c r="Q13" s="129">
        <v>1000000.0</v>
      </c>
      <c r="R13" s="129">
        <v>635600.0</v>
      </c>
      <c r="S13" s="129">
        <v>1906800.0</v>
      </c>
      <c r="T13" s="129">
        <f t="shared" si="1"/>
        <v>15918364.8</v>
      </c>
      <c r="U13" s="129">
        <f t="shared" si="2"/>
        <v>80347400</v>
      </c>
      <c r="V13" s="129">
        <f t="shared" si="3"/>
        <v>21058764.8</v>
      </c>
      <c r="W13" s="129">
        <f t="shared" si="4"/>
        <v>3374.802051</v>
      </c>
      <c r="X13" s="129">
        <f t="shared" si="5"/>
        <v>15374.80205</v>
      </c>
      <c r="Y13" s="129">
        <f t="shared" si="8"/>
        <v>10374.80205</v>
      </c>
      <c r="Z13" s="129">
        <f t="shared" ref="Z13:Z14" si="11">K13*12000</f>
        <v>1392000</v>
      </c>
    </row>
    <row r="14" ht="15.75" customHeight="1">
      <c r="A14" s="125">
        <v>10.0</v>
      </c>
      <c r="B14" s="126">
        <v>45103.0</v>
      </c>
      <c r="C14" s="125" t="s">
        <v>49</v>
      </c>
      <c r="D14" s="128">
        <v>0.0</v>
      </c>
      <c r="E14" s="128">
        <v>0.0</v>
      </c>
      <c r="F14" s="127">
        <v>2949.0</v>
      </c>
      <c r="G14" s="128">
        <v>0.0</v>
      </c>
      <c r="H14" s="128"/>
      <c r="I14" s="128"/>
      <c r="J14" s="128"/>
      <c r="K14" s="127">
        <v>26.0</v>
      </c>
      <c r="L14" s="127">
        <v>105.0</v>
      </c>
      <c r="M14" s="127">
        <f t="shared" si="10"/>
        <v>35700000</v>
      </c>
      <c r="N14" s="127">
        <f t="shared" si="7"/>
        <v>735000</v>
      </c>
      <c r="O14" s="129">
        <v>440000.0</v>
      </c>
      <c r="P14" s="129">
        <v>368000.0</v>
      </c>
      <c r="Q14" s="129">
        <v>500000.0</v>
      </c>
      <c r="R14" s="129">
        <v>308000.0</v>
      </c>
      <c r="S14" s="129">
        <v>924000.0</v>
      </c>
      <c r="T14" s="129">
        <f t="shared" si="1"/>
        <v>7790815.08</v>
      </c>
      <c r="U14" s="129">
        <f t="shared" si="2"/>
        <v>38975000</v>
      </c>
      <c r="V14" s="129">
        <f t="shared" si="3"/>
        <v>10330815.08</v>
      </c>
      <c r="W14" s="129">
        <f t="shared" si="4"/>
        <v>3382.716136</v>
      </c>
      <c r="X14" s="129">
        <f t="shared" si="5"/>
        <v>15382.71614</v>
      </c>
      <c r="Y14" s="129">
        <f t="shared" si="8"/>
        <v>10382.71614</v>
      </c>
      <c r="Z14" s="129">
        <f t="shared" si="11"/>
        <v>312000</v>
      </c>
    </row>
    <row r="15" ht="15.75" customHeight="1">
      <c r="A15" s="132" t="s">
        <v>54</v>
      </c>
      <c r="B15" s="133"/>
      <c r="C15" s="134"/>
      <c r="D15" s="135">
        <f t="shared" ref="D15:G15" si="12">SUM(D5:D14)</f>
        <v>2603</v>
      </c>
      <c r="E15" s="135">
        <f t="shared" si="12"/>
        <v>35269</v>
      </c>
      <c r="F15" s="135">
        <f t="shared" si="12"/>
        <v>8976</v>
      </c>
      <c r="G15" s="136">
        <f t="shared" si="12"/>
        <v>0</v>
      </c>
      <c r="H15" s="137"/>
      <c r="I15" s="137"/>
      <c r="J15" s="137"/>
      <c r="K15" s="135">
        <f t="shared" ref="K15:V15" si="13">SUM(K5:K14)</f>
        <v>457</v>
      </c>
      <c r="L15" s="135">
        <f t="shared" si="13"/>
        <v>966</v>
      </c>
      <c r="M15" s="135">
        <f t="shared" si="13"/>
        <v>608550000</v>
      </c>
      <c r="N15" s="135">
        <f t="shared" si="13"/>
        <v>6762000</v>
      </c>
      <c r="O15" s="138">
        <f t="shared" si="13"/>
        <v>6956000</v>
      </c>
      <c r="P15" s="138">
        <f t="shared" si="13"/>
        <v>5152000</v>
      </c>
      <c r="Q15" s="138">
        <f t="shared" si="13"/>
        <v>8000000</v>
      </c>
      <c r="R15" s="138">
        <f t="shared" si="13"/>
        <v>4555400</v>
      </c>
      <c r="S15" s="138">
        <f t="shared" si="13"/>
        <v>13770400</v>
      </c>
      <c r="T15" s="138">
        <f t="shared" si="13"/>
        <v>121974470.3</v>
      </c>
      <c r="U15" s="138">
        <f t="shared" si="13"/>
        <v>653745800</v>
      </c>
      <c r="V15" s="138">
        <f t="shared" si="13"/>
        <v>160408270.3</v>
      </c>
      <c r="W15" s="139"/>
      <c r="X15" s="139"/>
      <c r="Y15" s="139"/>
      <c r="Z15" s="139"/>
    </row>
    <row r="16" ht="15.75" customHeight="1">
      <c r="A16" s="125"/>
      <c r="B16" s="126"/>
      <c r="C16" s="125"/>
      <c r="D16" s="128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ht="15.75" customHeight="1">
      <c r="A17" s="125">
        <v>1.0</v>
      </c>
      <c r="B17" s="126">
        <v>45109.0</v>
      </c>
      <c r="C17" s="125" t="s">
        <v>49</v>
      </c>
      <c r="D17" s="128">
        <v>0.0</v>
      </c>
      <c r="E17" s="127">
        <v>2219.0</v>
      </c>
      <c r="F17" s="128">
        <v>0.0</v>
      </c>
      <c r="G17" s="128">
        <v>0.0</v>
      </c>
      <c r="H17" s="128"/>
      <c r="I17" s="128"/>
      <c r="J17" s="128"/>
      <c r="K17" s="127">
        <v>7.0</v>
      </c>
      <c r="L17" s="127">
        <v>210.0</v>
      </c>
      <c r="M17" s="127">
        <f t="shared" ref="M17:M19" si="14">SUM(D17:K17)*13000</f>
        <v>28938000</v>
      </c>
      <c r="N17" s="127">
        <f t="shared" ref="N17:N26" si="15">L17*7000</f>
        <v>1470000</v>
      </c>
      <c r="O17" s="129">
        <v>348000.0</v>
      </c>
      <c r="P17" s="129">
        <v>345000.0</v>
      </c>
      <c r="Q17" s="129">
        <v>500000.0</v>
      </c>
      <c r="R17" s="129">
        <v>243600.0</v>
      </c>
      <c r="S17" s="129">
        <v>730800.0</v>
      </c>
      <c r="T17" s="129">
        <f t="shared" ref="T17:T26" si="16">(SUM(D17:G17)+L17)*$D$116</f>
        <v>6196427.58</v>
      </c>
      <c r="U17" s="129">
        <f t="shared" ref="U17:U26" si="17">SUM(M17:S17)</f>
        <v>32575400</v>
      </c>
      <c r="V17" s="129">
        <f t="shared" ref="V17:V26" si="18">SUM(O17:T17)</f>
        <v>8363827.58</v>
      </c>
      <c r="W17" s="129">
        <f t="shared" ref="W17:W26" si="19">V17/(SUM(D17:G17)+L17)</f>
        <v>3443.321359</v>
      </c>
      <c r="X17" s="129">
        <f t="shared" ref="X17:X26" si="20">M17/SUM(D17:K17)+W17</f>
        <v>16443.32136</v>
      </c>
      <c r="Y17" s="129">
        <f>(N17/L17)+W17</f>
        <v>10443.32136</v>
      </c>
      <c r="Z17" s="129">
        <f t="shared" ref="Z17:Z26" si="21">K17*13000</f>
        <v>91000</v>
      </c>
    </row>
    <row r="18" ht="15.75" customHeight="1">
      <c r="A18" s="125">
        <v>2.0</v>
      </c>
      <c r="B18" s="126">
        <v>45122.0</v>
      </c>
      <c r="C18" s="125" t="s">
        <v>48</v>
      </c>
      <c r="D18" s="128">
        <v>0.0</v>
      </c>
      <c r="E18" s="127">
        <v>1120.0</v>
      </c>
      <c r="F18" s="128">
        <v>0.0</v>
      </c>
      <c r="G18" s="128">
        <v>0.0</v>
      </c>
      <c r="H18" s="128"/>
      <c r="I18" s="128"/>
      <c r="J18" s="128"/>
      <c r="K18" s="128">
        <v>0.0</v>
      </c>
      <c r="L18" s="128">
        <v>0.0</v>
      </c>
      <c r="M18" s="127">
        <f t="shared" si="14"/>
        <v>14560000</v>
      </c>
      <c r="N18" s="127">
        <f t="shared" si="15"/>
        <v>0</v>
      </c>
      <c r="O18" s="129">
        <v>160000.0</v>
      </c>
      <c r="P18" s="129">
        <v>138000.0</v>
      </c>
      <c r="Q18" s="129">
        <v>250000.0</v>
      </c>
      <c r="R18" s="129">
        <v>112000.0</v>
      </c>
      <c r="S18" s="129">
        <v>336000.0</v>
      </c>
      <c r="T18" s="129">
        <f t="shared" si="16"/>
        <v>2857142.4</v>
      </c>
      <c r="U18" s="129">
        <f t="shared" si="17"/>
        <v>15556000</v>
      </c>
      <c r="V18" s="129">
        <f t="shared" si="18"/>
        <v>3853142.4</v>
      </c>
      <c r="W18" s="129">
        <f t="shared" si="19"/>
        <v>3440.305714</v>
      </c>
      <c r="X18" s="129">
        <f t="shared" si="20"/>
        <v>16440.30571</v>
      </c>
      <c r="Y18" s="129"/>
      <c r="Z18" s="129">
        <f t="shared" si="21"/>
        <v>0</v>
      </c>
    </row>
    <row r="19" ht="15.75" customHeight="1">
      <c r="A19" s="125">
        <v>3.0</v>
      </c>
      <c r="B19" s="126">
        <v>45123.0</v>
      </c>
      <c r="C19" s="125" t="s">
        <v>49</v>
      </c>
      <c r="D19" s="128">
        <v>0.0</v>
      </c>
      <c r="E19" s="127">
        <v>3033.0</v>
      </c>
      <c r="F19" s="128">
        <v>0.0</v>
      </c>
      <c r="G19" s="128">
        <v>0.0</v>
      </c>
      <c r="H19" s="128"/>
      <c r="I19" s="128"/>
      <c r="J19" s="128"/>
      <c r="K19" s="128">
        <v>0.0</v>
      </c>
      <c r="L19" s="127">
        <v>25.0</v>
      </c>
      <c r="M19" s="127">
        <f t="shared" si="14"/>
        <v>39429000</v>
      </c>
      <c r="N19" s="127">
        <f t="shared" si="15"/>
        <v>175000</v>
      </c>
      <c r="O19" s="129">
        <v>428000.0</v>
      </c>
      <c r="P19" s="129">
        <v>322000.0</v>
      </c>
      <c r="Q19" s="129">
        <v>500000.0</v>
      </c>
      <c r="R19" s="129">
        <v>305800.0</v>
      </c>
      <c r="S19" s="129">
        <v>917400.0</v>
      </c>
      <c r="T19" s="129">
        <f t="shared" si="16"/>
        <v>7801019.16</v>
      </c>
      <c r="U19" s="129">
        <f t="shared" si="17"/>
        <v>42077200</v>
      </c>
      <c r="V19" s="129">
        <f t="shared" si="18"/>
        <v>10274219.16</v>
      </c>
      <c r="W19" s="129">
        <f t="shared" si="19"/>
        <v>3359.783898</v>
      </c>
      <c r="X19" s="129">
        <f t="shared" si="20"/>
        <v>16359.7839</v>
      </c>
      <c r="Y19" s="129">
        <f t="shared" ref="Y19:Y21" si="22">(N19/L19)+W19</f>
        <v>10359.7839</v>
      </c>
      <c r="Z19" s="129">
        <f t="shared" si="21"/>
        <v>0</v>
      </c>
    </row>
    <row r="20" ht="15.75" customHeight="1">
      <c r="A20" s="125">
        <v>4.0</v>
      </c>
      <c r="B20" s="126">
        <v>45124.0</v>
      </c>
      <c r="C20" s="125" t="s">
        <v>50</v>
      </c>
      <c r="D20" s="128">
        <v>0.0</v>
      </c>
      <c r="E20" s="140">
        <v>3556.0</v>
      </c>
      <c r="F20" s="127">
        <v>1036.0</v>
      </c>
      <c r="G20" s="128">
        <v>0.0</v>
      </c>
      <c r="H20" s="128"/>
      <c r="I20" s="128"/>
      <c r="J20" s="128"/>
      <c r="K20" s="128">
        <v>0.0</v>
      </c>
      <c r="L20" s="140">
        <v>137.0</v>
      </c>
      <c r="M20" s="127">
        <f>(E20*13000)+(F20*12000)</f>
        <v>58660000</v>
      </c>
      <c r="N20" s="127">
        <f t="shared" si="15"/>
        <v>959000</v>
      </c>
      <c r="O20" s="129">
        <v>668000.0</v>
      </c>
      <c r="P20" s="129">
        <v>506000.0</v>
      </c>
      <c r="Q20" s="129">
        <v>750000.0</v>
      </c>
      <c r="R20" s="129">
        <v>472900.0</v>
      </c>
      <c r="S20" s="129">
        <v>1418700.0</v>
      </c>
      <c r="T20" s="129">
        <f t="shared" si="16"/>
        <v>12063773.58</v>
      </c>
      <c r="U20" s="129">
        <f t="shared" si="17"/>
        <v>63434600</v>
      </c>
      <c r="V20" s="129">
        <f t="shared" si="18"/>
        <v>15879373.58</v>
      </c>
      <c r="W20" s="129">
        <f t="shared" si="19"/>
        <v>3357.871343</v>
      </c>
      <c r="X20" s="129">
        <f t="shared" si="20"/>
        <v>16132.26159</v>
      </c>
      <c r="Y20" s="129">
        <f t="shared" si="22"/>
        <v>10357.87134</v>
      </c>
      <c r="Z20" s="129">
        <f t="shared" si="21"/>
        <v>0</v>
      </c>
      <c r="AA20" s="124"/>
      <c r="AB20" s="124"/>
      <c r="AC20" s="124"/>
    </row>
    <row r="21" ht="15.75" customHeight="1">
      <c r="A21" s="125">
        <v>5.0</v>
      </c>
      <c r="B21" s="126">
        <v>45125.0</v>
      </c>
      <c r="C21" s="125" t="s">
        <v>55</v>
      </c>
      <c r="D21" s="128">
        <v>0.0</v>
      </c>
      <c r="E21" s="140">
        <f>6010+13</f>
        <v>6023</v>
      </c>
      <c r="F21" s="128">
        <v>0.0</v>
      </c>
      <c r="G21" s="128">
        <v>0.0</v>
      </c>
      <c r="H21" s="141"/>
      <c r="I21" s="141"/>
      <c r="J21" s="141"/>
      <c r="K21" s="140">
        <f>30-13</f>
        <v>17</v>
      </c>
      <c r="L21" s="140">
        <v>120.0</v>
      </c>
      <c r="M21" s="127">
        <f t="shared" ref="M21:M26" si="23">SUM(D21:K21)*13000</f>
        <v>78520000</v>
      </c>
      <c r="N21" s="127">
        <f t="shared" si="15"/>
        <v>840000</v>
      </c>
      <c r="O21" s="129">
        <v>880000.0</v>
      </c>
      <c r="P21" s="129">
        <v>736000.0</v>
      </c>
      <c r="Q21" s="129">
        <v>1000000.0</v>
      </c>
      <c r="R21" s="129">
        <v>616000.0</v>
      </c>
      <c r="S21" s="129">
        <v>1848000.0</v>
      </c>
      <c r="T21" s="129">
        <f t="shared" si="16"/>
        <v>15670915.86</v>
      </c>
      <c r="U21" s="129">
        <f t="shared" si="17"/>
        <v>84440000</v>
      </c>
      <c r="V21" s="129">
        <f t="shared" si="18"/>
        <v>20750915.86</v>
      </c>
      <c r="W21" s="129">
        <f t="shared" si="19"/>
        <v>3377.977513</v>
      </c>
      <c r="X21" s="129">
        <f t="shared" si="20"/>
        <v>16377.97751</v>
      </c>
      <c r="Y21" s="129">
        <f t="shared" si="22"/>
        <v>10377.97751</v>
      </c>
      <c r="Z21" s="129">
        <f t="shared" si="21"/>
        <v>221000</v>
      </c>
      <c r="AA21" s="124"/>
      <c r="AB21" s="124"/>
      <c r="AC21" s="124"/>
    </row>
    <row r="22" ht="15.75" customHeight="1">
      <c r="A22" s="125">
        <v>6.0</v>
      </c>
      <c r="B22" s="126">
        <v>45126.0</v>
      </c>
      <c r="C22" s="125" t="s">
        <v>51</v>
      </c>
      <c r="D22" s="128">
        <v>0.0</v>
      </c>
      <c r="E22" s="140">
        <v>3070.0</v>
      </c>
      <c r="F22" s="128">
        <v>0.0</v>
      </c>
      <c r="G22" s="128">
        <v>0.0</v>
      </c>
      <c r="H22" s="141"/>
      <c r="I22" s="141"/>
      <c r="J22" s="141"/>
      <c r="K22" s="140">
        <v>10.0</v>
      </c>
      <c r="L22" s="128">
        <v>0.0</v>
      </c>
      <c r="M22" s="127">
        <f t="shared" si="23"/>
        <v>40040000</v>
      </c>
      <c r="N22" s="127">
        <f t="shared" si="15"/>
        <v>0</v>
      </c>
      <c r="O22" s="129">
        <v>440000.0</v>
      </c>
      <c r="P22" s="129">
        <v>322000.0</v>
      </c>
      <c r="Q22" s="129">
        <v>500000.0</v>
      </c>
      <c r="R22" s="129">
        <v>308000.0</v>
      </c>
      <c r="S22" s="129">
        <v>924000.0</v>
      </c>
      <c r="T22" s="129">
        <f t="shared" si="16"/>
        <v>7831631.4</v>
      </c>
      <c r="U22" s="129">
        <f t="shared" si="17"/>
        <v>42534000</v>
      </c>
      <c r="V22" s="129">
        <f t="shared" si="18"/>
        <v>10325631.4</v>
      </c>
      <c r="W22" s="129">
        <f t="shared" si="19"/>
        <v>3363.39785</v>
      </c>
      <c r="X22" s="129">
        <f t="shared" si="20"/>
        <v>16363.39785</v>
      </c>
      <c r="Y22" s="129"/>
      <c r="Z22" s="129">
        <f t="shared" si="21"/>
        <v>130000</v>
      </c>
    </row>
    <row r="23" ht="15.75" customHeight="1">
      <c r="A23" s="125">
        <v>7.0</v>
      </c>
      <c r="B23" s="126">
        <v>45127.0</v>
      </c>
      <c r="C23" s="125" t="s">
        <v>52</v>
      </c>
      <c r="D23" s="128">
        <v>0.0</v>
      </c>
      <c r="E23" s="140">
        <v>3128.0</v>
      </c>
      <c r="F23" s="128">
        <v>0.0</v>
      </c>
      <c r="G23" s="128">
        <v>0.0</v>
      </c>
      <c r="H23" s="141"/>
      <c r="I23" s="141"/>
      <c r="J23" s="141"/>
      <c r="K23" s="140">
        <v>64.0</v>
      </c>
      <c r="L23" s="140">
        <v>28.0</v>
      </c>
      <c r="M23" s="127">
        <f t="shared" si="23"/>
        <v>41496000</v>
      </c>
      <c r="N23" s="127">
        <f t="shared" si="15"/>
        <v>196000</v>
      </c>
      <c r="O23" s="129">
        <v>460000.0</v>
      </c>
      <c r="P23" s="129">
        <v>391000.0</v>
      </c>
      <c r="Q23" s="129">
        <v>500000.0</v>
      </c>
      <c r="R23" s="129">
        <v>322000.0</v>
      </c>
      <c r="S23" s="129">
        <v>966000.0</v>
      </c>
      <c r="T23" s="129">
        <f t="shared" si="16"/>
        <v>8051019.12</v>
      </c>
      <c r="U23" s="129">
        <f t="shared" si="17"/>
        <v>44331000</v>
      </c>
      <c r="V23" s="129">
        <f t="shared" si="18"/>
        <v>10690019.12</v>
      </c>
      <c r="W23" s="129">
        <f t="shared" si="19"/>
        <v>3387.205044</v>
      </c>
      <c r="X23" s="129">
        <f t="shared" si="20"/>
        <v>16387.20504</v>
      </c>
      <c r="Y23" s="129">
        <f t="shared" ref="Y23:Y26" si="24">(N23/L23)+W23</f>
        <v>10387.20504</v>
      </c>
      <c r="Z23" s="129">
        <f t="shared" si="21"/>
        <v>832000</v>
      </c>
    </row>
    <row r="24" ht="15.75" customHeight="1">
      <c r="A24" s="125">
        <v>8.0</v>
      </c>
      <c r="B24" s="126">
        <v>45133.0</v>
      </c>
      <c r="C24" s="125" t="s">
        <v>51</v>
      </c>
      <c r="D24" s="128">
        <v>0.0</v>
      </c>
      <c r="E24" s="140">
        <f>1676-16</f>
        <v>1660</v>
      </c>
      <c r="F24" s="128">
        <v>0.0</v>
      </c>
      <c r="G24" s="128">
        <v>0.0</v>
      </c>
      <c r="H24" s="141"/>
      <c r="I24" s="141"/>
      <c r="J24" s="141"/>
      <c r="K24" s="140">
        <v>16.0</v>
      </c>
      <c r="L24" s="140">
        <v>4.0</v>
      </c>
      <c r="M24" s="127">
        <f t="shared" si="23"/>
        <v>21788000</v>
      </c>
      <c r="N24" s="127">
        <f t="shared" si="15"/>
        <v>28000</v>
      </c>
      <c r="O24" s="129">
        <v>240000.0</v>
      </c>
      <c r="P24" s="129">
        <v>230000.0</v>
      </c>
      <c r="Q24" s="129">
        <v>250000.0</v>
      </c>
      <c r="R24" s="129">
        <v>168000.0</v>
      </c>
      <c r="S24" s="129">
        <v>504000.0</v>
      </c>
      <c r="T24" s="129">
        <f t="shared" si="16"/>
        <v>4244897.28</v>
      </c>
      <c r="U24" s="129">
        <f t="shared" si="17"/>
        <v>23208000</v>
      </c>
      <c r="V24" s="129">
        <f t="shared" si="18"/>
        <v>5636897.28</v>
      </c>
      <c r="W24" s="129">
        <f t="shared" si="19"/>
        <v>3387.558462</v>
      </c>
      <c r="X24" s="129">
        <f t="shared" si="20"/>
        <v>16387.55846</v>
      </c>
      <c r="Y24" s="129">
        <f t="shared" si="24"/>
        <v>10387.55846</v>
      </c>
      <c r="Z24" s="129">
        <f t="shared" si="21"/>
        <v>208000</v>
      </c>
    </row>
    <row r="25" ht="15.75" customHeight="1">
      <c r="A25" s="125">
        <v>9.0</v>
      </c>
      <c r="B25" s="126">
        <v>45137.0</v>
      </c>
      <c r="C25" s="125" t="s">
        <v>49</v>
      </c>
      <c r="D25" s="128">
        <v>0.0</v>
      </c>
      <c r="E25" s="140">
        <v>3969.0</v>
      </c>
      <c r="F25" s="128">
        <v>0.0</v>
      </c>
      <c r="G25" s="128">
        <v>0.0</v>
      </c>
      <c r="H25" s="141"/>
      <c r="I25" s="141"/>
      <c r="J25" s="141"/>
      <c r="K25" s="140">
        <v>48.0</v>
      </c>
      <c r="L25" s="140">
        <v>99.0</v>
      </c>
      <c r="M25" s="127">
        <f t="shared" si="23"/>
        <v>52221000</v>
      </c>
      <c r="N25" s="127">
        <f t="shared" si="15"/>
        <v>693000</v>
      </c>
      <c r="O25" s="129">
        <v>588000.0</v>
      </c>
      <c r="P25" s="129">
        <v>483000.0</v>
      </c>
      <c r="Q25" s="129">
        <v>750000.0</v>
      </c>
      <c r="R25" s="129">
        <v>411600.0</v>
      </c>
      <c r="S25" s="129">
        <v>1234800.0</v>
      </c>
      <c r="T25" s="129">
        <f t="shared" si="16"/>
        <v>10377549.36</v>
      </c>
      <c r="U25" s="129">
        <f t="shared" si="17"/>
        <v>56381400</v>
      </c>
      <c r="V25" s="129">
        <f t="shared" si="18"/>
        <v>13844949.36</v>
      </c>
      <c r="W25" s="129">
        <f t="shared" si="19"/>
        <v>3403.379882</v>
      </c>
      <c r="X25" s="129">
        <f t="shared" si="20"/>
        <v>16403.37988</v>
      </c>
      <c r="Y25" s="129">
        <f t="shared" si="24"/>
        <v>10403.37988</v>
      </c>
      <c r="Z25" s="129">
        <f t="shared" si="21"/>
        <v>624000</v>
      </c>
    </row>
    <row r="26" ht="15.75" customHeight="1">
      <c r="A26" s="125">
        <v>10.0</v>
      </c>
      <c r="B26" s="126">
        <v>45138.0</v>
      </c>
      <c r="C26" s="125" t="s">
        <v>50</v>
      </c>
      <c r="D26" s="128">
        <v>0.0</v>
      </c>
      <c r="E26" s="140">
        <v>6090.0</v>
      </c>
      <c r="F26" s="128">
        <v>0.0</v>
      </c>
      <c r="G26" s="128">
        <v>0.0</v>
      </c>
      <c r="H26" s="128"/>
      <c r="I26" s="128"/>
      <c r="J26" s="128"/>
      <c r="K26" s="128">
        <v>0.0</v>
      </c>
      <c r="L26" s="140">
        <v>120.0</v>
      </c>
      <c r="M26" s="127">
        <f t="shared" si="23"/>
        <v>79170000</v>
      </c>
      <c r="N26" s="127">
        <f t="shared" si="15"/>
        <v>840000</v>
      </c>
      <c r="O26" s="129">
        <v>888000.0</v>
      </c>
      <c r="P26" s="129">
        <v>690000.0</v>
      </c>
      <c r="Q26" s="129">
        <v>1000000.0</v>
      </c>
      <c r="R26" s="129">
        <v>621000.0</v>
      </c>
      <c r="S26" s="129">
        <v>1863000.0</v>
      </c>
      <c r="T26" s="129">
        <f t="shared" si="16"/>
        <v>15841834.2</v>
      </c>
      <c r="U26" s="129">
        <f t="shared" si="17"/>
        <v>85072000</v>
      </c>
      <c r="V26" s="129">
        <f t="shared" si="18"/>
        <v>20903834.2</v>
      </c>
      <c r="W26" s="129">
        <f t="shared" si="19"/>
        <v>3366.156876</v>
      </c>
      <c r="X26" s="129">
        <f t="shared" si="20"/>
        <v>16366.15688</v>
      </c>
      <c r="Y26" s="129">
        <f t="shared" si="24"/>
        <v>10366.15688</v>
      </c>
      <c r="Z26" s="129">
        <f t="shared" si="21"/>
        <v>0</v>
      </c>
    </row>
    <row r="27" ht="15.75" customHeight="1">
      <c r="A27" s="132" t="s">
        <v>54</v>
      </c>
      <c r="B27" s="133"/>
      <c r="C27" s="134"/>
      <c r="D27" s="136">
        <f t="shared" ref="D27:G27" si="25">SUM(D17:D26)</f>
        <v>0</v>
      </c>
      <c r="E27" s="135">
        <f t="shared" si="25"/>
        <v>33868</v>
      </c>
      <c r="F27" s="135">
        <f t="shared" si="25"/>
        <v>1036</v>
      </c>
      <c r="G27" s="136">
        <f t="shared" si="25"/>
        <v>0</v>
      </c>
      <c r="H27" s="137"/>
      <c r="I27" s="137"/>
      <c r="J27" s="137"/>
      <c r="K27" s="135">
        <f t="shared" ref="K27:V27" si="26">SUM(K17:K26)</f>
        <v>162</v>
      </c>
      <c r="L27" s="135">
        <f t="shared" si="26"/>
        <v>743</v>
      </c>
      <c r="M27" s="135">
        <f t="shared" si="26"/>
        <v>454822000</v>
      </c>
      <c r="N27" s="135">
        <f t="shared" si="26"/>
        <v>5201000</v>
      </c>
      <c r="O27" s="138">
        <f t="shared" si="26"/>
        <v>5100000</v>
      </c>
      <c r="P27" s="138">
        <f t="shared" si="26"/>
        <v>4163000</v>
      </c>
      <c r="Q27" s="138">
        <f t="shared" si="26"/>
        <v>6000000</v>
      </c>
      <c r="R27" s="138">
        <f t="shared" si="26"/>
        <v>3580900</v>
      </c>
      <c r="S27" s="138">
        <f t="shared" si="26"/>
        <v>10742700</v>
      </c>
      <c r="T27" s="138">
        <f t="shared" si="26"/>
        <v>90936209.94</v>
      </c>
      <c r="U27" s="138">
        <f t="shared" si="26"/>
        <v>489609600</v>
      </c>
      <c r="V27" s="138">
        <f t="shared" si="26"/>
        <v>120522809.9</v>
      </c>
      <c r="W27" s="139"/>
      <c r="X27" s="139"/>
      <c r="Y27" s="139"/>
      <c r="Z27" s="139"/>
    </row>
    <row r="28" ht="15.75" customHeight="1">
      <c r="A28" s="125"/>
      <c r="B28" s="126"/>
      <c r="C28" s="125"/>
      <c r="D28" s="141"/>
      <c r="E28" s="140"/>
      <c r="F28" s="127"/>
      <c r="G28" s="140"/>
      <c r="H28" s="140"/>
      <c r="I28" s="140"/>
      <c r="J28" s="140"/>
      <c r="K28" s="140"/>
      <c r="L28" s="140"/>
      <c r="M28" s="127"/>
      <c r="N28" s="127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ht="15.75" customHeight="1">
      <c r="A29" s="125">
        <v>1.0</v>
      </c>
      <c r="B29" s="142">
        <v>45139.0</v>
      </c>
      <c r="C29" s="125" t="s">
        <v>55</v>
      </c>
      <c r="D29" s="128">
        <v>0.0</v>
      </c>
      <c r="E29" s="128">
        <v>0.0</v>
      </c>
      <c r="F29" s="128">
        <v>0.0</v>
      </c>
      <c r="G29" s="140">
        <v>2066.0</v>
      </c>
      <c r="H29" s="140"/>
      <c r="I29" s="140"/>
      <c r="J29" s="140"/>
      <c r="K29" s="128">
        <v>0.0</v>
      </c>
      <c r="L29" s="140">
        <v>152.0</v>
      </c>
      <c r="M29" s="127">
        <f>SUM(D29:K29)*11000</f>
        <v>22726000</v>
      </c>
      <c r="N29" s="127">
        <f t="shared" ref="N29:N46" si="27">L29*7000</f>
        <v>1064000</v>
      </c>
      <c r="O29" s="129">
        <v>316000.0</v>
      </c>
      <c r="P29" s="129">
        <v>322000.0</v>
      </c>
      <c r="Q29" s="129">
        <v>500000.0</v>
      </c>
      <c r="R29" s="129">
        <v>221800.0</v>
      </c>
      <c r="S29" s="129">
        <v>665400.0</v>
      </c>
      <c r="T29" s="129">
        <f t="shared" ref="T29:T46" si="28">(SUM(D29:G29)+L29)*$D$116</f>
        <v>5658162.36</v>
      </c>
      <c r="U29" s="129">
        <f t="shared" ref="U29:U46" si="29">SUM(M29:S29)</f>
        <v>25815200</v>
      </c>
      <c r="V29" s="129">
        <f t="shared" ref="V29:V46" si="30">SUM(O29:T29)</f>
        <v>7683362.36</v>
      </c>
      <c r="W29" s="129">
        <f t="shared" ref="W29:W46" si="31">V29/(SUM(D29:G29)+L29)</f>
        <v>3464.094842</v>
      </c>
      <c r="X29" s="129">
        <f t="shared" ref="X29:X46" si="32">M29/SUM(D29:K29)+W29</f>
        <v>14464.09484</v>
      </c>
      <c r="Y29" s="129">
        <f t="shared" ref="Y29:Y46" si="33">(N29/L29)+W29</f>
        <v>10464.09484</v>
      </c>
      <c r="Z29" s="129">
        <f t="shared" ref="Z29:Z32" si="34">K29*13000</f>
        <v>0</v>
      </c>
    </row>
    <row r="30" ht="15.75" customHeight="1">
      <c r="A30" s="125">
        <v>2.0</v>
      </c>
      <c r="B30" s="143">
        <v>45145.0</v>
      </c>
      <c r="C30" s="125" t="s">
        <v>50</v>
      </c>
      <c r="D30" s="128">
        <v>0.0</v>
      </c>
      <c r="E30" s="140">
        <v>798.0</v>
      </c>
      <c r="F30" s="128">
        <v>0.0</v>
      </c>
      <c r="G30" s="128">
        <v>0.0</v>
      </c>
      <c r="H30" s="141"/>
      <c r="I30" s="141"/>
      <c r="J30" s="141"/>
      <c r="K30" s="140">
        <v>34.0</v>
      </c>
      <c r="L30" s="140">
        <v>8.0</v>
      </c>
      <c r="M30" s="127">
        <f t="shared" ref="M30:M32" si="35">SUM(D30:K30)*13000</f>
        <v>10816000</v>
      </c>
      <c r="N30" s="127">
        <f t="shared" si="27"/>
        <v>56000</v>
      </c>
      <c r="O30" s="129">
        <v>120000.0</v>
      </c>
      <c r="P30" s="129">
        <v>184000.0</v>
      </c>
      <c r="Q30" s="129">
        <v>250000.0</v>
      </c>
      <c r="R30" s="129">
        <v>84000.0</v>
      </c>
      <c r="S30" s="129">
        <v>252000.0</v>
      </c>
      <c r="T30" s="129">
        <f t="shared" si="28"/>
        <v>2056122.12</v>
      </c>
      <c r="U30" s="129">
        <f t="shared" si="29"/>
        <v>11762000</v>
      </c>
      <c r="V30" s="129">
        <f t="shared" si="30"/>
        <v>2946122.12</v>
      </c>
      <c r="W30" s="129">
        <f t="shared" si="31"/>
        <v>3655.238362</v>
      </c>
      <c r="X30" s="129">
        <f t="shared" si="32"/>
        <v>16655.23836</v>
      </c>
      <c r="Y30" s="129">
        <f t="shared" si="33"/>
        <v>10655.23836</v>
      </c>
      <c r="Z30" s="129">
        <f t="shared" si="34"/>
        <v>442000</v>
      </c>
      <c r="AB30" s="124"/>
    </row>
    <row r="31" ht="15.75" customHeight="1">
      <c r="A31" s="125">
        <v>3.0</v>
      </c>
      <c r="B31" s="126">
        <v>45146.0</v>
      </c>
      <c r="C31" s="125" t="s">
        <v>56</v>
      </c>
      <c r="D31" s="128">
        <v>0.0</v>
      </c>
      <c r="E31" s="140">
        <v>747.0</v>
      </c>
      <c r="F31" s="128">
        <v>0.0</v>
      </c>
      <c r="G31" s="128">
        <v>0.0</v>
      </c>
      <c r="H31" s="128"/>
      <c r="I31" s="128"/>
      <c r="J31" s="128"/>
      <c r="K31" s="128">
        <v>0.0</v>
      </c>
      <c r="L31" s="140">
        <v>74.0</v>
      </c>
      <c r="M31" s="127">
        <f t="shared" si="35"/>
        <v>9711000</v>
      </c>
      <c r="N31" s="127">
        <f t="shared" si="27"/>
        <v>518000</v>
      </c>
      <c r="O31" s="129">
        <v>120000.0</v>
      </c>
      <c r="P31" s="129">
        <v>161000.0</v>
      </c>
      <c r="Q31" s="129">
        <v>250000.0</v>
      </c>
      <c r="R31" s="129">
        <v>82100.0</v>
      </c>
      <c r="S31" s="129">
        <v>246300.0</v>
      </c>
      <c r="T31" s="129">
        <f t="shared" si="28"/>
        <v>2094387.42</v>
      </c>
      <c r="U31" s="129">
        <f t="shared" si="29"/>
        <v>11088400</v>
      </c>
      <c r="V31" s="129">
        <f t="shared" si="30"/>
        <v>2953787.42</v>
      </c>
      <c r="W31" s="129">
        <f t="shared" si="31"/>
        <v>3597.792229</v>
      </c>
      <c r="X31" s="129">
        <f t="shared" si="32"/>
        <v>16597.79223</v>
      </c>
      <c r="Y31" s="129">
        <f t="shared" si="33"/>
        <v>10597.79223</v>
      </c>
      <c r="Z31" s="129">
        <f t="shared" si="34"/>
        <v>0</v>
      </c>
    </row>
    <row r="32" ht="15.75" customHeight="1">
      <c r="A32" s="125">
        <v>4.0</v>
      </c>
      <c r="B32" s="126">
        <v>45147.0</v>
      </c>
      <c r="C32" s="125" t="s">
        <v>51</v>
      </c>
      <c r="D32" s="128">
        <v>0.0</v>
      </c>
      <c r="E32" s="140">
        <v>1021.0</v>
      </c>
      <c r="F32" s="128">
        <v>0.0</v>
      </c>
      <c r="G32" s="128">
        <v>0.0</v>
      </c>
      <c r="H32" s="128"/>
      <c r="I32" s="128"/>
      <c r="J32" s="128"/>
      <c r="K32" s="128">
        <v>0.0</v>
      </c>
      <c r="L32" s="140">
        <v>24.0</v>
      </c>
      <c r="M32" s="127">
        <f t="shared" si="35"/>
        <v>13273000</v>
      </c>
      <c r="N32" s="127">
        <f t="shared" si="27"/>
        <v>168000</v>
      </c>
      <c r="O32" s="129">
        <v>148000.0</v>
      </c>
      <c r="P32" s="129">
        <v>161000.0</v>
      </c>
      <c r="Q32" s="129">
        <v>250000.0</v>
      </c>
      <c r="R32" s="129">
        <v>104500.0</v>
      </c>
      <c r="S32" s="129">
        <v>313500.0</v>
      </c>
      <c r="T32" s="129">
        <f t="shared" si="28"/>
        <v>2665815.9</v>
      </c>
      <c r="U32" s="129">
        <f t="shared" si="29"/>
        <v>14418000</v>
      </c>
      <c r="V32" s="129">
        <f t="shared" si="30"/>
        <v>3642815.9</v>
      </c>
      <c r="W32" s="129">
        <f t="shared" si="31"/>
        <v>3485.94823</v>
      </c>
      <c r="X32" s="129">
        <f t="shared" si="32"/>
        <v>16485.94823</v>
      </c>
      <c r="Y32" s="129">
        <f t="shared" si="33"/>
        <v>10485.94823</v>
      </c>
      <c r="Z32" s="129">
        <f t="shared" si="34"/>
        <v>0</v>
      </c>
    </row>
    <row r="33" ht="15.75" customHeight="1">
      <c r="A33" s="144">
        <v>5.0</v>
      </c>
      <c r="B33" s="145">
        <v>45150.0</v>
      </c>
      <c r="C33" s="144" t="s">
        <v>48</v>
      </c>
      <c r="D33" s="146">
        <v>0.0</v>
      </c>
      <c r="E33" s="147">
        <f>280-12</f>
        <v>268</v>
      </c>
      <c r="F33" s="148">
        <v>3673.0</v>
      </c>
      <c r="G33" s="146">
        <v>0.0</v>
      </c>
      <c r="H33" s="149"/>
      <c r="I33" s="149"/>
      <c r="J33" s="149"/>
      <c r="K33" s="147">
        <v>12.0</v>
      </c>
      <c r="L33" s="147">
        <v>611.0</v>
      </c>
      <c r="M33" s="148">
        <f>((E33+K33)*13000)+(F33*12500)</f>
        <v>49552500</v>
      </c>
      <c r="N33" s="148">
        <f t="shared" si="27"/>
        <v>4277000</v>
      </c>
      <c r="O33" s="150">
        <v>652000.0</v>
      </c>
      <c r="P33" s="150">
        <v>552000.0</v>
      </c>
      <c r="Q33" s="150">
        <v>750000.0</v>
      </c>
      <c r="R33" s="150">
        <v>456400.0</v>
      </c>
      <c r="S33" s="150">
        <v>1369200.0</v>
      </c>
      <c r="T33" s="150">
        <f t="shared" si="28"/>
        <v>11612243.04</v>
      </c>
      <c r="U33" s="150">
        <f t="shared" si="29"/>
        <v>57609100</v>
      </c>
      <c r="V33" s="150">
        <f t="shared" si="30"/>
        <v>15391843.04</v>
      </c>
      <c r="W33" s="150">
        <f t="shared" si="31"/>
        <v>3381.336344</v>
      </c>
      <c r="X33" s="150">
        <f t="shared" si="32"/>
        <v>15916.75248</v>
      </c>
      <c r="Y33" s="150">
        <f t="shared" si="33"/>
        <v>10381.33634</v>
      </c>
      <c r="Z33" s="150">
        <f>K33*((13000+12500)/2)</f>
        <v>153000</v>
      </c>
      <c r="AA33" s="151"/>
      <c r="AB33" s="151"/>
      <c r="AC33" s="151"/>
    </row>
    <row r="34" ht="15.75" customHeight="1">
      <c r="A34" s="125">
        <v>6.0</v>
      </c>
      <c r="B34" s="126">
        <v>45151.0</v>
      </c>
      <c r="C34" s="125" t="s">
        <v>49</v>
      </c>
      <c r="D34" s="128">
        <v>0.0</v>
      </c>
      <c r="E34" s="140">
        <v>2530.0</v>
      </c>
      <c r="F34" s="128">
        <v>0.0</v>
      </c>
      <c r="G34" s="128">
        <v>0.0</v>
      </c>
      <c r="H34" s="141"/>
      <c r="I34" s="141"/>
      <c r="J34" s="141"/>
      <c r="K34" s="140">
        <v>54.0</v>
      </c>
      <c r="L34" s="140">
        <v>300.0</v>
      </c>
      <c r="M34" s="127">
        <f t="shared" ref="M34:M46" si="36">SUM(D34:K34)*13000</f>
        <v>33592000</v>
      </c>
      <c r="N34" s="127">
        <f t="shared" si="27"/>
        <v>2100000</v>
      </c>
      <c r="O34" s="129">
        <v>416000.0</v>
      </c>
      <c r="P34" s="129">
        <v>437000.0</v>
      </c>
      <c r="Q34" s="129">
        <v>500000.0</v>
      </c>
      <c r="R34" s="129">
        <v>288400.0</v>
      </c>
      <c r="S34" s="129">
        <v>865200.0</v>
      </c>
      <c r="T34" s="129">
        <f t="shared" si="28"/>
        <v>7219386.6</v>
      </c>
      <c r="U34" s="129">
        <f t="shared" si="29"/>
        <v>38198600</v>
      </c>
      <c r="V34" s="129">
        <f t="shared" si="30"/>
        <v>9725986.6</v>
      </c>
      <c r="W34" s="129">
        <f t="shared" si="31"/>
        <v>3436.744382</v>
      </c>
      <c r="X34" s="129">
        <f t="shared" si="32"/>
        <v>16436.74438</v>
      </c>
      <c r="Y34" s="129">
        <f t="shared" si="33"/>
        <v>10436.74438</v>
      </c>
      <c r="Z34" s="129">
        <f t="shared" ref="Z34:Z46" si="37">K34*13000</f>
        <v>702000</v>
      </c>
    </row>
    <row r="35" ht="15.75" customHeight="1">
      <c r="A35" s="125">
        <v>7.0</v>
      </c>
      <c r="B35" s="126">
        <v>45152.0</v>
      </c>
      <c r="C35" s="125" t="s">
        <v>50</v>
      </c>
      <c r="D35" s="128">
        <v>0.0</v>
      </c>
      <c r="E35" s="140">
        <v>4316.0</v>
      </c>
      <c r="F35" s="128">
        <v>0.0</v>
      </c>
      <c r="G35" s="128">
        <v>0.0</v>
      </c>
      <c r="H35" s="128"/>
      <c r="I35" s="128"/>
      <c r="J35" s="128"/>
      <c r="K35" s="128">
        <v>0.0</v>
      </c>
      <c r="L35" s="140">
        <v>160.0</v>
      </c>
      <c r="M35" s="127">
        <f t="shared" si="36"/>
        <v>56108000</v>
      </c>
      <c r="N35" s="127">
        <f t="shared" si="27"/>
        <v>1120000</v>
      </c>
      <c r="O35" s="129">
        <v>640000.0</v>
      </c>
      <c r="P35" s="129">
        <v>483000.0</v>
      </c>
      <c r="Q35" s="129">
        <v>750000.0</v>
      </c>
      <c r="R35" s="129">
        <v>447600.0</v>
      </c>
      <c r="S35" s="129">
        <v>1342800.0</v>
      </c>
      <c r="T35" s="129">
        <f t="shared" si="28"/>
        <v>11418365.52</v>
      </c>
      <c r="U35" s="129">
        <f t="shared" si="29"/>
        <v>60891400</v>
      </c>
      <c r="V35" s="129">
        <f t="shared" si="30"/>
        <v>15081765.52</v>
      </c>
      <c r="W35" s="129">
        <f t="shared" si="31"/>
        <v>3369.473977</v>
      </c>
      <c r="X35" s="129">
        <f t="shared" si="32"/>
        <v>16369.47398</v>
      </c>
      <c r="Y35" s="129">
        <f t="shared" si="33"/>
        <v>10369.47398</v>
      </c>
      <c r="Z35" s="129">
        <f t="shared" si="37"/>
        <v>0</v>
      </c>
      <c r="AB35" s="124"/>
    </row>
    <row r="36" ht="15.75" customHeight="1">
      <c r="A36" s="125">
        <v>8.0</v>
      </c>
      <c r="B36" s="142">
        <v>45153.0</v>
      </c>
      <c r="C36" s="125" t="s">
        <v>56</v>
      </c>
      <c r="D36" s="128">
        <v>0.0</v>
      </c>
      <c r="E36" s="140">
        <v>4041.0</v>
      </c>
      <c r="F36" s="128">
        <v>0.0</v>
      </c>
      <c r="G36" s="128">
        <v>0.0</v>
      </c>
      <c r="H36" s="141"/>
      <c r="I36" s="141"/>
      <c r="J36" s="141"/>
      <c r="K36" s="140">
        <v>13.0</v>
      </c>
      <c r="L36" s="140">
        <v>295.0</v>
      </c>
      <c r="M36" s="127">
        <f t="shared" si="36"/>
        <v>52702000</v>
      </c>
      <c r="N36" s="127">
        <f t="shared" si="27"/>
        <v>2065000</v>
      </c>
      <c r="O36" s="129">
        <v>624000.0</v>
      </c>
      <c r="P36" s="129">
        <v>529000.0</v>
      </c>
      <c r="Q36" s="129">
        <v>750000.0</v>
      </c>
      <c r="R36" s="129">
        <v>434900.0</v>
      </c>
      <c r="S36" s="129">
        <v>1304700.0</v>
      </c>
      <c r="T36" s="129">
        <f t="shared" si="28"/>
        <v>11061222.72</v>
      </c>
      <c r="U36" s="129">
        <f t="shared" si="29"/>
        <v>58409600</v>
      </c>
      <c r="V36" s="129">
        <f t="shared" si="30"/>
        <v>14703822.72</v>
      </c>
      <c r="W36" s="129">
        <f t="shared" si="31"/>
        <v>3391.103026</v>
      </c>
      <c r="X36" s="129">
        <f t="shared" si="32"/>
        <v>16391.10303</v>
      </c>
      <c r="Y36" s="129">
        <f t="shared" si="33"/>
        <v>10391.10303</v>
      </c>
      <c r="Z36" s="129">
        <f t="shared" si="37"/>
        <v>169000</v>
      </c>
      <c r="AA36" s="124"/>
      <c r="AB36" s="124"/>
      <c r="AC36" s="124"/>
    </row>
    <row r="37" ht="15.75" customHeight="1">
      <c r="A37" s="125">
        <v>9.0</v>
      </c>
      <c r="B37" s="126">
        <v>45158.0</v>
      </c>
      <c r="C37" s="125" t="s">
        <v>49</v>
      </c>
      <c r="D37" s="128">
        <v>0.0</v>
      </c>
      <c r="E37" s="140">
        <v>2357.0</v>
      </c>
      <c r="F37" s="128">
        <v>0.0</v>
      </c>
      <c r="G37" s="128">
        <v>0.0</v>
      </c>
      <c r="H37" s="128"/>
      <c r="I37" s="128"/>
      <c r="J37" s="128"/>
      <c r="K37" s="128">
        <v>0.0</v>
      </c>
      <c r="L37" s="140">
        <v>232.0</v>
      </c>
      <c r="M37" s="127">
        <f t="shared" si="36"/>
        <v>30641000</v>
      </c>
      <c r="N37" s="127">
        <f t="shared" si="27"/>
        <v>1624000</v>
      </c>
      <c r="O37" s="129">
        <v>364000.0</v>
      </c>
      <c r="P37" s="129">
        <v>368000.0</v>
      </c>
      <c r="Q37" s="129">
        <v>500000.0</v>
      </c>
      <c r="R37" s="129">
        <v>258900.0</v>
      </c>
      <c r="S37" s="129">
        <v>776700.0</v>
      </c>
      <c r="T37" s="129">
        <f t="shared" si="28"/>
        <v>6604590.78</v>
      </c>
      <c r="U37" s="129">
        <f t="shared" si="29"/>
        <v>34532600</v>
      </c>
      <c r="V37" s="129">
        <f t="shared" si="30"/>
        <v>8872190.78</v>
      </c>
      <c r="W37" s="129">
        <f t="shared" si="31"/>
        <v>3426.879405</v>
      </c>
      <c r="X37" s="129">
        <f t="shared" si="32"/>
        <v>16426.87941</v>
      </c>
      <c r="Y37" s="129">
        <f t="shared" si="33"/>
        <v>10426.87941</v>
      </c>
      <c r="Z37" s="129">
        <f t="shared" si="37"/>
        <v>0</v>
      </c>
    </row>
    <row r="38" ht="15.75" customHeight="1">
      <c r="A38" s="125">
        <v>10.0</v>
      </c>
      <c r="B38" s="126">
        <v>45159.0</v>
      </c>
      <c r="C38" s="125" t="s">
        <v>50</v>
      </c>
      <c r="D38" s="128">
        <v>0.0</v>
      </c>
      <c r="E38" s="140">
        <v>2605.0</v>
      </c>
      <c r="F38" s="128">
        <v>0.0</v>
      </c>
      <c r="G38" s="128">
        <v>0.0</v>
      </c>
      <c r="H38" s="128"/>
      <c r="I38" s="128"/>
      <c r="J38" s="128"/>
      <c r="K38" s="128">
        <v>0.0</v>
      </c>
      <c r="L38" s="140">
        <v>160.0</v>
      </c>
      <c r="M38" s="127">
        <f t="shared" si="36"/>
        <v>33865000</v>
      </c>
      <c r="N38" s="127">
        <f t="shared" si="27"/>
        <v>1120000</v>
      </c>
      <c r="O38" s="129">
        <v>396000.0</v>
      </c>
      <c r="P38" s="129">
        <v>322000.0</v>
      </c>
      <c r="Q38" s="129">
        <v>500000.0</v>
      </c>
      <c r="R38" s="129">
        <v>276500.0</v>
      </c>
      <c r="S38" s="129">
        <v>829500.0</v>
      </c>
      <c r="T38" s="129">
        <f t="shared" si="28"/>
        <v>7053570.3</v>
      </c>
      <c r="U38" s="129">
        <f t="shared" si="29"/>
        <v>37309000</v>
      </c>
      <c r="V38" s="129">
        <f t="shared" si="30"/>
        <v>9377570.3</v>
      </c>
      <c r="W38" s="129">
        <f t="shared" si="31"/>
        <v>3391.526329</v>
      </c>
      <c r="X38" s="129">
        <f t="shared" si="32"/>
        <v>16391.52633</v>
      </c>
      <c r="Y38" s="129">
        <f t="shared" si="33"/>
        <v>10391.52633</v>
      </c>
      <c r="Z38" s="129">
        <f t="shared" si="37"/>
        <v>0</v>
      </c>
    </row>
    <row r="39" ht="15.75" customHeight="1">
      <c r="A39" s="125">
        <v>11.0</v>
      </c>
      <c r="B39" s="126">
        <v>45160.0</v>
      </c>
      <c r="C39" s="125" t="s">
        <v>55</v>
      </c>
      <c r="D39" s="128">
        <v>0.0</v>
      </c>
      <c r="E39" s="140">
        <v>2770.0</v>
      </c>
      <c r="F39" s="128">
        <v>0.0</v>
      </c>
      <c r="G39" s="128">
        <v>0.0</v>
      </c>
      <c r="H39" s="128"/>
      <c r="I39" s="128"/>
      <c r="J39" s="128"/>
      <c r="K39" s="128">
        <v>0.0</v>
      </c>
      <c r="L39" s="140">
        <v>175.0</v>
      </c>
      <c r="M39" s="127">
        <f t="shared" si="36"/>
        <v>36010000</v>
      </c>
      <c r="N39" s="127">
        <f t="shared" si="27"/>
        <v>1225000</v>
      </c>
      <c r="O39" s="129">
        <v>420000.0</v>
      </c>
      <c r="P39" s="129">
        <v>322000.0</v>
      </c>
      <c r="Q39" s="129">
        <v>500000.0</v>
      </c>
      <c r="R39" s="129">
        <v>294000.0</v>
      </c>
      <c r="S39" s="129">
        <v>883500.0</v>
      </c>
      <c r="T39" s="129">
        <f t="shared" si="28"/>
        <v>7512753.9</v>
      </c>
      <c r="U39" s="129">
        <f t="shared" si="29"/>
        <v>39654500</v>
      </c>
      <c r="V39" s="129">
        <f t="shared" si="30"/>
        <v>9932253.9</v>
      </c>
      <c r="W39" s="129">
        <f t="shared" si="31"/>
        <v>3372.581969</v>
      </c>
      <c r="X39" s="129">
        <f t="shared" si="32"/>
        <v>16372.58197</v>
      </c>
      <c r="Y39" s="129">
        <f t="shared" si="33"/>
        <v>10372.58197</v>
      </c>
      <c r="Z39" s="129">
        <f t="shared" si="37"/>
        <v>0</v>
      </c>
    </row>
    <row r="40" ht="15.75" customHeight="1">
      <c r="A40" s="125">
        <v>12.0</v>
      </c>
      <c r="B40" s="126">
        <v>45161.0</v>
      </c>
      <c r="C40" s="125" t="s">
        <v>57</v>
      </c>
      <c r="D40" s="128">
        <v>0.0</v>
      </c>
      <c r="E40" s="140">
        <v>1670.0</v>
      </c>
      <c r="F40" s="128">
        <v>0.0</v>
      </c>
      <c r="G40" s="128">
        <v>0.0</v>
      </c>
      <c r="H40" s="128"/>
      <c r="I40" s="128"/>
      <c r="J40" s="128"/>
      <c r="K40" s="128">
        <v>0.0</v>
      </c>
      <c r="L40" s="140">
        <v>222.0</v>
      </c>
      <c r="M40" s="127">
        <f t="shared" si="36"/>
        <v>21710000</v>
      </c>
      <c r="N40" s="127">
        <f t="shared" si="27"/>
        <v>1554000</v>
      </c>
      <c r="O40" s="129">
        <v>268000.0</v>
      </c>
      <c r="P40" s="129">
        <v>322000.0</v>
      </c>
      <c r="Q40" s="129">
        <v>250000.0</v>
      </c>
      <c r="R40" s="129">
        <v>189200.0</v>
      </c>
      <c r="S40" s="129">
        <v>567600.0</v>
      </c>
      <c r="T40" s="129">
        <f t="shared" si="28"/>
        <v>4826529.84</v>
      </c>
      <c r="U40" s="129">
        <f t="shared" si="29"/>
        <v>24860800</v>
      </c>
      <c r="V40" s="129">
        <f t="shared" si="30"/>
        <v>6423329.84</v>
      </c>
      <c r="W40" s="129">
        <f t="shared" si="31"/>
        <v>3394.99463</v>
      </c>
      <c r="X40" s="129">
        <f t="shared" si="32"/>
        <v>16394.99463</v>
      </c>
      <c r="Y40" s="129">
        <f t="shared" si="33"/>
        <v>10394.99463</v>
      </c>
      <c r="Z40" s="129">
        <f t="shared" si="37"/>
        <v>0</v>
      </c>
    </row>
    <row r="41" ht="15.75" customHeight="1">
      <c r="A41" s="125">
        <v>13.0</v>
      </c>
      <c r="B41" s="126">
        <v>45162.0</v>
      </c>
      <c r="C41" s="125" t="s">
        <v>52</v>
      </c>
      <c r="D41" s="128">
        <v>0.0</v>
      </c>
      <c r="E41" s="140">
        <f>2512-K41</f>
        <v>2512</v>
      </c>
      <c r="F41" s="128">
        <v>0.0</v>
      </c>
      <c r="G41" s="128">
        <v>0.0</v>
      </c>
      <c r="H41" s="128"/>
      <c r="I41" s="128"/>
      <c r="J41" s="128"/>
      <c r="K41" s="128">
        <v>0.0</v>
      </c>
      <c r="L41" s="140">
        <v>213.0</v>
      </c>
      <c r="M41" s="127">
        <f t="shared" si="36"/>
        <v>32656000</v>
      </c>
      <c r="N41" s="127">
        <f t="shared" si="27"/>
        <v>1491000</v>
      </c>
      <c r="O41" s="129">
        <v>396000.0</v>
      </c>
      <c r="P41" s="129">
        <v>414000.0</v>
      </c>
      <c r="Q41" s="129">
        <v>500000.0</v>
      </c>
      <c r="R41" s="129">
        <v>272500.0</v>
      </c>
      <c r="S41" s="129">
        <v>817500.0</v>
      </c>
      <c r="T41" s="129">
        <f t="shared" si="28"/>
        <v>6951529.5</v>
      </c>
      <c r="U41" s="129">
        <f t="shared" si="29"/>
        <v>36547000</v>
      </c>
      <c r="V41" s="129">
        <f t="shared" si="30"/>
        <v>9351529.5</v>
      </c>
      <c r="W41" s="129">
        <f t="shared" si="31"/>
        <v>3431.753945</v>
      </c>
      <c r="X41" s="129">
        <f t="shared" si="32"/>
        <v>16431.75394</v>
      </c>
      <c r="Y41" s="129">
        <f t="shared" si="33"/>
        <v>10431.75394</v>
      </c>
      <c r="Z41" s="129">
        <f t="shared" si="37"/>
        <v>0</v>
      </c>
    </row>
    <row r="42" ht="15.75" customHeight="1">
      <c r="A42" s="125">
        <v>14.0</v>
      </c>
      <c r="B42" s="126">
        <v>45164.0</v>
      </c>
      <c r="C42" s="152" t="s">
        <v>48</v>
      </c>
      <c r="D42" s="128">
        <v>0.0</v>
      </c>
      <c r="E42" s="140">
        <v>2490.0</v>
      </c>
      <c r="F42" s="128">
        <v>0.0</v>
      </c>
      <c r="G42" s="128">
        <v>0.0</v>
      </c>
      <c r="H42" s="128"/>
      <c r="I42" s="128"/>
      <c r="J42" s="128"/>
      <c r="K42" s="128">
        <v>0.0</v>
      </c>
      <c r="L42" s="140">
        <v>640.0</v>
      </c>
      <c r="M42" s="127">
        <f t="shared" si="36"/>
        <v>32370000</v>
      </c>
      <c r="N42" s="127">
        <f t="shared" si="27"/>
        <v>4480000</v>
      </c>
      <c r="O42" s="129">
        <v>440000.0</v>
      </c>
      <c r="P42" s="129">
        <v>322000.0</v>
      </c>
      <c r="Q42" s="129">
        <v>500000.0</v>
      </c>
      <c r="R42" s="129">
        <v>313000.0</v>
      </c>
      <c r="S42" s="129">
        <v>939000.0</v>
      </c>
      <c r="T42" s="129">
        <f t="shared" si="28"/>
        <v>7984692.6</v>
      </c>
      <c r="U42" s="129">
        <f t="shared" si="29"/>
        <v>39364000</v>
      </c>
      <c r="V42" s="129">
        <f t="shared" si="30"/>
        <v>10498692.6</v>
      </c>
      <c r="W42" s="129">
        <f t="shared" si="31"/>
        <v>3354.214888</v>
      </c>
      <c r="X42" s="129">
        <f t="shared" si="32"/>
        <v>16354.21489</v>
      </c>
      <c r="Y42" s="129">
        <f t="shared" si="33"/>
        <v>10354.21489</v>
      </c>
      <c r="Z42" s="129">
        <f t="shared" si="37"/>
        <v>0</v>
      </c>
    </row>
    <row r="43" ht="15.75" customHeight="1">
      <c r="A43" s="125">
        <v>15.0</v>
      </c>
      <c r="B43" s="126">
        <v>45165.0</v>
      </c>
      <c r="C43" s="152" t="s">
        <v>49</v>
      </c>
      <c r="D43" s="128">
        <v>0.0</v>
      </c>
      <c r="E43" s="140">
        <v>3909.0</v>
      </c>
      <c r="F43" s="128">
        <v>0.0</v>
      </c>
      <c r="G43" s="128">
        <v>0.0</v>
      </c>
      <c r="H43" s="128"/>
      <c r="I43" s="128"/>
      <c r="J43" s="128"/>
      <c r="K43" s="128">
        <v>0.0</v>
      </c>
      <c r="L43" s="140">
        <v>211.0</v>
      </c>
      <c r="M43" s="127">
        <f t="shared" si="36"/>
        <v>50817000</v>
      </c>
      <c r="N43" s="127">
        <f t="shared" si="27"/>
        <v>1477000</v>
      </c>
      <c r="O43" s="129">
        <v>588000.0</v>
      </c>
      <c r="P43" s="129">
        <v>529000.0</v>
      </c>
      <c r="Q43" s="129">
        <v>750000.0</v>
      </c>
      <c r="R43" s="129">
        <v>412000.0</v>
      </c>
      <c r="S43" s="129">
        <v>1236000.0</v>
      </c>
      <c r="T43" s="129">
        <f t="shared" si="28"/>
        <v>10510202.4</v>
      </c>
      <c r="U43" s="129">
        <f t="shared" si="29"/>
        <v>55809000</v>
      </c>
      <c r="V43" s="129">
        <f t="shared" si="30"/>
        <v>14025202.4</v>
      </c>
      <c r="W43" s="129">
        <f t="shared" si="31"/>
        <v>3404.17534</v>
      </c>
      <c r="X43" s="129">
        <f t="shared" si="32"/>
        <v>16404.17534</v>
      </c>
      <c r="Y43" s="129">
        <f t="shared" si="33"/>
        <v>10404.17534</v>
      </c>
      <c r="Z43" s="129">
        <f t="shared" si="37"/>
        <v>0</v>
      </c>
    </row>
    <row r="44" ht="15.75" customHeight="1">
      <c r="A44" s="125">
        <v>16.0</v>
      </c>
      <c r="B44" s="143">
        <v>45167.0</v>
      </c>
      <c r="C44" s="152" t="s">
        <v>56</v>
      </c>
      <c r="D44" s="128">
        <v>0.0</v>
      </c>
      <c r="E44" s="140">
        <v>7374.0</v>
      </c>
      <c r="F44" s="128">
        <v>0.0</v>
      </c>
      <c r="G44" s="128">
        <v>0.0</v>
      </c>
      <c r="H44" s="128"/>
      <c r="I44" s="128"/>
      <c r="J44" s="128"/>
      <c r="K44" s="128">
        <v>0.0</v>
      </c>
      <c r="L44" s="140">
        <v>430.0</v>
      </c>
      <c r="M44" s="127">
        <f t="shared" si="36"/>
        <v>95862000</v>
      </c>
      <c r="N44" s="127">
        <f t="shared" si="27"/>
        <v>3010000</v>
      </c>
      <c r="O44" s="129">
        <v>1128000.0</v>
      </c>
      <c r="P44" s="129">
        <v>851000.0</v>
      </c>
      <c r="Q44" s="129">
        <v>1250000.0</v>
      </c>
      <c r="R44" s="129">
        <v>780400.0</v>
      </c>
      <c r="S44" s="129">
        <v>2341200.0</v>
      </c>
      <c r="T44" s="129">
        <f t="shared" si="28"/>
        <v>19908160.08</v>
      </c>
      <c r="U44" s="129">
        <f t="shared" si="29"/>
        <v>105222600</v>
      </c>
      <c r="V44" s="129">
        <f t="shared" si="30"/>
        <v>26258760.08</v>
      </c>
      <c r="W44" s="129">
        <f t="shared" si="31"/>
        <v>3364.782173</v>
      </c>
      <c r="X44" s="129">
        <f t="shared" si="32"/>
        <v>16364.78217</v>
      </c>
      <c r="Y44" s="129">
        <f t="shared" si="33"/>
        <v>10364.78217</v>
      </c>
      <c r="Z44" s="129">
        <f t="shared" si="37"/>
        <v>0</v>
      </c>
    </row>
    <row r="45" ht="15.75" customHeight="1">
      <c r="A45" s="125">
        <v>17.0</v>
      </c>
      <c r="B45" s="143">
        <v>45168.0</v>
      </c>
      <c r="C45" s="152" t="s">
        <v>51</v>
      </c>
      <c r="D45" s="128">
        <v>0.0</v>
      </c>
      <c r="E45" s="140">
        <f>2404-K45</f>
        <v>2386</v>
      </c>
      <c r="F45" s="128">
        <v>0.0</v>
      </c>
      <c r="G45" s="128">
        <v>0.0</v>
      </c>
      <c r="H45" s="141"/>
      <c r="I45" s="141"/>
      <c r="J45" s="141"/>
      <c r="K45" s="153">
        <v>18.0</v>
      </c>
      <c r="L45" s="140">
        <v>340.0</v>
      </c>
      <c r="M45" s="127">
        <f t="shared" si="36"/>
        <v>31252000</v>
      </c>
      <c r="N45" s="127">
        <f t="shared" si="27"/>
        <v>2380000</v>
      </c>
      <c r="O45" s="129">
        <v>392000.0</v>
      </c>
      <c r="P45" s="129">
        <v>322000.0</v>
      </c>
      <c r="Q45" s="129">
        <v>500000.0</v>
      </c>
      <c r="R45" s="129">
        <v>274400.0</v>
      </c>
      <c r="S45" s="129">
        <v>823200.0</v>
      </c>
      <c r="T45" s="129">
        <f t="shared" si="28"/>
        <v>6954080.52</v>
      </c>
      <c r="U45" s="129">
        <f t="shared" si="29"/>
        <v>35943600</v>
      </c>
      <c r="V45" s="129">
        <f t="shared" si="30"/>
        <v>9265680.52</v>
      </c>
      <c r="W45" s="129">
        <f t="shared" si="31"/>
        <v>3399.002392</v>
      </c>
      <c r="X45" s="129">
        <f t="shared" si="32"/>
        <v>16399.00239</v>
      </c>
      <c r="Y45" s="129">
        <f t="shared" si="33"/>
        <v>10399.00239</v>
      </c>
      <c r="Z45" s="129">
        <f t="shared" si="37"/>
        <v>234000</v>
      </c>
    </row>
    <row r="46" ht="15.75" customHeight="1">
      <c r="A46" s="125">
        <v>18.0</v>
      </c>
      <c r="B46" s="143">
        <v>45169.0</v>
      </c>
      <c r="C46" s="152" t="s">
        <v>52</v>
      </c>
      <c r="D46" s="128">
        <v>0.0</v>
      </c>
      <c r="E46" s="140">
        <f>1451-K46</f>
        <v>1445</v>
      </c>
      <c r="F46" s="128">
        <v>0.0</v>
      </c>
      <c r="G46" s="128">
        <v>0.0</v>
      </c>
      <c r="H46" s="141"/>
      <c r="I46" s="141"/>
      <c r="J46" s="141"/>
      <c r="K46" s="140">
        <v>6.0</v>
      </c>
      <c r="L46" s="140">
        <v>220.0</v>
      </c>
      <c r="M46" s="127">
        <f t="shared" si="36"/>
        <v>18863000</v>
      </c>
      <c r="N46" s="127">
        <f t="shared" si="27"/>
        <v>1540000</v>
      </c>
      <c r="O46" s="129">
        <v>232000.0</v>
      </c>
      <c r="P46" s="129">
        <v>161000.0</v>
      </c>
      <c r="Q46" s="129">
        <v>250000.0</v>
      </c>
      <c r="R46" s="129">
        <v>167100.0</v>
      </c>
      <c r="S46" s="129">
        <v>501300.0</v>
      </c>
      <c r="T46" s="129">
        <f t="shared" si="28"/>
        <v>4247448.3</v>
      </c>
      <c r="U46" s="129">
        <f t="shared" si="29"/>
        <v>21714400</v>
      </c>
      <c r="V46" s="129">
        <f t="shared" si="30"/>
        <v>5558848.3</v>
      </c>
      <c r="W46" s="129">
        <f t="shared" si="31"/>
        <v>3338.647628</v>
      </c>
      <c r="X46" s="129">
        <f t="shared" si="32"/>
        <v>16338.64763</v>
      </c>
      <c r="Y46" s="129">
        <f t="shared" si="33"/>
        <v>10338.64763</v>
      </c>
      <c r="Z46" s="129">
        <f t="shared" si="37"/>
        <v>78000</v>
      </c>
    </row>
    <row r="47" ht="15.75" customHeight="1">
      <c r="A47" s="132" t="s">
        <v>54</v>
      </c>
      <c r="B47" s="133"/>
      <c r="C47" s="134"/>
      <c r="D47" s="136">
        <f>SUM(D28:D45)</f>
        <v>0</v>
      </c>
      <c r="E47" s="135">
        <f t="shared" ref="E47:G47" si="38">SUM(E29:E46)</f>
        <v>43239</v>
      </c>
      <c r="F47" s="135">
        <f t="shared" si="38"/>
        <v>3673</v>
      </c>
      <c r="G47" s="135">
        <f t="shared" si="38"/>
        <v>2066</v>
      </c>
      <c r="H47" s="135"/>
      <c r="I47" s="135"/>
      <c r="J47" s="135"/>
      <c r="K47" s="135">
        <f t="shared" ref="K47:V47" si="39">SUM(K29:K46)</f>
        <v>137</v>
      </c>
      <c r="L47" s="135">
        <f t="shared" si="39"/>
        <v>4467</v>
      </c>
      <c r="M47" s="135">
        <f t="shared" si="39"/>
        <v>632526500</v>
      </c>
      <c r="N47" s="135">
        <f t="shared" si="39"/>
        <v>31269000</v>
      </c>
      <c r="O47" s="138">
        <f t="shared" si="39"/>
        <v>7660000</v>
      </c>
      <c r="P47" s="138">
        <f t="shared" si="39"/>
        <v>6762000</v>
      </c>
      <c r="Q47" s="138">
        <f t="shared" si="39"/>
        <v>9500000</v>
      </c>
      <c r="R47" s="138">
        <f t="shared" si="39"/>
        <v>5357700</v>
      </c>
      <c r="S47" s="138">
        <f t="shared" si="39"/>
        <v>16074600</v>
      </c>
      <c r="T47" s="138">
        <f t="shared" si="39"/>
        <v>136339263.9</v>
      </c>
      <c r="U47" s="138">
        <f t="shared" si="39"/>
        <v>709149800</v>
      </c>
      <c r="V47" s="138">
        <f t="shared" si="39"/>
        <v>181693563.9</v>
      </c>
      <c r="W47" s="139"/>
      <c r="X47" s="139"/>
      <c r="Y47" s="139"/>
      <c r="Z47" s="139"/>
    </row>
    <row r="48" ht="15.75" customHeight="1">
      <c r="A48" s="132" t="s">
        <v>58</v>
      </c>
      <c r="B48" s="133"/>
      <c r="C48" s="134"/>
      <c r="D48" s="154">
        <f>D15</f>
        <v>2603</v>
      </c>
      <c r="E48" s="135">
        <f t="shared" ref="E48:G48" si="40">SUM(E47,E27,E15)</f>
        <v>112376</v>
      </c>
      <c r="F48" s="135">
        <f t="shared" si="40"/>
        <v>13685</v>
      </c>
      <c r="G48" s="135">
        <f t="shared" si="40"/>
        <v>2066</v>
      </c>
      <c r="H48" s="135"/>
      <c r="I48" s="135"/>
      <c r="J48" s="135"/>
      <c r="K48" s="135">
        <f t="shared" ref="K48:V48" si="41">SUM(K47,K27,K15)</f>
        <v>756</v>
      </c>
      <c r="L48" s="135">
        <f t="shared" si="41"/>
        <v>6176</v>
      </c>
      <c r="M48" s="135">
        <f t="shared" si="41"/>
        <v>1695898500</v>
      </c>
      <c r="N48" s="135">
        <f t="shared" si="41"/>
        <v>43232000</v>
      </c>
      <c r="O48" s="138">
        <f t="shared" si="41"/>
        <v>19716000</v>
      </c>
      <c r="P48" s="138">
        <f t="shared" si="41"/>
        <v>16077000</v>
      </c>
      <c r="Q48" s="138">
        <f t="shared" si="41"/>
        <v>23500000</v>
      </c>
      <c r="R48" s="138">
        <f t="shared" si="41"/>
        <v>13494000</v>
      </c>
      <c r="S48" s="138">
        <f t="shared" si="41"/>
        <v>40587700</v>
      </c>
      <c r="T48" s="138">
        <f t="shared" si="41"/>
        <v>349249944.1</v>
      </c>
      <c r="U48" s="138">
        <f t="shared" si="41"/>
        <v>1852505200</v>
      </c>
      <c r="V48" s="138">
        <f t="shared" si="41"/>
        <v>462624644.1</v>
      </c>
      <c r="W48" s="139"/>
      <c r="X48" s="139"/>
      <c r="Y48" s="139"/>
      <c r="Z48" s="139"/>
    </row>
    <row r="49" ht="15.75" customHeight="1">
      <c r="D49" s="155"/>
      <c r="E49" s="155"/>
      <c r="O49" s="124"/>
      <c r="P49" s="124"/>
      <c r="Q49" s="124"/>
      <c r="R49" s="124"/>
      <c r="S49" s="124"/>
      <c r="T49" s="124">
        <f>T48-450000000</f>
        <v>-100750055.9</v>
      </c>
      <c r="U49" s="124"/>
      <c r="V49" s="124"/>
      <c r="W49" s="124"/>
      <c r="X49" s="124"/>
      <c r="Y49" s="124"/>
      <c r="Z49" s="124"/>
    </row>
    <row r="50" ht="15.75" customHeight="1">
      <c r="A50" s="156">
        <v>1.0</v>
      </c>
      <c r="B50" s="143">
        <v>45171.0</v>
      </c>
      <c r="C50" s="156"/>
      <c r="D50" s="157">
        <v>0.0</v>
      </c>
      <c r="E50" s="131">
        <f>1274-K50</f>
        <v>1251</v>
      </c>
      <c r="F50" s="157">
        <v>196.0</v>
      </c>
      <c r="G50" s="157">
        <v>0.0</v>
      </c>
      <c r="H50" s="157"/>
      <c r="I50" s="157"/>
      <c r="J50" s="157"/>
      <c r="K50" s="157">
        <v>23.0</v>
      </c>
      <c r="L50" s="131">
        <v>70.0</v>
      </c>
      <c r="M50" s="131">
        <f>((E50+K50)*13000)+F50*12000</f>
        <v>18914000</v>
      </c>
      <c r="N50" s="131">
        <f t="shared" ref="N50:N57" si="42">L50*7000</f>
        <v>490000</v>
      </c>
      <c r="O50" s="158">
        <f>4000*55</f>
        <v>220000</v>
      </c>
      <c r="P50" s="158">
        <f>23000*7</f>
        <v>161000</v>
      </c>
      <c r="Q50" s="158">
        <v>250000.0</v>
      </c>
      <c r="R50" s="158">
        <f t="shared" ref="R50:R57" si="43">100*SUM(D50:L50)</f>
        <v>154000</v>
      </c>
      <c r="S50" s="158">
        <f t="shared" ref="S50:S57" si="44">300*SUM(D50:L50)</f>
        <v>462000</v>
      </c>
      <c r="T50" s="158">
        <f t="shared" ref="T50:T57" si="45">(SUM(D50:G50)+L50)*$D$116</f>
        <v>3869897.34</v>
      </c>
      <c r="U50" s="158">
        <f t="shared" ref="U50:U57" si="46">SUM(M50:S50)</f>
        <v>20651000</v>
      </c>
      <c r="V50" s="158">
        <f t="shared" ref="V50:V57" si="47">SUM(O50:T50)</f>
        <v>5116897.34</v>
      </c>
      <c r="W50" s="158">
        <f t="shared" ref="W50:W57" si="48">V50/(SUM(D50:G50)+L50)</f>
        <v>3373.037139</v>
      </c>
      <c r="X50" s="158">
        <f t="shared" ref="X50:X57" si="49">M50/SUM(D50:K50)+W50</f>
        <v>16239.70381</v>
      </c>
      <c r="Y50" s="158">
        <f t="shared" ref="Y50:Y57" si="50">(N50/L50)+W50</f>
        <v>10373.03714</v>
      </c>
      <c r="Z50" s="158">
        <f>K50*AB51</f>
        <v>295884.5888</v>
      </c>
      <c r="AA50" s="159">
        <f>E50</f>
        <v>1251</v>
      </c>
      <c r="AB50" s="160">
        <v>13000.0</v>
      </c>
      <c r="AC50" s="160">
        <f>AA50*AB50</f>
        <v>16263000</v>
      </c>
    </row>
    <row r="51" ht="15.75" customHeight="1">
      <c r="A51" s="125">
        <v>2.0</v>
      </c>
      <c r="B51" s="143">
        <v>45172.0</v>
      </c>
      <c r="C51" s="125"/>
      <c r="D51" s="128">
        <v>1630.0</v>
      </c>
      <c r="E51" s="127">
        <v>3830.0</v>
      </c>
      <c r="F51" s="128">
        <v>1650.0</v>
      </c>
      <c r="G51" s="128">
        <v>0.0</v>
      </c>
      <c r="H51" s="128"/>
      <c r="I51" s="128"/>
      <c r="J51" s="128"/>
      <c r="K51" s="128">
        <v>0.0</v>
      </c>
      <c r="L51" s="128">
        <v>530.0</v>
      </c>
      <c r="M51" s="131">
        <f t="shared" ref="M51:M57" si="51">(SUM(E51)*13000)+(F51*12000)+(D51*13500)</f>
        <v>91595000</v>
      </c>
      <c r="N51" s="127">
        <f t="shared" si="42"/>
        <v>3710000</v>
      </c>
      <c r="O51" s="158">
        <f>4000*272</f>
        <v>1088000</v>
      </c>
      <c r="P51" s="158">
        <f>23000*38</f>
        <v>874000</v>
      </c>
      <c r="Q51" s="129">
        <f>250000*5</f>
        <v>1250000</v>
      </c>
      <c r="R51" s="158">
        <f t="shared" si="43"/>
        <v>764000</v>
      </c>
      <c r="S51" s="158">
        <f t="shared" si="44"/>
        <v>2292000</v>
      </c>
      <c r="T51" s="158">
        <f t="shared" si="45"/>
        <v>19489792.8</v>
      </c>
      <c r="U51" s="158">
        <f t="shared" si="46"/>
        <v>101573000</v>
      </c>
      <c r="V51" s="158">
        <f t="shared" si="47"/>
        <v>25757792.8</v>
      </c>
      <c r="W51" s="158">
        <f t="shared" si="48"/>
        <v>3371.438848</v>
      </c>
      <c r="X51" s="158">
        <f t="shared" si="49"/>
        <v>16253.99862</v>
      </c>
      <c r="Y51" s="158">
        <f t="shared" si="50"/>
        <v>10371.43885</v>
      </c>
      <c r="Z51" s="158">
        <f t="shared" ref="Z51:Z57" si="52">K51*13000</f>
        <v>0</v>
      </c>
      <c r="AA51" s="124">
        <f>AA50+F50</f>
        <v>1447</v>
      </c>
      <c r="AB51" s="124">
        <f>AC51/AA51</f>
        <v>12864.54734</v>
      </c>
      <c r="AC51" s="124">
        <f>AC50+(12000*F50)</f>
        <v>18615000</v>
      </c>
    </row>
    <row r="52" ht="15.75" customHeight="1">
      <c r="A52" s="125">
        <v>3.0</v>
      </c>
      <c r="B52" s="143">
        <v>45173.0</v>
      </c>
      <c r="C52" s="125"/>
      <c r="D52" s="128">
        <v>0.0</v>
      </c>
      <c r="E52" s="127">
        <v>2041.0</v>
      </c>
      <c r="F52" s="128">
        <v>0.0</v>
      </c>
      <c r="G52" s="128">
        <v>0.0</v>
      </c>
      <c r="H52" s="128"/>
      <c r="I52" s="128"/>
      <c r="J52" s="128"/>
      <c r="K52" s="128">
        <v>0.0</v>
      </c>
      <c r="L52" s="127">
        <v>199.0</v>
      </c>
      <c r="M52" s="131">
        <f t="shared" si="51"/>
        <v>26533000</v>
      </c>
      <c r="N52" s="127">
        <f t="shared" si="42"/>
        <v>1393000</v>
      </c>
      <c r="O52" s="158">
        <f>4000*80</f>
        <v>320000</v>
      </c>
      <c r="P52" s="158">
        <f>23000*13</f>
        <v>299000</v>
      </c>
      <c r="Q52" s="129">
        <f>250000*2</f>
        <v>500000</v>
      </c>
      <c r="R52" s="158">
        <f t="shared" si="43"/>
        <v>224000</v>
      </c>
      <c r="S52" s="158">
        <f t="shared" si="44"/>
        <v>672000</v>
      </c>
      <c r="T52" s="158">
        <f t="shared" si="45"/>
        <v>5714284.8</v>
      </c>
      <c r="U52" s="158">
        <f t="shared" si="46"/>
        <v>29941000</v>
      </c>
      <c r="V52" s="158">
        <f t="shared" si="47"/>
        <v>7729284.8</v>
      </c>
      <c r="W52" s="158">
        <f t="shared" si="48"/>
        <v>3450.573571</v>
      </c>
      <c r="X52" s="158">
        <f t="shared" si="49"/>
        <v>16450.57357</v>
      </c>
      <c r="Y52" s="158">
        <f t="shared" si="50"/>
        <v>10450.57357</v>
      </c>
      <c r="Z52" s="158">
        <f t="shared" si="52"/>
        <v>0</v>
      </c>
    </row>
    <row r="53" ht="15.75" customHeight="1">
      <c r="A53" s="125">
        <v>5.0</v>
      </c>
      <c r="B53" s="143">
        <v>45175.0</v>
      </c>
      <c r="C53" s="125"/>
      <c r="D53" s="128"/>
      <c r="E53" s="140">
        <v>5206.0</v>
      </c>
      <c r="F53" s="127"/>
      <c r="G53" s="128"/>
      <c r="H53" s="141"/>
      <c r="I53" s="141"/>
      <c r="J53" s="141"/>
      <c r="K53" s="141"/>
      <c r="L53" s="140">
        <v>855.0</v>
      </c>
      <c r="M53" s="131">
        <f t="shared" si="51"/>
        <v>67678000</v>
      </c>
      <c r="N53" s="127">
        <f t="shared" si="42"/>
        <v>5985000</v>
      </c>
      <c r="O53" s="158">
        <f>4000*216</f>
        <v>864000</v>
      </c>
      <c r="P53" s="158">
        <f>23000*32</f>
        <v>736000</v>
      </c>
      <c r="Q53" s="129">
        <f>250000*4</f>
        <v>1000000</v>
      </c>
      <c r="R53" s="158">
        <f t="shared" si="43"/>
        <v>606100</v>
      </c>
      <c r="S53" s="158">
        <f t="shared" si="44"/>
        <v>1818300</v>
      </c>
      <c r="T53" s="158">
        <f t="shared" si="45"/>
        <v>15461732.22</v>
      </c>
      <c r="U53" s="158">
        <f t="shared" si="46"/>
        <v>78687400</v>
      </c>
      <c r="V53" s="158">
        <f t="shared" si="47"/>
        <v>20486132.22</v>
      </c>
      <c r="W53" s="158">
        <f t="shared" si="48"/>
        <v>3379.992117</v>
      </c>
      <c r="X53" s="158">
        <f t="shared" si="49"/>
        <v>16379.99212</v>
      </c>
      <c r="Y53" s="158">
        <f t="shared" si="50"/>
        <v>10379.99212</v>
      </c>
      <c r="Z53" s="158">
        <f t="shared" si="52"/>
        <v>0</v>
      </c>
      <c r="AA53" s="124"/>
      <c r="AB53" s="124"/>
      <c r="AC53" s="124"/>
    </row>
    <row r="54" ht="15.75" customHeight="1">
      <c r="A54" s="125">
        <v>6.0</v>
      </c>
      <c r="B54" s="143">
        <v>45192.0</v>
      </c>
      <c r="C54" s="125"/>
      <c r="D54" s="128"/>
      <c r="E54" s="140">
        <v>3045.0</v>
      </c>
      <c r="F54" s="127"/>
      <c r="G54" s="128"/>
      <c r="H54" s="141"/>
      <c r="I54" s="141"/>
      <c r="J54" s="141"/>
      <c r="K54" s="141"/>
      <c r="L54" s="140">
        <v>987.0</v>
      </c>
      <c r="M54" s="131">
        <f t="shared" si="51"/>
        <v>39585000</v>
      </c>
      <c r="N54" s="127">
        <f t="shared" si="42"/>
        <v>6909000</v>
      </c>
      <c r="O54" s="158">
        <f>4000*144</f>
        <v>576000</v>
      </c>
      <c r="P54" s="158">
        <f>23000*19</f>
        <v>437000</v>
      </c>
      <c r="Q54" s="129">
        <f>250000*3</f>
        <v>750000</v>
      </c>
      <c r="R54" s="158">
        <f t="shared" si="43"/>
        <v>403200</v>
      </c>
      <c r="S54" s="158">
        <f t="shared" si="44"/>
        <v>1209600</v>
      </c>
      <c r="T54" s="158">
        <f t="shared" si="45"/>
        <v>10285712.64</v>
      </c>
      <c r="U54" s="158">
        <f t="shared" si="46"/>
        <v>49869800</v>
      </c>
      <c r="V54" s="158">
        <f t="shared" si="47"/>
        <v>13661512.64</v>
      </c>
      <c r="W54" s="158">
        <f t="shared" si="48"/>
        <v>3388.271984</v>
      </c>
      <c r="X54" s="158">
        <f t="shared" si="49"/>
        <v>16388.27198</v>
      </c>
      <c r="Y54" s="158">
        <f t="shared" si="50"/>
        <v>10388.27198</v>
      </c>
      <c r="Z54" s="158">
        <f t="shared" si="52"/>
        <v>0</v>
      </c>
      <c r="AA54" s="124"/>
      <c r="AB54" s="124"/>
      <c r="AC54" s="124"/>
    </row>
    <row r="55" ht="15.75" customHeight="1">
      <c r="A55" s="125">
        <v>7.0</v>
      </c>
      <c r="B55" s="143">
        <v>45193.0</v>
      </c>
      <c r="C55" s="125"/>
      <c r="D55" s="128"/>
      <c r="E55" s="140">
        <v>1275.0</v>
      </c>
      <c r="F55" s="127"/>
      <c r="G55" s="128"/>
      <c r="H55" s="141"/>
      <c r="I55" s="141"/>
      <c r="J55" s="141"/>
      <c r="K55" s="141"/>
      <c r="L55" s="140">
        <v>181.0</v>
      </c>
      <c r="M55" s="131">
        <f t="shared" si="51"/>
        <v>16575000</v>
      </c>
      <c r="N55" s="127">
        <f t="shared" si="42"/>
        <v>1267000</v>
      </c>
      <c r="O55" s="158">
        <f>4000*52</f>
        <v>208000</v>
      </c>
      <c r="P55" s="158">
        <f>23000*7</f>
        <v>161000</v>
      </c>
      <c r="Q55" s="129">
        <f>250000*1</f>
        <v>250000</v>
      </c>
      <c r="R55" s="158">
        <f t="shared" si="43"/>
        <v>145600</v>
      </c>
      <c r="S55" s="158">
        <f t="shared" si="44"/>
        <v>436800</v>
      </c>
      <c r="T55" s="158">
        <f t="shared" si="45"/>
        <v>3714285.12</v>
      </c>
      <c r="U55" s="158">
        <f t="shared" si="46"/>
        <v>19043400</v>
      </c>
      <c r="V55" s="158">
        <f t="shared" si="47"/>
        <v>4915685.12</v>
      </c>
      <c r="W55" s="158">
        <f t="shared" si="48"/>
        <v>3376.157363</v>
      </c>
      <c r="X55" s="158">
        <f t="shared" si="49"/>
        <v>16376.15736</v>
      </c>
      <c r="Y55" s="158">
        <f t="shared" si="50"/>
        <v>10376.15736</v>
      </c>
      <c r="Z55" s="158">
        <f t="shared" si="52"/>
        <v>0</v>
      </c>
      <c r="AA55" s="124"/>
      <c r="AB55" s="124"/>
      <c r="AC55" s="124"/>
    </row>
    <row r="56" ht="15.75" customHeight="1">
      <c r="A56" s="125">
        <v>8.0</v>
      </c>
      <c r="B56" s="143">
        <v>45194.0</v>
      </c>
      <c r="C56" s="125"/>
      <c r="D56" s="128"/>
      <c r="E56" s="140">
        <v>1234.0</v>
      </c>
      <c r="F56" s="127"/>
      <c r="G56" s="128"/>
      <c r="H56" s="141"/>
      <c r="I56" s="141"/>
      <c r="J56" s="141"/>
      <c r="K56" s="141"/>
      <c r="L56" s="140">
        <v>550.0</v>
      </c>
      <c r="M56" s="131">
        <f t="shared" si="51"/>
        <v>16042000</v>
      </c>
      <c r="N56" s="127">
        <f t="shared" si="42"/>
        <v>3850000</v>
      </c>
      <c r="O56" s="158">
        <f>4000*63</f>
        <v>252000</v>
      </c>
      <c r="P56" s="158">
        <f>23000*16</f>
        <v>368000</v>
      </c>
      <c r="Q56" s="129">
        <f>250000*2</f>
        <v>500000</v>
      </c>
      <c r="R56" s="158">
        <f t="shared" si="43"/>
        <v>178400</v>
      </c>
      <c r="S56" s="158">
        <f t="shared" si="44"/>
        <v>535200</v>
      </c>
      <c r="T56" s="158">
        <f t="shared" si="45"/>
        <v>4551019.68</v>
      </c>
      <c r="U56" s="158">
        <f t="shared" si="46"/>
        <v>21725600</v>
      </c>
      <c r="V56" s="158">
        <f t="shared" si="47"/>
        <v>6384619.68</v>
      </c>
      <c r="W56" s="158">
        <f t="shared" si="48"/>
        <v>3578.822691</v>
      </c>
      <c r="X56" s="158">
        <f t="shared" si="49"/>
        <v>16578.82269</v>
      </c>
      <c r="Y56" s="158">
        <f t="shared" si="50"/>
        <v>10578.82269</v>
      </c>
      <c r="Z56" s="158">
        <f t="shared" si="52"/>
        <v>0</v>
      </c>
      <c r="AA56" s="124"/>
      <c r="AB56" s="124"/>
      <c r="AC56" s="124"/>
    </row>
    <row r="57" ht="15.75" customHeight="1">
      <c r="A57" s="125">
        <v>9.0</v>
      </c>
      <c r="B57" s="143">
        <v>45199.0</v>
      </c>
      <c r="C57" s="125"/>
      <c r="D57" s="128"/>
      <c r="E57" s="140">
        <v>2785.6</v>
      </c>
      <c r="F57" s="127"/>
      <c r="G57" s="128"/>
      <c r="H57" s="141"/>
      <c r="I57" s="141"/>
      <c r="J57" s="141"/>
      <c r="K57" s="141"/>
      <c r="L57" s="140">
        <v>1097.4</v>
      </c>
      <c r="M57" s="131">
        <f t="shared" si="51"/>
        <v>36212800</v>
      </c>
      <c r="N57" s="127">
        <f t="shared" si="42"/>
        <v>7681800</v>
      </c>
      <c r="O57" s="158">
        <f>4000*140</f>
        <v>560000</v>
      </c>
      <c r="P57" s="158">
        <f>23000*15.5</f>
        <v>356500</v>
      </c>
      <c r="Q57" s="129">
        <f>250000*3</f>
        <v>750000</v>
      </c>
      <c r="R57" s="158">
        <f t="shared" si="43"/>
        <v>388300</v>
      </c>
      <c r="S57" s="158">
        <f t="shared" si="44"/>
        <v>1164900</v>
      </c>
      <c r="T57" s="158">
        <f t="shared" si="45"/>
        <v>9905610.66</v>
      </c>
      <c r="U57" s="158">
        <f t="shared" si="46"/>
        <v>47114300</v>
      </c>
      <c r="V57" s="158">
        <f t="shared" si="47"/>
        <v>13125310.66</v>
      </c>
      <c r="W57" s="158">
        <f t="shared" si="48"/>
        <v>3380.19847</v>
      </c>
      <c r="X57" s="158">
        <f t="shared" si="49"/>
        <v>16380.19847</v>
      </c>
      <c r="Y57" s="158">
        <f t="shared" si="50"/>
        <v>10380.19847</v>
      </c>
      <c r="Z57" s="158">
        <f t="shared" si="52"/>
        <v>0</v>
      </c>
      <c r="AA57" s="124"/>
      <c r="AB57" s="124"/>
      <c r="AC57" s="124"/>
    </row>
    <row r="58" ht="15.75" customHeight="1">
      <c r="A58" s="161" t="s">
        <v>54</v>
      </c>
      <c r="B58" s="162"/>
      <c r="C58" s="162"/>
      <c r="D58" s="154">
        <f t="shared" ref="D58:G58" si="53">SUM(D50:D57)</f>
        <v>1630</v>
      </c>
      <c r="E58" s="135">
        <f t="shared" si="53"/>
        <v>20667.6</v>
      </c>
      <c r="F58" s="135">
        <f t="shared" si="53"/>
        <v>1846</v>
      </c>
      <c r="G58" s="136">
        <f t="shared" si="53"/>
        <v>0</v>
      </c>
      <c r="H58" s="137"/>
      <c r="I58" s="137"/>
      <c r="J58" s="137"/>
      <c r="K58" s="135">
        <f t="shared" ref="K58:V58" si="54">SUM(K50:K57)</f>
        <v>23</v>
      </c>
      <c r="L58" s="135">
        <f t="shared" si="54"/>
        <v>4469.4</v>
      </c>
      <c r="M58" s="135">
        <f t="shared" si="54"/>
        <v>313134800</v>
      </c>
      <c r="N58" s="135">
        <f t="shared" si="54"/>
        <v>31285800</v>
      </c>
      <c r="O58" s="138">
        <f t="shared" si="54"/>
        <v>4088000</v>
      </c>
      <c r="P58" s="138">
        <f t="shared" si="54"/>
        <v>3392500</v>
      </c>
      <c r="Q58" s="138">
        <f t="shared" si="54"/>
        <v>5250000</v>
      </c>
      <c r="R58" s="138">
        <f t="shared" si="54"/>
        <v>2863600</v>
      </c>
      <c r="S58" s="138">
        <f t="shared" si="54"/>
        <v>8590800</v>
      </c>
      <c r="T58" s="138">
        <f t="shared" si="54"/>
        <v>72992335.26</v>
      </c>
      <c r="U58" s="138">
        <f t="shared" si="54"/>
        <v>368605500</v>
      </c>
      <c r="V58" s="138">
        <f t="shared" si="54"/>
        <v>97177235.26</v>
      </c>
      <c r="W58" s="139"/>
      <c r="X58" s="139"/>
      <c r="Y58" s="139"/>
      <c r="Z58" s="139"/>
    </row>
    <row r="59" ht="15.75" customHeight="1">
      <c r="A59" s="163"/>
      <c r="C59" s="164"/>
      <c r="D59" s="155"/>
      <c r="E59" s="155"/>
      <c r="O59" s="124"/>
      <c r="P59" s="124"/>
      <c r="Q59" s="124"/>
      <c r="R59" s="124"/>
      <c r="S59" s="124">
        <f>T48+T58</f>
        <v>422242279.4</v>
      </c>
      <c r="T59" s="124" t="str">
        <f>459183673-S59+'[2]Jurnal 9'!$F$234</f>
        <v>#REF!</v>
      </c>
      <c r="U59" s="124"/>
      <c r="V59" s="124"/>
      <c r="W59" s="124"/>
      <c r="X59" s="124"/>
      <c r="Y59" s="124"/>
      <c r="Z59" s="124"/>
    </row>
    <row r="60" ht="15.75" customHeight="1">
      <c r="A60" s="156">
        <v>1.0</v>
      </c>
      <c r="B60" s="143">
        <v>45208.0</v>
      </c>
      <c r="C60" s="156"/>
      <c r="D60" s="157">
        <v>0.0</v>
      </c>
      <c r="E60" s="131">
        <v>4260.0</v>
      </c>
      <c r="F60" s="157">
        <v>0.0</v>
      </c>
      <c r="G60" s="157">
        <v>0.0</v>
      </c>
      <c r="H60" s="157"/>
      <c r="I60" s="157"/>
      <c r="J60" s="157"/>
      <c r="K60" s="157">
        <v>0.0</v>
      </c>
      <c r="L60" s="131">
        <v>416.0</v>
      </c>
      <c r="M60" s="131">
        <f>(SUM(E60)*13000)+D60*14000</f>
        <v>55380000</v>
      </c>
      <c r="N60" s="131">
        <f t="shared" ref="N60:N62" si="55">L60*7000</f>
        <v>2912000</v>
      </c>
      <c r="O60" s="158">
        <f>4000*166</f>
        <v>664000</v>
      </c>
      <c r="P60" s="158">
        <f>23000*17.5</f>
        <v>402500</v>
      </c>
      <c r="Q60" s="158">
        <f>250000*3</f>
        <v>750000</v>
      </c>
      <c r="R60" s="158">
        <f>150000*3</f>
        <v>450000</v>
      </c>
      <c r="S60" s="158">
        <f>300*4676</f>
        <v>1402800</v>
      </c>
      <c r="T60" s="158">
        <f t="shared" ref="T60:T74" si="56">(SUM(D60:G60)+L60)*$D$116</f>
        <v>11928569.52</v>
      </c>
      <c r="U60" s="158">
        <f t="shared" ref="U60:U74" si="57">SUM(M60:S60)</f>
        <v>61961300</v>
      </c>
      <c r="V60" s="158">
        <f t="shared" ref="V60:V74" si="58">SUM(O60:T60)</f>
        <v>15597869.52</v>
      </c>
      <c r="W60" s="158">
        <f t="shared" ref="W60:W74" si="59">V60/(SUM(D60:G60)+L60)</f>
        <v>3335.729153</v>
      </c>
      <c r="X60" s="158">
        <f t="shared" ref="X60:X74" si="60">M60/SUM(D60:K60)+W60</f>
        <v>16335.72915</v>
      </c>
      <c r="Y60" s="158">
        <f t="shared" ref="Y60:Y74" si="61">(N60/L60)+W60</f>
        <v>10335.72915</v>
      </c>
      <c r="Z60" s="158">
        <f t="shared" ref="Z60:Z62" si="62">K60*13000</f>
        <v>0</v>
      </c>
      <c r="AA60" s="160"/>
      <c r="AB60" s="160"/>
      <c r="AC60" s="160"/>
    </row>
    <row r="61" ht="15.75" customHeight="1">
      <c r="A61" s="125">
        <v>2.0</v>
      </c>
      <c r="B61" s="143">
        <v>45209.0</v>
      </c>
      <c r="C61" s="125"/>
      <c r="D61" s="128">
        <v>1176.0</v>
      </c>
      <c r="E61" s="127">
        <v>1918.2</v>
      </c>
      <c r="F61" s="128">
        <v>0.0</v>
      </c>
      <c r="G61" s="128">
        <v>0.0</v>
      </c>
      <c r="H61" s="128"/>
      <c r="I61" s="128"/>
      <c r="J61" s="128"/>
      <c r="K61" s="128">
        <v>0.0</v>
      </c>
      <c r="L61" s="128">
        <v>146.2</v>
      </c>
      <c r="M61" s="131">
        <f>(SUM(E61)*13000)+(D61*13500)</f>
        <v>40812600</v>
      </c>
      <c r="N61" s="131">
        <f t="shared" si="55"/>
        <v>1023400</v>
      </c>
      <c r="O61" s="158">
        <f>4000*114</f>
        <v>456000</v>
      </c>
      <c r="P61" s="158">
        <f>23000*12</f>
        <v>276000</v>
      </c>
      <c r="Q61" s="158">
        <f>250000*2</f>
        <v>500000</v>
      </c>
      <c r="R61" s="158">
        <f>150000*2</f>
        <v>300000</v>
      </c>
      <c r="S61" s="158">
        <f t="shared" ref="S61:S74" si="63">300*(SUM(D61:L61))</f>
        <v>972120</v>
      </c>
      <c r="T61" s="158">
        <f t="shared" si="56"/>
        <v>8266325.208</v>
      </c>
      <c r="U61" s="158">
        <f t="shared" si="57"/>
        <v>44340120</v>
      </c>
      <c r="V61" s="158">
        <f t="shared" si="58"/>
        <v>10770445.21</v>
      </c>
      <c r="W61" s="158">
        <f t="shared" si="59"/>
        <v>3323.801138</v>
      </c>
      <c r="X61" s="158">
        <f t="shared" si="60"/>
        <v>16513.8341</v>
      </c>
      <c r="Y61" s="158">
        <f t="shared" si="61"/>
        <v>10323.80114</v>
      </c>
      <c r="Z61" s="129">
        <f t="shared" si="62"/>
        <v>0</v>
      </c>
    </row>
    <row r="62" ht="15.75" customHeight="1">
      <c r="A62" s="125">
        <v>3.0</v>
      </c>
      <c r="B62" s="143">
        <v>45210.0</v>
      </c>
      <c r="C62" s="125"/>
      <c r="D62" s="128">
        <v>0.0</v>
      </c>
      <c r="E62" s="127">
        <v>3000.0</v>
      </c>
      <c r="F62" s="128">
        <v>2320.8</v>
      </c>
      <c r="G62" s="128">
        <v>0.0</v>
      </c>
      <c r="H62" s="128"/>
      <c r="I62" s="128"/>
      <c r="J62" s="128"/>
      <c r="K62" s="128">
        <v>0.0</v>
      </c>
      <c r="L62" s="127">
        <v>105.0</v>
      </c>
      <c r="M62" s="131">
        <f>(SUM(E62)*13000)+(D62*14000)+(F62*12500)</f>
        <v>68010000</v>
      </c>
      <c r="N62" s="131">
        <f t="shared" si="55"/>
        <v>735000</v>
      </c>
      <c r="O62" s="158">
        <f>4000*194</f>
        <v>776000</v>
      </c>
      <c r="P62" s="158">
        <f t="shared" ref="P62:P63" si="64">23000*24</f>
        <v>552000</v>
      </c>
      <c r="Q62" s="158">
        <f t="shared" ref="Q62:Q63" si="65">250000*4</f>
        <v>1000000</v>
      </c>
      <c r="R62" s="158">
        <f t="shared" ref="R62:R63" si="66">150000*4</f>
        <v>600000</v>
      </c>
      <c r="S62" s="158">
        <f t="shared" si="63"/>
        <v>1627740</v>
      </c>
      <c r="T62" s="158">
        <f t="shared" si="56"/>
        <v>13841324.32</v>
      </c>
      <c r="U62" s="158">
        <f t="shared" si="57"/>
        <v>73300740</v>
      </c>
      <c r="V62" s="158">
        <f t="shared" si="58"/>
        <v>18397064.32</v>
      </c>
      <c r="W62" s="158">
        <f t="shared" si="59"/>
        <v>3390.663923</v>
      </c>
      <c r="X62" s="158">
        <f t="shared" si="60"/>
        <v>16172.57642</v>
      </c>
      <c r="Y62" s="158">
        <f t="shared" si="61"/>
        <v>10390.66392</v>
      </c>
      <c r="Z62" s="129">
        <f t="shared" si="62"/>
        <v>0</v>
      </c>
    </row>
    <row r="63" ht="15.75" customHeight="1">
      <c r="A63" s="125">
        <v>4.0</v>
      </c>
      <c r="B63" s="143">
        <v>45213.0</v>
      </c>
      <c r="C63" s="125"/>
      <c r="D63" s="128"/>
      <c r="E63" s="140"/>
      <c r="F63" s="128">
        <v>4611.7</v>
      </c>
      <c r="G63" s="128">
        <v>1580.0</v>
      </c>
      <c r="H63" s="128"/>
      <c r="I63" s="128"/>
      <c r="J63" s="128"/>
      <c r="K63" s="128"/>
      <c r="L63" s="140">
        <v>176.5</v>
      </c>
      <c r="M63" s="131">
        <f t="shared" ref="M63:M69" si="67">(SUM(E63)*13000)+(D63*14000)+(F63*12000)+(G63*11000)</f>
        <v>72720400</v>
      </c>
      <c r="N63" s="131">
        <f t="shared" ref="N63:N74" si="68">L63*6000</f>
        <v>1059000</v>
      </c>
      <c r="O63" s="158">
        <f>4000*228</f>
        <v>912000</v>
      </c>
      <c r="P63" s="158">
        <f t="shared" si="64"/>
        <v>552000</v>
      </c>
      <c r="Q63" s="158">
        <f t="shared" si="65"/>
        <v>1000000</v>
      </c>
      <c r="R63" s="158">
        <f t="shared" si="66"/>
        <v>600000</v>
      </c>
      <c r="S63" s="158">
        <f t="shared" si="63"/>
        <v>1910460</v>
      </c>
      <c r="T63" s="158">
        <f t="shared" si="56"/>
        <v>16245405.56</v>
      </c>
      <c r="U63" s="158">
        <f t="shared" si="57"/>
        <v>78753860</v>
      </c>
      <c r="V63" s="158">
        <f t="shared" si="58"/>
        <v>21219865.56</v>
      </c>
      <c r="W63" s="158">
        <f t="shared" si="59"/>
        <v>3332.160668</v>
      </c>
      <c r="X63" s="158">
        <f t="shared" si="60"/>
        <v>15076.98035</v>
      </c>
      <c r="Y63" s="158">
        <f t="shared" si="61"/>
        <v>9332.160668</v>
      </c>
      <c r="Z63" s="129"/>
    </row>
    <row r="64" ht="15.75" customHeight="1">
      <c r="A64" s="125">
        <v>5.0</v>
      </c>
      <c r="B64" s="143">
        <v>45214.0</v>
      </c>
      <c r="C64" s="125"/>
      <c r="D64" s="128"/>
      <c r="E64" s="140"/>
      <c r="F64" s="128"/>
      <c r="G64" s="128">
        <v>4719.8</v>
      </c>
      <c r="H64" s="128"/>
      <c r="I64" s="128"/>
      <c r="J64" s="128"/>
      <c r="K64" s="128"/>
      <c r="L64" s="140">
        <v>74.6</v>
      </c>
      <c r="M64" s="131">
        <f t="shared" si="67"/>
        <v>51917800</v>
      </c>
      <c r="N64" s="131">
        <f t="shared" si="68"/>
        <v>447600</v>
      </c>
      <c r="O64" s="158">
        <f>4000*172</f>
        <v>688000</v>
      </c>
      <c r="P64" s="158">
        <f t="shared" ref="P64:P65" si="69">23000*18</f>
        <v>414000</v>
      </c>
      <c r="Q64" s="158">
        <f t="shared" ref="Q64:Q65" si="70">250000*3</f>
        <v>750000</v>
      </c>
      <c r="R64" s="158">
        <f t="shared" ref="R64:R65" si="71">150000*3</f>
        <v>450000</v>
      </c>
      <c r="S64" s="158">
        <f t="shared" si="63"/>
        <v>1438320</v>
      </c>
      <c r="T64" s="158">
        <f t="shared" si="56"/>
        <v>12230610.29</v>
      </c>
      <c r="U64" s="158">
        <f t="shared" si="57"/>
        <v>56105720</v>
      </c>
      <c r="V64" s="158">
        <f t="shared" si="58"/>
        <v>15970930.29</v>
      </c>
      <c r="W64" s="158">
        <f t="shared" si="59"/>
        <v>3331.163501</v>
      </c>
      <c r="X64" s="158">
        <f t="shared" si="60"/>
        <v>14331.1635</v>
      </c>
      <c r="Y64" s="158">
        <f t="shared" si="61"/>
        <v>9331.163501</v>
      </c>
      <c r="Z64" s="129"/>
    </row>
    <row r="65" ht="15.75" customHeight="1">
      <c r="A65" s="125">
        <v>6.0</v>
      </c>
      <c r="B65" s="143">
        <v>45215.0</v>
      </c>
      <c r="C65" s="125"/>
      <c r="D65" s="128"/>
      <c r="E65" s="140"/>
      <c r="F65" s="128"/>
      <c r="G65" s="128">
        <v>4543.2</v>
      </c>
      <c r="H65" s="128"/>
      <c r="I65" s="128"/>
      <c r="J65" s="128"/>
      <c r="K65" s="128"/>
      <c r="L65" s="140">
        <v>66.2</v>
      </c>
      <c r="M65" s="131">
        <f t="shared" si="67"/>
        <v>49975200</v>
      </c>
      <c r="N65" s="131">
        <f t="shared" si="68"/>
        <v>397200</v>
      </c>
      <c r="O65" s="158">
        <f>4000*166</f>
        <v>664000</v>
      </c>
      <c r="P65" s="158">
        <f t="shared" si="69"/>
        <v>414000</v>
      </c>
      <c r="Q65" s="158">
        <f t="shared" si="70"/>
        <v>750000</v>
      </c>
      <c r="R65" s="158">
        <f t="shared" si="71"/>
        <v>450000</v>
      </c>
      <c r="S65" s="158">
        <f t="shared" si="63"/>
        <v>1382820</v>
      </c>
      <c r="T65" s="158">
        <f t="shared" si="56"/>
        <v>11758671.59</v>
      </c>
      <c r="U65" s="158">
        <f t="shared" si="57"/>
        <v>54033220</v>
      </c>
      <c r="V65" s="158">
        <f t="shared" si="58"/>
        <v>15419491.59</v>
      </c>
      <c r="W65" s="158">
        <f t="shared" si="59"/>
        <v>3345.227489</v>
      </c>
      <c r="X65" s="158">
        <f t="shared" si="60"/>
        <v>14345.22749</v>
      </c>
      <c r="Y65" s="158">
        <f t="shared" si="61"/>
        <v>9345.227489</v>
      </c>
      <c r="Z65" s="129"/>
    </row>
    <row r="66" ht="15.75" customHeight="1">
      <c r="A66" s="125">
        <v>7.0</v>
      </c>
      <c r="B66" s="143">
        <v>45216.0</v>
      </c>
      <c r="C66" s="125"/>
      <c r="D66" s="128"/>
      <c r="E66" s="140"/>
      <c r="F66" s="128">
        <v>2200.0</v>
      </c>
      <c r="G66" s="128">
        <v>835.6</v>
      </c>
      <c r="H66" s="128"/>
      <c r="I66" s="128"/>
      <c r="J66" s="128"/>
      <c r="K66" s="128"/>
      <c r="L66" s="140">
        <v>60.8</v>
      </c>
      <c r="M66" s="131">
        <f t="shared" si="67"/>
        <v>35591600</v>
      </c>
      <c r="N66" s="131">
        <f t="shared" si="68"/>
        <v>364800</v>
      </c>
      <c r="O66" s="158">
        <f>4000*112</f>
        <v>448000</v>
      </c>
      <c r="P66" s="158">
        <f>23000*12</f>
        <v>276000</v>
      </c>
      <c r="Q66" s="158">
        <f>250000*2</f>
        <v>500000</v>
      </c>
      <c r="R66" s="158">
        <f>150000*2</f>
        <v>300000</v>
      </c>
      <c r="S66" s="158">
        <f t="shared" si="63"/>
        <v>928920</v>
      </c>
      <c r="T66" s="158">
        <f t="shared" si="56"/>
        <v>7898978.328</v>
      </c>
      <c r="U66" s="158">
        <f t="shared" si="57"/>
        <v>38409320</v>
      </c>
      <c r="V66" s="158">
        <f t="shared" si="58"/>
        <v>10351898.33</v>
      </c>
      <c r="W66" s="158">
        <f t="shared" si="59"/>
        <v>3343.204472</v>
      </c>
      <c r="X66" s="158">
        <f t="shared" si="60"/>
        <v>15067.93764</v>
      </c>
      <c r="Y66" s="158">
        <f t="shared" si="61"/>
        <v>9343.204472</v>
      </c>
      <c r="Z66" s="129"/>
    </row>
    <row r="67" ht="15.75" customHeight="1">
      <c r="A67" s="125">
        <v>8.0</v>
      </c>
      <c r="B67" s="143">
        <v>45217.0</v>
      </c>
      <c r="C67" s="125"/>
      <c r="D67" s="128"/>
      <c r="E67" s="140"/>
      <c r="F67" s="128">
        <v>3200.0</v>
      </c>
      <c r="G67" s="128">
        <v>1403.8</v>
      </c>
      <c r="H67" s="128"/>
      <c r="I67" s="128"/>
      <c r="J67" s="128"/>
      <c r="K67" s="128"/>
      <c r="L67" s="140">
        <v>241.0</v>
      </c>
      <c r="M67" s="131">
        <f t="shared" si="67"/>
        <v>53841800</v>
      </c>
      <c r="N67" s="131">
        <f t="shared" si="68"/>
        <v>1446000</v>
      </c>
      <c r="O67" s="158">
        <f>4000*172</f>
        <v>688000</v>
      </c>
      <c r="P67" s="158">
        <f>23000*18</f>
        <v>414000</v>
      </c>
      <c r="Q67" s="158">
        <f>250000*3</f>
        <v>750000</v>
      </c>
      <c r="R67" s="158">
        <f>150000*3</f>
        <v>450000</v>
      </c>
      <c r="S67" s="158">
        <f t="shared" si="63"/>
        <v>1453440</v>
      </c>
      <c r="T67" s="158">
        <f t="shared" si="56"/>
        <v>12359181.7</v>
      </c>
      <c r="U67" s="158">
        <f t="shared" si="57"/>
        <v>59043240</v>
      </c>
      <c r="V67" s="158">
        <f t="shared" si="58"/>
        <v>16114621.7</v>
      </c>
      <c r="W67" s="158">
        <f t="shared" si="59"/>
        <v>3326.168613</v>
      </c>
      <c r="X67" s="158">
        <f t="shared" si="60"/>
        <v>15021.24659</v>
      </c>
      <c r="Y67" s="158">
        <f t="shared" si="61"/>
        <v>9326.168613</v>
      </c>
      <c r="Z67" s="129"/>
    </row>
    <row r="68" ht="15.75" customHeight="1">
      <c r="A68" s="125">
        <v>9.0</v>
      </c>
      <c r="B68" s="143">
        <v>45218.0</v>
      </c>
      <c r="C68" s="125"/>
      <c r="D68" s="128"/>
      <c r="E68" s="140"/>
      <c r="F68" s="128">
        <v>3304.0</v>
      </c>
      <c r="G68" s="128"/>
      <c r="H68" s="128"/>
      <c r="I68" s="128"/>
      <c r="J68" s="128"/>
      <c r="K68" s="128"/>
      <c r="L68" s="140">
        <v>94.2</v>
      </c>
      <c r="M68" s="131">
        <f t="shared" si="67"/>
        <v>39648000</v>
      </c>
      <c r="N68" s="131">
        <f t="shared" si="68"/>
        <v>565200</v>
      </c>
      <c r="O68" s="158">
        <f>4000*161</f>
        <v>644000</v>
      </c>
      <c r="P68" s="158">
        <f>23000*12</f>
        <v>276000</v>
      </c>
      <c r="Q68" s="158">
        <f>250000*2</f>
        <v>500000</v>
      </c>
      <c r="R68" s="158">
        <f>150000*2</f>
        <v>300000</v>
      </c>
      <c r="S68" s="158">
        <f t="shared" si="63"/>
        <v>1019460</v>
      </c>
      <c r="T68" s="158">
        <f t="shared" si="56"/>
        <v>8668876.164</v>
      </c>
      <c r="U68" s="158">
        <f t="shared" si="57"/>
        <v>42952660</v>
      </c>
      <c r="V68" s="158">
        <f t="shared" si="58"/>
        <v>11408336.16</v>
      </c>
      <c r="W68" s="158">
        <f t="shared" si="59"/>
        <v>3357.170315</v>
      </c>
      <c r="X68" s="158">
        <f t="shared" si="60"/>
        <v>15357.17031</v>
      </c>
      <c r="Y68" s="158">
        <f t="shared" si="61"/>
        <v>9357.170315</v>
      </c>
      <c r="Z68" s="129"/>
    </row>
    <row r="69" ht="15.75" customHeight="1">
      <c r="A69" s="125">
        <v>10.0</v>
      </c>
      <c r="B69" s="143">
        <v>45220.0</v>
      </c>
      <c r="C69" s="125"/>
      <c r="D69" s="128"/>
      <c r="E69" s="140"/>
      <c r="F69" s="128">
        <v>4881.8</v>
      </c>
      <c r="G69" s="128"/>
      <c r="H69" s="128"/>
      <c r="I69" s="128"/>
      <c r="J69" s="128"/>
      <c r="K69" s="128"/>
      <c r="L69" s="140">
        <v>90.0</v>
      </c>
      <c r="M69" s="131">
        <f t="shared" si="67"/>
        <v>58581600</v>
      </c>
      <c r="N69" s="131">
        <f t="shared" si="68"/>
        <v>540000</v>
      </c>
      <c r="O69" s="158">
        <f>4000*177</f>
        <v>708000</v>
      </c>
      <c r="P69" s="158">
        <f>23000*19</f>
        <v>437000</v>
      </c>
      <c r="Q69" s="158">
        <f>250000*3</f>
        <v>750000</v>
      </c>
      <c r="R69" s="158">
        <f>150000*3</f>
        <v>450000</v>
      </c>
      <c r="S69" s="158">
        <f t="shared" si="63"/>
        <v>1491540</v>
      </c>
      <c r="T69" s="158">
        <f t="shared" si="56"/>
        <v>12683161.24</v>
      </c>
      <c r="U69" s="158">
        <f t="shared" si="57"/>
        <v>62958140</v>
      </c>
      <c r="V69" s="158">
        <f t="shared" si="58"/>
        <v>16519701.24</v>
      </c>
      <c r="W69" s="158">
        <f t="shared" si="59"/>
        <v>3322.680163</v>
      </c>
      <c r="X69" s="158">
        <f t="shared" si="60"/>
        <v>15322.68016</v>
      </c>
      <c r="Y69" s="158">
        <f t="shared" si="61"/>
        <v>9322.680163</v>
      </c>
      <c r="Z69" s="129"/>
    </row>
    <row r="70" ht="15.75" customHeight="1">
      <c r="A70" s="125">
        <v>11.0</v>
      </c>
      <c r="B70" s="143">
        <v>45223.0</v>
      </c>
      <c r="C70" s="125"/>
      <c r="D70" s="128"/>
      <c r="E70" s="140">
        <v>1540.0</v>
      </c>
      <c r="F70" s="128">
        <v>4781.2</v>
      </c>
      <c r="G70" s="128"/>
      <c r="H70" s="128"/>
      <c r="I70" s="128"/>
      <c r="J70" s="128"/>
      <c r="K70" s="128"/>
      <c r="L70" s="140">
        <v>70.0</v>
      </c>
      <c r="M70" s="131">
        <f>(SUM(E70)*12500)+(D70*14000)+(F70*12000)+(G70*11000)</f>
        <v>76624400</v>
      </c>
      <c r="N70" s="131">
        <f t="shared" si="68"/>
        <v>420000</v>
      </c>
      <c r="O70" s="158">
        <f>4000*231</f>
        <v>924000</v>
      </c>
      <c r="P70" s="158">
        <f>23000*24</f>
        <v>552000</v>
      </c>
      <c r="Q70" s="158">
        <f>250000*4</f>
        <v>1000000</v>
      </c>
      <c r="R70" s="158">
        <f>150000*4</f>
        <v>600000</v>
      </c>
      <c r="S70" s="158">
        <f t="shared" si="63"/>
        <v>1917360</v>
      </c>
      <c r="T70" s="158">
        <f t="shared" si="56"/>
        <v>16304079.02</v>
      </c>
      <c r="U70" s="158">
        <f t="shared" si="57"/>
        <v>82037760</v>
      </c>
      <c r="V70" s="158">
        <f t="shared" si="58"/>
        <v>21297439.02</v>
      </c>
      <c r="W70" s="158">
        <f t="shared" si="59"/>
        <v>3332.306769</v>
      </c>
      <c r="X70" s="158">
        <f t="shared" si="60"/>
        <v>15454.11908</v>
      </c>
      <c r="Y70" s="158">
        <f t="shared" si="61"/>
        <v>9332.306769</v>
      </c>
      <c r="Z70" s="129"/>
    </row>
    <row r="71" ht="15.75" customHeight="1">
      <c r="A71" s="125">
        <v>12.0</v>
      </c>
      <c r="B71" s="143">
        <v>45224.0</v>
      </c>
      <c r="C71" s="125"/>
      <c r="D71" s="128"/>
      <c r="E71" s="140"/>
      <c r="F71" s="128">
        <v>4678.7</v>
      </c>
      <c r="G71" s="128"/>
      <c r="H71" s="128"/>
      <c r="I71" s="128"/>
      <c r="J71" s="128"/>
      <c r="K71" s="128"/>
      <c r="L71" s="140">
        <v>38.0</v>
      </c>
      <c r="M71" s="131">
        <f t="shared" ref="M71:M74" si="72">(SUM(E71)*13000)+(D71*14000)+(F71*12000)+(G71*11000)</f>
        <v>56144400</v>
      </c>
      <c r="N71" s="131">
        <f t="shared" si="68"/>
        <v>228000</v>
      </c>
      <c r="O71" s="158">
        <f>4000*169</f>
        <v>676000</v>
      </c>
      <c r="P71" s="158">
        <f>23000*19</f>
        <v>437000</v>
      </c>
      <c r="Q71" s="158">
        <f t="shared" ref="Q71:Q72" si="73">250000*3</f>
        <v>750000</v>
      </c>
      <c r="R71" s="158">
        <f t="shared" ref="R71:R72" si="74">150000*3</f>
        <v>450000</v>
      </c>
      <c r="S71" s="158">
        <f t="shared" si="63"/>
        <v>1415010</v>
      </c>
      <c r="T71" s="158">
        <f t="shared" si="56"/>
        <v>12032396.03</v>
      </c>
      <c r="U71" s="158">
        <f t="shared" si="57"/>
        <v>60100410</v>
      </c>
      <c r="V71" s="158">
        <f t="shared" si="58"/>
        <v>15760406.03</v>
      </c>
      <c r="W71" s="158">
        <f t="shared" si="59"/>
        <v>3341.405227</v>
      </c>
      <c r="X71" s="158">
        <f t="shared" si="60"/>
        <v>15341.40523</v>
      </c>
      <c r="Y71" s="158">
        <f t="shared" si="61"/>
        <v>9341.405227</v>
      </c>
      <c r="Z71" s="129"/>
    </row>
    <row r="72" ht="15.75" customHeight="1">
      <c r="A72" s="125">
        <v>13.0</v>
      </c>
      <c r="B72" s="143">
        <v>45225.0</v>
      </c>
      <c r="C72" s="125"/>
      <c r="D72" s="128"/>
      <c r="E72" s="140"/>
      <c r="F72" s="128">
        <v>4683.4</v>
      </c>
      <c r="G72" s="128"/>
      <c r="H72" s="128"/>
      <c r="I72" s="128"/>
      <c r="J72" s="128"/>
      <c r="K72" s="128"/>
      <c r="L72" s="140">
        <v>44.0</v>
      </c>
      <c r="M72" s="131">
        <f t="shared" si="72"/>
        <v>56200800</v>
      </c>
      <c r="N72" s="131">
        <f t="shared" si="68"/>
        <v>264000</v>
      </c>
      <c r="O72" s="158">
        <f>4000*170</f>
        <v>680000</v>
      </c>
      <c r="P72" s="158">
        <f>23000*18</f>
        <v>414000</v>
      </c>
      <c r="Q72" s="158">
        <f t="shared" si="73"/>
        <v>750000</v>
      </c>
      <c r="R72" s="158">
        <f t="shared" si="74"/>
        <v>450000</v>
      </c>
      <c r="S72" s="158">
        <f t="shared" si="63"/>
        <v>1418220</v>
      </c>
      <c r="T72" s="158">
        <f t="shared" si="56"/>
        <v>12059691.95</v>
      </c>
      <c r="U72" s="158">
        <f t="shared" si="57"/>
        <v>60177020</v>
      </c>
      <c r="V72" s="158">
        <f t="shared" si="58"/>
        <v>15771911.95</v>
      </c>
      <c r="W72" s="158">
        <f t="shared" si="59"/>
        <v>3336.276166</v>
      </c>
      <c r="X72" s="158">
        <f t="shared" si="60"/>
        <v>15336.27617</v>
      </c>
      <c r="Y72" s="158">
        <f t="shared" si="61"/>
        <v>9336.276166</v>
      </c>
      <c r="Z72" s="129"/>
    </row>
    <row r="73" ht="15.75" customHeight="1">
      <c r="A73" s="125">
        <v>14.0</v>
      </c>
      <c r="B73" s="143">
        <v>45227.0</v>
      </c>
      <c r="C73" s="125"/>
      <c r="D73" s="128"/>
      <c r="E73" s="140"/>
      <c r="F73" s="128">
        <v>8026.2</v>
      </c>
      <c r="G73" s="128"/>
      <c r="H73" s="128"/>
      <c r="I73" s="128"/>
      <c r="J73" s="128"/>
      <c r="K73" s="128"/>
      <c r="L73" s="140">
        <v>106.3</v>
      </c>
      <c r="M73" s="131">
        <f t="shared" si="72"/>
        <v>96314400</v>
      </c>
      <c r="N73" s="131">
        <f t="shared" si="68"/>
        <v>637800</v>
      </c>
      <c r="O73" s="158">
        <f>4000*287</f>
        <v>1148000</v>
      </c>
      <c r="P73" s="158">
        <f>23000*32</f>
        <v>736000</v>
      </c>
      <c r="Q73" s="158">
        <f>250000*5</f>
        <v>1250000</v>
      </c>
      <c r="R73" s="158">
        <f>150000*5</f>
        <v>750000</v>
      </c>
      <c r="S73" s="158">
        <f t="shared" si="63"/>
        <v>2439750</v>
      </c>
      <c r="T73" s="158">
        <f t="shared" si="56"/>
        <v>20746170.15</v>
      </c>
      <c r="U73" s="158">
        <f t="shared" si="57"/>
        <v>103275950</v>
      </c>
      <c r="V73" s="158">
        <f t="shared" si="58"/>
        <v>27069920.15</v>
      </c>
      <c r="W73" s="158">
        <f t="shared" si="59"/>
        <v>3328.609917</v>
      </c>
      <c r="X73" s="158">
        <f t="shared" si="60"/>
        <v>15328.60992</v>
      </c>
      <c r="Y73" s="158">
        <f t="shared" si="61"/>
        <v>9328.609917</v>
      </c>
      <c r="Z73" s="129"/>
    </row>
    <row r="74" ht="15.75" customHeight="1">
      <c r="A74" s="125">
        <v>15.0</v>
      </c>
      <c r="B74" s="143">
        <v>45228.0</v>
      </c>
      <c r="C74" s="125"/>
      <c r="D74" s="128"/>
      <c r="E74" s="140">
        <v>1597.0</v>
      </c>
      <c r="F74" s="128">
        <v>1550.0</v>
      </c>
      <c r="G74" s="128"/>
      <c r="H74" s="128"/>
      <c r="I74" s="128"/>
      <c r="J74" s="128"/>
      <c r="K74" s="128"/>
      <c r="L74" s="140">
        <v>48.5</v>
      </c>
      <c r="M74" s="131">
        <f t="shared" si="72"/>
        <v>39361000</v>
      </c>
      <c r="N74" s="131">
        <f t="shared" si="68"/>
        <v>291000</v>
      </c>
      <c r="O74" s="158">
        <f>4000*114</f>
        <v>456000</v>
      </c>
      <c r="P74" s="158">
        <f>23000*14</f>
        <v>322000</v>
      </c>
      <c r="Q74" s="158">
        <f>250000*2</f>
        <v>500000</v>
      </c>
      <c r="R74" s="158">
        <f>150000*2</f>
        <v>300000</v>
      </c>
      <c r="S74" s="158">
        <f t="shared" si="63"/>
        <v>958650</v>
      </c>
      <c r="T74" s="158">
        <f t="shared" si="56"/>
        <v>8151784.41</v>
      </c>
      <c r="U74" s="158">
        <f t="shared" si="57"/>
        <v>42188650</v>
      </c>
      <c r="V74" s="158">
        <f t="shared" si="58"/>
        <v>10688434.41</v>
      </c>
      <c r="W74" s="158">
        <f t="shared" si="59"/>
        <v>3344.839434</v>
      </c>
      <c r="X74" s="158">
        <f t="shared" si="60"/>
        <v>15852.30686</v>
      </c>
      <c r="Y74" s="158">
        <f t="shared" si="61"/>
        <v>9344.839434</v>
      </c>
      <c r="Z74" s="129"/>
    </row>
    <row r="75" ht="15.75" customHeight="1">
      <c r="A75" s="161" t="s">
        <v>54</v>
      </c>
      <c r="B75" s="162"/>
      <c r="C75" s="162"/>
      <c r="D75" s="154">
        <f t="shared" ref="D75:G75" si="75">SUM(D60:D74)</f>
        <v>1176</v>
      </c>
      <c r="E75" s="135">
        <f t="shared" si="75"/>
        <v>12315.2</v>
      </c>
      <c r="F75" s="135">
        <f t="shared" si="75"/>
        <v>44237.8</v>
      </c>
      <c r="G75" s="154">
        <f t="shared" si="75"/>
        <v>13082.4</v>
      </c>
      <c r="H75" s="137"/>
      <c r="I75" s="137"/>
      <c r="J75" s="137"/>
      <c r="K75" s="135">
        <f t="shared" ref="K75:V75" si="76">SUM(K60:K74)</f>
        <v>0</v>
      </c>
      <c r="L75" s="135">
        <f t="shared" si="76"/>
        <v>1777.3</v>
      </c>
      <c r="M75" s="135">
        <f t="shared" si="76"/>
        <v>851124000</v>
      </c>
      <c r="N75" s="135">
        <f t="shared" si="76"/>
        <v>11331000</v>
      </c>
      <c r="O75" s="138">
        <f t="shared" si="76"/>
        <v>10532000</v>
      </c>
      <c r="P75" s="138">
        <f t="shared" si="76"/>
        <v>6474500</v>
      </c>
      <c r="Q75" s="138">
        <f t="shared" si="76"/>
        <v>11500000</v>
      </c>
      <c r="R75" s="138">
        <f t="shared" si="76"/>
        <v>6900000</v>
      </c>
      <c r="S75" s="138">
        <f t="shared" si="76"/>
        <v>21776610</v>
      </c>
      <c r="T75" s="138">
        <f t="shared" si="76"/>
        <v>185175225.5</v>
      </c>
      <c r="U75" s="138">
        <f t="shared" si="76"/>
        <v>919638110</v>
      </c>
      <c r="V75" s="138">
        <f t="shared" si="76"/>
        <v>242358335.5</v>
      </c>
      <c r="W75" s="139"/>
      <c r="X75" s="139"/>
      <c r="Y75" s="139"/>
      <c r="Z75" s="139"/>
    </row>
    <row r="76" ht="15.75" customHeight="1">
      <c r="A76" s="163"/>
      <c r="C76" s="164"/>
      <c r="D76" s="155"/>
      <c r="E76" s="155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 ht="15.75" customHeight="1">
      <c r="A77" s="156">
        <v>1.0</v>
      </c>
      <c r="B77" s="143">
        <v>45234.0</v>
      </c>
      <c r="C77" s="156"/>
      <c r="D77" s="157"/>
      <c r="E77" s="131"/>
      <c r="F77" s="157">
        <v>3342.1</v>
      </c>
      <c r="G77" s="157">
        <v>1540.0</v>
      </c>
      <c r="H77" s="157"/>
      <c r="I77" s="157"/>
      <c r="J77" s="157"/>
      <c r="K77" s="157"/>
      <c r="L77" s="131">
        <v>89.9</v>
      </c>
      <c r="M77" s="131">
        <f t="shared" ref="M77:M85" si="77">(SUM(E77)*13000)+(F77*12000)+G77*11000</f>
        <v>57045200</v>
      </c>
      <c r="N77" s="131">
        <f t="shared" ref="N77:N88" si="78">L77*6000</f>
        <v>539400</v>
      </c>
      <c r="O77" s="158">
        <f>4000*175</f>
        <v>700000</v>
      </c>
      <c r="P77" s="158">
        <f>23000*19</f>
        <v>437000</v>
      </c>
      <c r="Q77" s="158">
        <f>250000*3</f>
        <v>750000</v>
      </c>
      <c r="R77" s="158">
        <f>150000*3</f>
        <v>450000</v>
      </c>
      <c r="S77" s="158">
        <f t="shared" ref="S77:S91" si="79">300*SUM(D77:L77)</f>
        <v>1491600</v>
      </c>
      <c r="T77" s="158">
        <f t="shared" ref="T77:T85" si="80">(SUM(D77:G77)+L77)*$D$116</f>
        <v>12683671.44</v>
      </c>
      <c r="U77" s="158">
        <f t="shared" ref="U77:U91" si="81">SUM(M77:S77)</f>
        <v>61413200</v>
      </c>
      <c r="V77" s="158">
        <f t="shared" ref="V77:V91" si="82">SUM(O77:T77)</f>
        <v>16512271.44</v>
      </c>
      <c r="W77" s="158">
        <f t="shared" ref="W77:W85" si="83">V77/(SUM(D77:G77)+L77)</f>
        <v>3321.05218</v>
      </c>
      <c r="X77" s="158">
        <f t="shared" ref="X77:X91" si="84">M77/SUM(D77:K77)+W77</f>
        <v>15005.61415</v>
      </c>
      <c r="Y77" s="158">
        <f t="shared" ref="Y77:Y91" si="85">(N77/L77)+W77</f>
        <v>9321.05218</v>
      </c>
      <c r="Z77" s="158">
        <f t="shared" ref="Z77:Z82" si="86">K77*13000</f>
        <v>0</v>
      </c>
      <c r="AA77" s="160"/>
      <c r="AB77" s="160"/>
      <c r="AC77" s="160"/>
    </row>
    <row r="78" ht="15.75" customHeight="1">
      <c r="A78" s="125">
        <v>2.0</v>
      </c>
      <c r="B78" s="143">
        <v>45235.0</v>
      </c>
      <c r="C78" s="125"/>
      <c r="D78" s="128"/>
      <c r="E78" s="127"/>
      <c r="F78" s="128">
        <v>3079.7</v>
      </c>
      <c r="G78" s="128"/>
      <c r="H78" s="128"/>
      <c r="I78" s="128"/>
      <c r="J78" s="128"/>
      <c r="K78" s="128"/>
      <c r="L78" s="128">
        <v>54.2</v>
      </c>
      <c r="M78" s="131">
        <f t="shared" si="77"/>
        <v>36956400</v>
      </c>
      <c r="N78" s="131">
        <f t="shared" si="78"/>
        <v>325200</v>
      </c>
      <c r="O78" s="158">
        <f>4000*112</f>
        <v>448000</v>
      </c>
      <c r="P78" s="158">
        <f>23000*12</f>
        <v>276000</v>
      </c>
      <c r="Q78" s="158">
        <f>250000*2</f>
        <v>500000</v>
      </c>
      <c r="R78" s="158">
        <f>150000*2</f>
        <v>300000</v>
      </c>
      <c r="S78" s="158">
        <f t="shared" si="79"/>
        <v>940170</v>
      </c>
      <c r="T78" s="158">
        <f t="shared" si="80"/>
        <v>7994641.578</v>
      </c>
      <c r="U78" s="158">
        <f t="shared" si="81"/>
        <v>39745770</v>
      </c>
      <c r="V78" s="158">
        <f t="shared" si="82"/>
        <v>10458811.58</v>
      </c>
      <c r="W78" s="158">
        <f t="shared" si="83"/>
        <v>3337.315032</v>
      </c>
      <c r="X78" s="158">
        <f t="shared" si="84"/>
        <v>15337.31503</v>
      </c>
      <c r="Y78" s="158">
        <f t="shared" si="85"/>
        <v>9337.315032</v>
      </c>
      <c r="Z78" s="158">
        <f t="shared" si="86"/>
        <v>0</v>
      </c>
    </row>
    <row r="79" ht="15.75" customHeight="1">
      <c r="A79" s="125">
        <v>3.0</v>
      </c>
      <c r="B79" s="143">
        <v>45236.0</v>
      </c>
      <c r="C79" s="125"/>
      <c r="D79" s="128"/>
      <c r="E79" s="127"/>
      <c r="F79" s="128">
        <v>3120.5</v>
      </c>
      <c r="G79" s="128">
        <v>840.0</v>
      </c>
      <c r="H79" s="128"/>
      <c r="I79" s="128"/>
      <c r="J79" s="128"/>
      <c r="K79" s="128"/>
      <c r="L79" s="127">
        <v>48.7</v>
      </c>
      <c r="M79" s="131">
        <f t="shared" si="77"/>
        <v>46686000</v>
      </c>
      <c r="N79" s="131">
        <f t="shared" si="78"/>
        <v>292200</v>
      </c>
      <c r="O79" s="158">
        <f>4000*142</f>
        <v>568000</v>
      </c>
      <c r="P79" s="158">
        <f>23000*17</f>
        <v>391000</v>
      </c>
      <c r="Q79" s="158">
        <f>250000*3</f>
        <v>750000</v>
      </c>
      <c r="R79" s="158">
        <f>150000*3</f>
        <v>450000</v>
      </c>
      <c r="S79" s="158">
        <f t="shared" si="79"/>
        <v>1202760</v>
      </c>
      <c r="T79" s="158">
        <f t="shared" si="80"/>
        <v>10227549.38</v>
      </c>
      <c r="U79" s="158">
        <f t="shared" si="81"/>
        <v>50339960</v>
      </c>
      <c r="V79" s="158">
        <f t="shared" si="82"/>
        <v>13589309.38</v>
      </c>
      <c r="W79" s="158">
        <f t="shared" si="83"/>
        <v>3389.531424</v>
      </c>
      <c r="X79" s="158">
        <f t="shared" si="84"/>
        <v>15177.43699</v>
      </c>
      <c r="Y79" s="158">
        <f t="shared" si="85"/>
        <v>9389.531424</v>
      </c>
      <c r="Z79" s="158">
        <f t="shared" si="86"/>
        <v>0</v>
      </c>
    </row>
    <row r="80" ht="15.75" customHeight="1">
      <c r="A80" s="125">
        <v>5.0</v>
      </c>
      <c r="B80" s="143">
        <v>45237.0</v>
      </c>
      <c r="C80" s="125"/>
      <c r="D80" s="128"/>
      <c r="E80" s="140"/>
      <c r="F80" s="127">
        <v>4933.9</v>
      </c>
      <c r="G80" s="128">
        <v>1530.0</v>
      </c>
      <c r="H80" s="141"/>
      <c r="I80" s="141"/>
      <c r="J80" s="141"/>
      <c r="K80" s="141"/>
      <c r="L80" s="140">
        <v>55.0</v>
      </c>
      <c r="M80" s="131">
        <f t="shared" si="77"/>
        <v>76036800</v>
      </c>
      <c r="N80" s="131">
        <f t="shared" si="78"/>
        <v>330000</v>
      </c>
      <c r="O80" s="158">
        <f>4000*232</f>
        <v>928000</v>
      </c>
      <c r="P80" s="158">
        <f>23000*24</f>
        <v>552000</v>
      </c>
      <c r="Q80" s="158">
        <f>250000*4</f>
        <v>1000000</v>
      </c>
      <c r="R80" s="158">
        <f>150000*4</f>
        <v>600000</v>
      </c>
      <c r="S80" s="158">
        <f t="shared" si="79"/>
        <v>1955670</v>
      </c>
      <c r="T80" s="158">
        <f t="shared" si="80"/>
        <v>16629844.28</v>
      </c>
      <c r="U80" s="158">
        <f t="shared" si="81"/>
        <v>81402470</v>
      </c>
      <c r="V80" s="158">
        <f t="shared" si="82"/>
        <v>21665514.28</v>
      </c>
      <c r="W80" s="158">
        <f t="shared" si="83"/>
        <v>3323.49235</v>
      </c>
      <c r="X80" s="158">
        <f t="shared" si="84"/>
        <v>15086.79314</v>
      </c>
      <c r="Y80" s="158">
        <f t="shared" si="85"/>
        <v>9323.49235</v>
      </c>
      <c r="Z80" s="158">
        <f t="shared" si="86"/>
        <v>0</v>
      </c>
      <c r="AA80" s="124"/>
      <c r="AB80" s="124"/>
      <c r="AC80" s="124"/>
    </row>
    <row r="81" ht="15.75" customHeight="1">
      <c r="A81" s="125">
        <v>6.0</v>
      </c>
      <c r="B81" s="143">
        <v>45238.0</v>
      </c>
      <c r="C81" s="125"/>
      <c r="D81" s="128"/>
      <c r="E81" s="140"/>
      <c r="F81" s="127"/>
      <c r="G81" s="128">
        <v>3414.0</v>
      </c>
      <c r="H81" s="141"/>
      <c r="I81" s="141"/>
      <c r="J81" s="141"/>
      <c r="K81" s="141"/>
      <c r="L81" s="140">
        <v>70.0</v>
      </c>
      <c r="M81" s="131">
        <f t="shared" si="77"/>
        <v>37554000</v>
      </c>
      <c r="N81" s="131">
        <f t="shared" si="78"/>
        <v>420000</v>
      </c>
      <c r="O81" s="158">
        <f>4000*123</f>
        <v>492000</v>
      </c>
      <c r="P81" s="158">
        <f>23000*12</f>
        <v>276000</v>
      </c>
      <c r="Q81" s="158">
        <f>250000*2</f>
        <v>500000</v>
      </c>
      <c r="R81" s="158">
        <f>150000*2</f>
        <v>300000</v>
      </c>
      <c r="S81" s="158">
        <f t="shared" si="79"/>
        <v>1045200</v>
      </c>
      <c r="T81" s="158">
        <f t="shared" si="80"/>
        <v>8887753.68</v>
      </c>
      <c r="U81" s="158">
        <f t="shared" si="81"/>
        <v>40587200</v>
      </c>
      <c r="V81" s="158">
        <f t="shared" si="82"/>
        <v>11500953.68</v>
      </c>
      <c r="W81" s="158">
        <f t="shared" si="83"/>
        <v>3301.077405</v>
      </c>
      <c r="X81" s="158">
        <f t="shared" si="84"/>
        <v>14301.07741</v>
      </c>
      <c r="Y81" s="158">
        <f t="shared" si="85"/>
        <v>9301.077405</v>
      </c>
      <c r="Z81" s="158">
        <f t="shared" si="86"/>
        <v>0</v>
      </c>
      <c r="AA81" s="124"/>
      <c r="AB81" s="124"/>
      <c r="AC81" s="124"/>
    </row>
    <row r="82" ht="15.75" customHeight="1">
      <c r="A82" s="125">
        <v>7.0</v>
      </c>
      <c r="B82" s="143">
        <v>45239.0</v>
      </c>
      <c r="C82" s="125"/>
      <c r="D82" s="128"/>
      <c r="E82" s="140"/>
      <c r="F82" s="127"/>
      <c r="G82" s="128">
        <v>4756.3</v>
      </c>
      <c r="H82" s="141"/>
      <c r="I82" s="141"/>
      <c r="J82" s="141"/>
      <c r="K82" s="141"/>
      <c r="L82" s="140">
        <v>68.3</v>
      </c>
      <c r="M82" s="131">
        <f t="shared" si="77"/>
        <v>52319300</v>
      </c>
      <c r="N82" s="131">
        <f t="shared" si="78"/>
        <v>409800</v>
      </c>
      <c r="O82" s="158">
        <f>4000*170</f>
        <v>680000</v>
      </c>
      <c r="P82" s="158">
        <f>23000*18</f>
        <v>414000</v>
      </c>
      <c r="Q82" s="158">
        <f t="shared" ref="Q82:Q83" si="87">250000*3</f>
        <v>750000</v>
      </c>
      <c r="R82" s="158">
        <f t="shared" ref="R82:R83" si="88">150000*3</f>
        <v>450000</v>
      </c>
      <c r="S82" s="158">
        <f t="shared" si="79"/>
        <v>1447380</v>
      </c>
      <c r="T82" s="158">
        <f t="shared" si="80"/>
        <v>12307651.09</v>
      </c>
      <c r="U82" s="158">
        <f t="shared" si="81"/>
        <v>56470480</v>
      </c>
      <c r="V82" s="158">
        <f t="shared" si="82"/>
        <v>16049031.09</v>
      </c>
      <c r="W82" s="158">
        <f t="shared" si="83"/>
        <v>3326.499833</v>
      </c>
      <c r="X82" s="158">
        <f t="shared" si="84"/>
        <v>14326.49983</v>
      </c>
      <c r="Y82" s="158">
        <f t="shared" si="85"/>
        <v>9326.499833</v>
      </c>
      <c r="Z82" s="158">
        <f t="shared" si="86"/>
        <v>0</v>
      </c>
      <c r="AA82" s="124"/>
      <c r="AB82" s="124"/>
      <c r="AC82" s="124"/>
    </row>
    <row r="83" ht="15.75" customHeight="1">
      <c r="A83" s="125">
        <v>8.0</v>
      </c>
      <c r="B83" s="143">
        <v>45241.0</v>
      </c>
      <c r="C83" s="125"/>
      <c r="D83" s="128"/>
      <c r="E83" s="140"/>
      <c r="F83" s="127">
        <v>1570.0</v>
      </c>
      <c r="G83" s="128">
        <v>2980.0</v>
      </c>
      <c r="H83" s="141"/>
      <c r="I83" s="141"/>
      <c r="J83" s="141"/>
      <c r="K83" s="141"/>
      <c r="L83" s="140">
        <v>81.7</v>
      </c>
      <c r="M83" s="131">
        <f t="shared" si="77"/>
        <v>51620000</v>
      </c>
      <c r="N83" s="131">
        <f t="shared" si="78"/>
        <v>490200</v>
      </c>
      <c r="O83" s="158">
        <f>4000*166</f>
        <v>664000</v>
      </c>
      <c r="P83" s="158">
        <f>23000*19</f>
        <v>437000</v>
      </c>
      <c r="Q83" s="158">
        <f t="shared" si="87"/>
        <v>750000</v>
      </c>
      <c r="R83" s="158">
        <f t="shared" si="88"/>
        <v>450000</v>
      </c>
      <c r="S83" s="158">
        <f t="shared" si="79"/>
        <v>1389510</v>
      </c>
      <c r="T83" s="158">
        <f t="shared" si="80"/>
        <v>11815559.33</v>
      </c>
      <c r="U83" s="158">
        <f t="shared" si="81"/>
        <v>55800710</v>
      </c>
      <c r="V83" s="158">
        <f t="shared" si="82"/>
        <v>15506069.33</v>
      </c>
      <c r="W83" s="158">
        <f t="shared" si="83"/>
        <v>3347.813834</v>
      </c>
      <c r="X83" s="158">
        <f t="shared" si="84"/>
        <v>14692.86878</v>
      </c>
      <c r="Y83" s="158">
        <f t="shared" si="85"/>
        <v>9347.813834</v>
      </c>
      <c r="Z83" s="158"/>
      <c r="AA83" s="124"/>
      <c r="AB83" s="124"/>
      <c r="AC83" s="124"/>
    </row>
    <row r="84" ht="15.75" customHeight="1">
      <c r="A84" s="125">
        <v>9.0</v>
      </c>
      <c r="B84" s="143">
        <v>45242.0</v>
      </c>
      <c r="C84" s="125"/>
      <c r="D84" s="128"/>
      <c r="E84" s="140"/>
      <c r="F84" s="127"/>
      <c r="G84" s="128">
        <v>3323.9</v>
      </c>
      <c r="H84" s="141"/>
      <c r="I84" s="141"/>
      <c r="J84" s="141"/>
      <c r="K84" s="141"/>
      <c r="L84" s="140">
        <v>36.0</v>
      </c>
      <c r="M84" s="131">
        <f t="shared" si="77"/>
        <v>36562900</v>
      </c>
      <c r="N84" s="131">
        <f t="shared" si="78"/>
        <v>216000</v>
      </c>
      <c r="O84" s="158">
        <f>4000*120</f>
        <v>480000</v>
      </c>
      <c r="P84" s="158">
        <f t="shared" ref="P84:P86" si="89">23000*12</f>
        <v>276000</v>
      </c>
      <c r="Q84" s="158">
        <f t="shared" ref="Q84:Q88" si="90">250000*2</f>
        <v>500000</v>
      </c>
      <c r="R84" s="158">
        <f t="shared" ref="R84:R88" si="91">150000*2</f>
        <v>300000</v>
      </c>
      <c r="S84" s="158">
        <f t="shared" si="79"/>
        <v>1007970</v>
      </c>
      <c r="T84" s="158">
        <f t="shared" si="80"/>
        <v>8571172.098</v>
      </c>
      <c r="U84" s="158">
        <f t="shared" si="81"/>
        <v>39342870</v>
      </c>
      <c r="V84" s="158">
        <f t="shared" si="82"/>
        <v>11135142.1</v>
      </c>
      <c r="W84" s="158">
        <f t="shared" si="83"/>
        <v>3314.129021</v>
      </c>
      <c r="X84" s="158">
        <f t="shared" si="84"/>
        <v>14314.12902</v>
      </c>
      <c r="Y84" s="158">
        <f t="shared" si="85"/>
        <v>9314.129021</v>
      </c>
      <c r="Z84" s="158"/>
      <c r="AA84" s="124"/>
      <c r="AB84" s="124"/>
      <c r="AC84" s="124"/>
    </row>
    <row r="85" ht="15.75" customHeight="1">
      <c r="A85" s="125">
        <v>10.0</v>
      </c>
      <c r="B85" s="143">
        <v>45243.0</v>
      </c>
      <c r="C85" s="125"/>
      <c r="D85" s="128"/>
      <c r="E85" s="140"/>
      <c r="F85" s="127">
        <v>3068.1</v>
      </c>
      <c r="G85" s="128"/>
      <c r="H85" s="141"/>
      <c r="I85" s="141"/>
      <c r="J85" s="141"/>
      <c r="K85" s="141"/>
      <c r="L85" s="140">
        <v>24.8</v>
      </c>
      <c r="M85" s="131">
        <f t="shared" si="77"/>
        <v>36817200</v>
      </c>
      <c r="N85" s="131">
        <f t="shared" si="78"/>
        <v>148800</v>
      </c>
      <c r="O85" s="158">
        <f t="shared" ref="O85:O86" si="92">4000*110</f>
        <v>440000</v>
      </c>
      <c r="P85" s="158">
        <f t="shared" si="89"/>
        <v>276000</v>
      </c>
      <c r="Q85" s="158">
        <f t="shared" si="90"/>
        <v>500000</v>
      </c>
      <c r="R85" s="158">
        <f t="shared" si="91"/>
        <v>300000</v>
      </c>
      <c r="S85" s="158">
        <f t="shared" si="79"/>
        <v>927870</v>
      </c>
      <c r="T85" s="158">
        <f t="shared" si="80"/>
        <v>7890049.758</v>
      </c>
      <c r="U85" s="158">
        <f t="shared" si="81"/>
        <v>39409870</v>
      </c>
      <c r="V85" s="158">
        <f t="shared" si="82"/>
        <v>10333919.76</v>
      </c>
      <c r="W85" s="158">
        <f t="shared" si="83"/>
        <v>3341.174871</v>
      </c>
      <c r="X85" s="158">
        <f t="shared" si="84"/>
        <v>15341.17487</v>
      </c>
      <c r="Y85" s="158">
        <f t="shared" si="85"/>
        <v>9341.174871</v>
      </c>
      <c r="Z85" s="158"/>
      <c r="AA85" s="124"/>
      <c r="AB85" s="124"/>
      <c r="AC85" s="124"/>
    </row>
    <row r="86" ht="15.75" customHeight="1">
      <c r="A86" s="125">
        <v>11.0</v>
      </c>
      <c r="B86" s="143">
        <v>45244.0</v>
      </c>
      <c r="C86" s="125"/>
      <c r="D86" s="128"/>
      <c r="E86" s="140">
        <v>130.0</v>
      </c>
      <c r="F86" s="127"/>
      <c r="G86" s="128">
        <v>1600.0</v>
      </c>
      <c r="H86" s="141">
        <v>4750.0</v>
      </c>
      <c r="I86" s="141"/>
      <c r="J86" s="141"/>
      <c r="K86" s="141"/>
      <c r="L86" s="140">
        <v>250.0</v>
      </c>
      <c r="M86" s="131">
        <f t="shared" ref="M86:M88" si="93">(SUM(E86)*13000)+(F86*12000)+(G86*11000)+(H86*10000)</f>
        <v>66790000</v>
      </c>
      <c r="N86" s="131">
        <f t="shared" si="78"/>
        <v>1500000</v>
      </c>
      <c r="O86" s="158">
        <f t="shared" si="92"/>
        <v>440000</v>
      </c>
      <c r="P86" s="158">
        <f t="shared" si="89"/>
        <v>276000</v>
      </c>
      <c r="Q86" s="158">
        <f t="shared" si="90"/>
        <v>500000</v>
      </c>
      <c r="R86" s="158">
        <f t="shared" si="91"/>
        <v>300000</v>
      </c>
      <c r="S86" s="158">
        <f t="shared" si="79"/>
        <v>2019000</v>
      </c>
      <c r="T86" s="158">
        <f t="shared" ref="T86:T88" si="94">(SUM(D86:H86)+L86)*$D$116</f>
        <v>17168364.6</v>
      </c>
      <c r="U86" s="158">
        <f t="shared" si="81"/>
        <v>71825000</v>
      </c>
      <c r="V86" s="158">
        <f t="shared" si="82"/>
        <v>20703364.6</v>
      </c>
      <c r="W86" s="158">
        <f t="shared" ref="W86:W88" si="95">V86/(SUM(D86:H86)+L86)</f>
        <v>3076.28003</v>
      </c>
      <c r="X86" s="158">
        <f t="shared" si="84"/>
        <v>13383.3788</v>
      </c>
      <c r="Y86" s="158">
        <f t="shared" si="85"/>
        <v>9076.28003</v>
      </c>
      <c r="Z86" s="158"/>
      <c r="AA86" s="124"/>
      <c r="AB86" s="124"/>
      <c r="AC86" s="124"/>
    </row>
    <row r="87" ht="15.75" customHeight="1">
      <c r="A87" s="125">
        <v>12.0</v>
      </c>
      <c r="B87" s="143">
        <v>45245.0</v>
      </c>
      <c r="C87" s="125"/>
      <c r="D87" s="128"/>
      <c r="E87" s="140"/>
      <c r="F87" s="127"/>
      <c r="G87" s="128"/>
      <c r="H87" s="141">
        <v>3084.8</v>
      </c>
      <c r="I87" s="141"/>
      <c r="J87" s="141"/>
      <c r="K87" s="141"/>
      <c r="L87" s="140">
        <v>50.0</v>
      </c>
      <c r="M87" s="131">
        <f t="shared" si="93"/>
        <v>30848000</v>
      </c>
      <c r="N87" s="131">
        <f t="shared" si="78"/>
        <v>300000</v>
      </c>
      <c r="O87" s="158">
        <f>4000*112</f>
        <v>448000</v>
      </c>
      <c r="P87" s="158">
        <f>23000*13.5</f>
        <v>310500</v>
      </c>
      <c r="Q87" s="158">
        <f t="shared" si="90"/>
        <v>500000</v>
      </c>
      <c r="R87" s="158">
        <f t="shared" si="91"/>
        <v>300000</v>
      </c>
      <c r="S87" s="158">
        <f t="shared" si="79"/>
        <v>940440</v>
      </c>
      <c r="T87" s="158">
        <f t="shared" si="94"/>
        <v>7996937.496</v>
      </c>
      <c r="U87" s="158">
        <f t="shared" si="81"/>
        <v>33646940</v>
      </c>
      <c r="V87" s="158">
        <f t="shared" si="82"/>
        <v>10495877.5</v>
      </c>
      <c r="W87" s="158">
        <f t="shared" si="95"/>
        <v>3348.180903</v>
      </c>
      <c r="X87" s="158">
        <f t="shared" si="84"/>
        <v>13348.1809</v>
      </c>
      <c r="Y87" s="158">
        <f t="shared" si="85"/>
        <v>9348.180903</v>
      </c>
      <c r="Z87" s="158"/>
      <c r="AA87" s="124"/>
      <c r="AB87" s="124"/>
      <c r="AC87" s="124"/>
    </row>
    <row r="88" ht="15.75" customHeight="1">
      <c r="A88" s="125">
        <v>13.0</v>
      </c>
      <c r="B88" s="143">
        <v>45248.0</v>
      </c>
      <c r="C88" s="125"/>
      <c r="D88" s="128"/>
      <c r="E88" s="140"/>
      <c r="F88" s="127"/>
      <c r="G88" s="128"/>
      <c r="H88" s="141">
        <v>2250.2</v>
      </c>
      <c r="I88" s="141"/>
      <c r="J88" s="141"/>
      <c r="K88" s="141"/>
      <c r="L88" s="140">
        <v>754.7</v>
      </c>
      <c r="M88" s="131">
        <f t="shared" si="93"/>
        <v>22502000</v>
      </c>
      <c r="N88" s="131">
        <f t="shared" si="78"/>
        <v>4528200</v>
      </c>
      <c r="O88" s="158">
        <f>4000*108</f>
        <v>432000</v>
      </c>
      <c r="P88" s="158">
        <f>23000*12</f>
        <v>276000</v>
      </c>
      <c r="Q88" s="158">
        <f t="shared" si="90"/>
        <v>500000</v>
      </c>
      <c r="R88" s="158">
        <f t="shared" si="91"/>
        <v>300000</v>
      </c>
      <c r="S88" s="158">
        <f t="shared" si="79"/>
        <v>901470</v>
      </c>
      <c r="T88" s="158">
        <f t="shared" si="94"/>
        <v>7665559.998</v>
      </c>
      <c r="U88" s="158">
        <f t="shared" si="81"/>
        <v>29439670</v>
      </c>
      <c r="V88" s="158">
        <f t="shared" si="82"/>
        <v>10075030</v>
      </c>
      <c r="W88" s="158">
        <f t="shared" si="95"/>
        <v>3352.866983</v>
      </c>
      <c r="X88" s="158">
        <f t="shared" si="84"/>
        <v>13352.86698</v>
      </c>
      <c r="Y88" s="158">
        <f t="shared" si="85"/>
        <v>9352.866983</v>
      </c>
      <c r="Z88" s="158"/>
      <c r="AA88" s="124"/>
      <c r="AB88" s="124"/>
      <c r="AC88" s="124"/>
    </row>
    <row r="89" ht="15.75" customHeight="1">
      <c r="A89" s="125">
        <v>14.0</v>
      </c>
      <c r="B89" s="143">
        <v>45249.0</v>
      </c>
      <c r="C89" s="125"/>
      <c r="D89" s="128"/>
      <c r="E89" s="140"/>
      <c r="F89" s="127"/>
      <c r="G89" s="128"/>
      <c r="H89" s="141">
        <v>4522.7</v>
      </c>
      <c r="I89" s="141">
        <v>1540.0</v>
      </c>
      <c r="J89" s="141"/>
      <c r="K89" s="141"/>
      <c r="L89" s="140">
        <v>120.0</v>
      </c>
      <c r="M89" s="131">
        <f t="shared" ref="M89:M91" si="96">(SUM(E89)*13000)+(F89*12000)+(G89*11000)+(H89*10000)+(I89*9000)</f>
        <v>59087000</v>
      </c>
      <c r="N89" s="131">
        <f t="shared" ref="N89:N91" si="97">L89*5000</f>
        <v>600000</v>
      </c>
      <c r="O89" s="158">
        <f>4000*221</f>
        <v>884000</v>
      </c>
      <c r="P89" s="158">
        <f>23000*24</f>
        <v>552000</v>
      </c>
      <c r="Q89" s="158">
        <f>250000*4</f>
        <v>1000000</v>
      </c>
      <c r="R89" s="158">
        <f>150000*4</f>
        <v>600000</v>
      </c>
      <c r="S89" s="158">
        <f t="shared" si="79"/>
        <v>1854810</v>
      </c>
      <c r="T89" s="158">
        <f t="shared" ref="T89:T90" si="98">(SUM(D89:I89)+L89)*$D$116</f>
        <v>15772191.35</v>
      </c>
      <c r="U89" s="158">
        <f t="shared" si="81"/>
        <v>64577810</v>
      </c>
      <c r="V89" s="158">
        <f t="shared" si="82"/>
        <v>20663001.35</v>
      </c>
      <c r="W89" s="158">
        <f t="shared" ref="W89:W90" si="99">V89/(SUM(D89:I89)+L89)</f>
        <v>3342.067601</v>
      </c>
      <c r="X89" s="158">
        <f t="shared" si="84"/>
        <v>13088.05536</v>
      </c>
      <c r="Y89" s="158">
        <f t="shared" si="85"/>
        <v>8342.067601</v>
      </c>
      <c r="Z89" s="158"/>
      <c r="AA89" s="124"/>
      <c r="AB89" s="124"/>
      <c r="AC89" s="124"/>
    </row>
    <row r="90" ht="15.75" customHeight="1">
      <c r="A90" s="125">
        <v>15.0</v>
      </c>
      <c r="B90" s="143">
        <v>45250.0</v>
      </c>
      <c r="C90" s="125"/>
      <c r="D90" s="128"/>
      <c r="E90" s="140"/>
      <c r="F90" s="127"/>
      <c r="G90" s="128"/>
      <c r="H90" s="141"/>
      <c r="I90" s="141">
        <v>3239.6</v>
      </c>
      <c r="J90" s="141"/>
      <c r="K90" s="141"/>
      <c r="L90" s="140">
        <v>20.0</v>
      </c>
      <c r="M90" s="131">
        <f t="shared" si="96"/>
        <v>29156400</v>
      </c>
      <c r="N90" s="131">
        <f t="shared" si="97"/>
        <v>100000</v>
      </c>
      <c r="O90" s="158">
        <f>4000*116</f>
        <v>464000</v>
      </c>
      <c r="P90" s="158">
        <f>23000*13.5</f>
        <v>310500</v>
      </c>
      <c r="Q90" s="158">
        <f>250000*2</f>
        <v>500000</v>
      </c>
      <c r="R90" s="158">
        <f>150000*2</f>
        <v>300000</v>
      </c>
      <c r="S90" s="158">
        <f t="shared" si="79"/>
        <v>977880</v>
      </c>
      <c r="T90" s="158">
        <f t="shared" si="98"/>
        <v>8315304.792</v>
      </c>
      <c r="U90" s="158">
        <f t="shared" si="81"/>
        <v>31808780</v>
      </c>
      <c r="V90" s="158">
        <f t="shared" si="82"/>
        <v>10867684.79</v>
      </c>
      <c r="W90" s="158">
        <f t="shared" si="99"/>
        <v>3334.054728</v>
      </c>
      <c r="X90" s="158">
        <f t="shared" si="84"/>
        <v>12334.05473</v>
      </c>
      <c r="Y90" s="158">
        <f t="shared" si="85"/>
        <v>8334.054728</v>
      </c>
      <c r="Z90" s="158"/>
      <c r="AA90" s="124"/>
      <c r="AB90" s="124"/>
      <c r="AC90" s="124"/>
    </row>
    <row r="91" ht="15.75" customHeight="1">
      <c r="A91" s="125">
        <v>16.0</v>
      </c>
      <c r="B91" s="143">
        <v>45258.0</v>
      </c>
      <c r="C91" s="125"/>
      <c r="D91" s="128"/>
      <c r="E91" s="140"/>
      <c r="F91" s="127">
        <v>560.0</v>
      </c>
      <c r="G91" s="128">
        <v>4381.1</v>
      </c>
      <c r="H91" s="141">
        <v>1288.0</v>
      </c>
      <c r="I91" s="141"/>
      <c r="J91" s="141"/>
      <c r="K91" s="141"/>
      <c r="L91" s="140">
        <v>74.0</v>
      </c>
      <c r="M91" s="131">
        <f t="shared" si="96"/>
        <v>67792100</v>
      </c>
      <c r="N91" s="131">
        <f t="shared" si="97"/>
        <v>370000</v>
      </c>
      <c r="O91" s="158">
        <f>4000*223</f>
        <v>892000</v>
      </c>
      <c r="P91" s="158">
        <f>23000*24</f>
        <v>552000</v>
      </c>
      <c r="Q91" s="158">
        <f>250000*4</f>
        <v>1000000</v>
      </c>
      <c r="R91" s="158">
        <f>150000*4</f>
        <v>600000</v>
      </c>
      <c r="S91" s="158">
        <f t="shared" si="79"/>
        <v>1890930</v>
      </c>
      <c r="T91" s="158">
        <f>(SUM(D91:H91)+L91)*$D$116</f>
        <v>16079334.16</v>
      </c>
      <c r="U91" s="158">
        <f t="shared" si="81"/>
        <v>73097030</v>
      </c>
      <c r="V91" s="158">
        <f t="shared" si="82"/>
        <v>21014264.16</v>
      </c>
      <c r="W91" s="158">
        <f>V91/(SUM(D91:H91)+L91)</f>
        <v>3333.956968</v>
      </c>
      <c r="X91" s="158">
        <f t="shared" si="84"/>
        <v>14217.08615</v>
      </c>
      <c r="Y91" s="158">
        <f t="shared" si="85"/>
        <v>8333.956968</v>
      </c>
      <c r="Z91" s="158"/>
      <c r="AA91" s="124"/>
      <c r="AB91" s="124"/>
      <c r="AC91" s="124"/>
    </row>
    <row r="92" ht="15.75" customHeight="1">
      <c r="A92" s="161" t="s">
        <v>54</v>
      </c>
      <c r="B92" s="162"/>
      <c r="C92" s="162"/>
      <c r="D92" s="154">
        <f t="shared" ref="D92:G92" si="100">SUM(D77:D91)</f>
        <v>0</v>
      </c>
      <c r="E92" s="135">
        <f t="shared" si="100"/>
        <v>130</v>
      </c>
      <c r="F92" s="135">
        <f t="shared" si="100"/>
        <v>19674.3</v>
      </c>
      <c r="G92" s="154">
        <f t="shared" si="100"/>
        <v>24365.3</v>
      </c>
      <c r="H92" s="137"/>
      <c r="I92" s="137"/>
      <c r="J92" s="137"/>
      <c r="K92" s="135">
        <f t="shared" ref="K92:V92" si="101">SUM(K77:K91)</f>
        <v>0</v>
      </c>
      <c r="L92" s="135">
        <f t="shared" si="101"/>
        <v>1797.3</v>
      </c>
      <c r="M92" s="135">
        <f t="shared" si="101"/>
        <v>707773300</v>
      </c>
      <c r="N92" s="135">
        <f t="shared" si="101"/>
        <v>10569800</v>
      </c>
      <c r="O92" s="138">
        <f t="shared" si="101"/>
        <v>8960000</v>
      </c>
      <c r="P92" s="138">
        <f t="shared" si="101"/>
        <v>5612000</v>
      </c>
      <c r="Q92" s="138">
        <f t="shared" si="101"/>
        <v>10000000</v>
      </c>
      <c r="R92" s="138">
        <f t="shared" si="101"/>
        <v>6000000</v>
      </c>
      <c r="S92" s="138">
        <f t="shared" si="101"/>
        <v>19992660</v>
      </c>
      <c r="T92" s="138">
        <f t="shared" si="101"/>
        <v>170005585</v>
      </c>
      <c r="U92" s="138">
        <f t="shared" si="101"/>
        <v>768907760</v>
      </c>
      <c r="V92" s="138">
        <f t="shared" si="101"/>
        <v>220570245</v>
      </c>
      <c r="W92" s="139"/>
      <c r="X92" s="139"/>
      <c r="Y92" s="139"/>
      <c r="Z92" s="139"/>
    </row>
    <row r="93" ht="15.75" customHeight="1">
      <c r="A93" s="163"/>
      <c r="C93" s="164"/>
      <c r="D93" s="155"/>
      <c r="E93" s="155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</row>
    <row r="94" ht="15.75" customHeight="1">
      <c r="A94" s="125">
        <v>1.0</v>
      </c>
      <c r="B94" s="143">
        <v>45265.0</v>
      </c>
      <c r="C94" s="125"/>
      <c r="D94" s="128"/>
      <c r="E94" s="127"/>
      <c r="F94" s="128">
        <v>1960.0</v>
      </c>
      <c r="G94" s="128">
        <v>1037.1</v>
      </c>
      <c r="H94" s="128"/>
      <c r="I94" s="128"/>
      <c r="J94" s="128"/>
      <c r="K94" s="128"/>
      <c r="L94" s="128">
        <v>54.4</v>
      </c>
      <c r="M94" s="131">
        <f>(SUM(E94)*13000)+(F94*12000)+G94*11000</f>
        <v>34928100</v>
      </c>
      <c r="N94" s="131">
        <f t="shared" ref="N94:N101" si="102">L94*5000</f>
        <v>272000</v>
      </c>
      <c r="O94" s="158">
        <f>4000*108</f>
        <v>432000</v>
      </c>
      <c r="P94" s="158">
        <f t="shared" ref="P94:P95" si="103">23000*12</f>
        <v>276000</v>
      </c>
      <c r="Q94" s="158">
        <f t="shared" ref="Q94:Q96" si="104">250000*2</f>
        <v>500000</v>
      </c>
      <c r="R94" s="158">
        <f t="shared" ref="R94:R95" si="105">150000*2</f>
        <v>300000</v>
      </c>
      <c r="S94" s="158">
        <f t="shared" ref="S94:S99" si="106">300*SUM(D94:L94)</f>
        <v>915450</v>
      </c>
      <c r="T94" s="158">
        <f>(SUM(D94:G94)+L94)*$D$116</f>
        <v>7784437.53</v>
      </c>
      <c r="U94" s="158">
        <f t="shared" ref="U94:U101" si="107">SUM(M94:S94)</f>
        <v>37623550</v>
      </c>
      <c r="V94" s="158">
        <f t="shared" ref="V94:V101" si="108">SUM(O94:T94)</f>
        <v>10207887.53</v>
      </c>
      <c r="W94" s="158">
        <f>V94/(SUM(D94:G94)+L94)</f>
        <v>3345.203189</v>
      </c>
      <c r="X94" s="158">
        <f t="shared" ref="X94:X101" si="109">M94/SUM(D94:K94)+W94</f>
        <v>14999.16869</v>
      </c>
      <c r="Y94" s="158">
        <f t="shared" ref="Y94:Y101" si="110">(N94/L94)+W94</f>
        <v>8345.203189</v>
      </c>
      <c r="Z94" s="158">
        <f t="shared" ref="Z94:Z97" si="111">K94*13000</f>
        <v>0</v>
      </c>
    </row>
    <row r="95" ht="15.75" customHeight="1">
      <c r="A95" s="125">
        <v>2.0</v>
      </c>
      <c r="B95" s="143">
        <v>45266.0</v>
      </c>
      <c r="C95" s="125"/>
      <c r="D95" s="128"/>
      <c r="E95" s="127"/>
      <c r="F95" s="128">
        <v>1876.0</v>
      </c>
      <c r="G95" s="128"/>
      <c r="H95" s="128"/>
      <c r="I95" s="128"/>
      <c r="J95" s="128">
        <v>858.0</v>
      </c>
      <c r="K95" s="128"/>
      <c r="L95" s="127">
        <v>150.0</v>
      </c>
      <c r="M95" s="131">
        <f t="shared" ref="M95:M101" si="112">(SUM(E95)*13000)+(F95*12000)+(G95*11000)+(H95*10000)+(I95*9000)+(J95*8000)</f>
        <v>29376000</v>
      </c>
      <c r="N95" s="131">
        <f t="shared" si="102"/>
        <v>750000</v>
      </c>
      <c r="O95" s="158">
        <f>4000*103</f>
        <v>412000</v>
      </c>
      <c r="P95" s="158">
        <f t="shared" si="103"/>
        <v>276000</v>
      </c>
      <c r="Q95" s="158">
        <f t="shared" si="104"/>
        <v>500000</v>
      </c>
      <c r="R95" s="158">
        <f t="shared" si="105"/>
        <v>300000</v>
      </c>
      <c r="S95" s="158">
        <f t="shared" si="106"/>
        <v>865200</v>
      </c>
      <c r="T95" s="158">
        <f>(SUM(D95:J95)+L95)*$D$116</f>
        <v>7357141.68</v>
      </c>
      <c r="U95" s="158">
        <f t="shared" si="107"/>
        <v>32479200</v>
      </c>
      <c r="V95" s="158">
        <f t="shared" si="108"/>
        <v>9710341.68</v>
      </c>
      <c r="W95" s="158">
        <f t="shared" ref="W95:W101" si="113">V95/(SUM(D95:J95)+L95)</f>
        <v>3366.970069</v>
      </c>
      <c r="X95" s="158">
        <f t="shared" si="109"/>
        <v>14111.66648</v>
      </c>
      <c r="Y95" s="158">
        <f t="shared" si="110"/>
        <v>8366.970069</v>
      </c>
      <c r="Z95" s="158">
        <f t="shared" si="111"/>
        <v>0</v>
      </c>
    </row>
    <row r="96" ht="15.75" customHeight="1">
      <c r="A96" s="125">
        <v>3.0</v>
      </c>
      <c r="B96" s="143">
        <v>45267.0</v>
      </c>
      <c r="C96" s="125"/>
      <c r="D96" s="128"/>
      <c r="E96" s="140"/>
      <c r="F96" s="127"/>
      <c r="G96" s="128">
        <v>1260.0</v>
      </c>
      <c r="H96" s="141">
        <v>868.0</v>
      </c>
      <c r="I96" s="141"/>
      <c r="J96" s="141"/>
      <c r="K96" s="141"/>
      <c r="L96" s="140">
        <v>140.0</v>
      </c>
      <c r="M96" s="131">
        <f t="shared" si="112"/>
        <v>22540000</v>
      </c>
      <c r="N96" s="131">
        <f t="shared" si="102"/>
        <v>700000</v>
      </c>
      <c r="O96" s="158">
        <f>4000*81</f>
        <v>324000</v>
      </c>
      <c r="P96" s="158">
        <f>23000*9</f>
        <v>207000</v>
      </c>
      <c r="Q96" s="158">
        <f t="shared" si="104"/>
        <v>500000</v>
      </c>
      <c r="R96" s="158">
        <f>150000*1.5</f>
        <v>225000</v>
      </c>
      <c r="S96" s="158">
        <f t="shared" si="106"/>
        <v>680400</v>
      </c>
      <c r="T96" s="158">
        <f>(SUM(D96:I96)+L96)*$D$116</f>
        <v>5785713.36</v>
      </c>
      <c r="U96" s="158">
        <f t="shared" si="107"/>
        <v>25176400</v>
      </c>
      <c r="V96" s="158">
        <f t="shared" si="108"/>
        <v>7722113.36</v>
      </c>
      <c r="W96" s="158">
        <f t="shared" si="113"/>
        <v>3404.811887</v>
      </c>
      <c r="X96" s="158">
        <f t="shared" si="109"/>
        <v>13996.91715</v>
      </c>
      <c r="Y96" s="158">
        <f t="shared" si="110"/>
        <v>8404.811887</v>
      </c>
      <c r="Z96" s="158">
        <f t="shared" si="111"/>
        <v>0</v>
      </c>
      <c r="AA96" s="124"/>
      <c r="AB96" s="124"/>
      <c r="AC96" s="124"/>
    </row>
    <row r="97" ht="15.75" customHeight="1">
      <c r="A97" s="125">
        <v>4.0</v>
      </c>
      <c r="B97" s="143">
        <v>45269.0</v>
      </c>
      <c r="C97" s="125"/>
      <c r="D97" s="128"/>
      <c r="E97" s="140"/>
      <c r="F97" s="127">
        <v>1876.0</v>
      </c>
      <c r="G97" s="128"/>
      <c r="H97" s="141">
        <v>2178.0</v>
      </c>
      <c r="I97" s="141"/>
      <c r="J97" s="141"/>
      <c r="K97" s="141"/>
      <c r="L97" s="140">
        <v>140.0</v>
      </c>
      <c r="M97" s="131">
        <f t="shared" si="112"/>
        <v>44292000</v>
      </c>
      <c r="N97" s="131">
        <f t="shared" si="102"/>
        <v>700000</v>
      </c>
      <c r="O97" s="158">
        <f>4000*149</f>
        <v>596000</v>
      </c>
      <c r="P97" s="158">
        <f t="shared" ref="P97:P99" si="114">23000*18</f>
        <v>414000</v>
      </c>
      <c r="Q97" s="158">
        <f t="shared" ref="Q97:Q99" si="115">250000*3</f>
        <v>750000</v>
      </c>
      <c r="R97" s="158">
        <f>150000*2.5</f>
        <v>375000</v>
      </c>
      <c r="S97" s="158">
        <f t="shared" si="106"/>
        <v>1258200</v>
      </c>
      <c r="T97" s="158">
        <f>(SUM(D97:H97)+L97)*$D$116</f>
        <v>10698977.88</v>
      </c>
      <c r="U97" s="158">
        <f t="shared" si="107"/>
        <v>48385200</v>
      </c>
      <c r="V97" s="158">
        <f t="shared" si="108"/>
        <v>14092177.88</v>
      </c>
      <c r="W97" s="158">
        <f t="shared" si="113"/>
        <v>3360.080563</v>
      </c>
      <c r="X97" s="158">
        <f t="shared" si="109"/>
        <v>14285.58624</v>
      </c>
      <c r="Y97" s="158">
        <f t="shared" si="110"/>
        <v>8360.080563</v>
      </c>
      <c r="Z97" s="158">
        <f t="shared" si="111"/>
        <v>0</v>
      </c>
      <c r="AA97" s="124"/>
      <c r="AB97" s="124"/>
      <c r="AC97" s="124"/>
    </row>
    <row r="98" ht="15.75" customHeight="1">
      <c r="A98" s="125">
        <v>5.0</v>
      </c>
      <c r="B98" s="143">
        <v>45270.0</v>
      </c>
      <c r="C98" s="125"/>
      <c r="D98" s="128"/>
      <c r="E98" s="140"/>
      <c r="F98" s="127">
        <v>280.0</v>
      </c>
      <c r="G98" s="128"/>
      <c r="H98" s="141">
        <v>3582.0</v>
      </c>
      <c r="I98" s="141"/>
      <c r="J98" s="141">
        <v>728.0</v>
      </c>
      <c r="K98" s="141"/>
      <c r="L98" s="140">
        <v>60.0</v>
      </c>
      <c r="M98" s="131">
        <f t="shared" si="112"/>
        <v>45004000</v>
      </c>
      <c r="N98" s="131">
        <f t="shared" si="102"/>
        <v>300000</v>
      </c>
      <c r="O98" s="158">
        <f>4000*163</f>
        <v>652000</v>
      </c>
      <c r="P98" s="158">
        <f t="shared" si="114"/>
        <v>414000</v>
      </c>
      <c r="Q98" s="158">
        <f t="shared" si="115"/>
        <v>750000</v>
      </c>
      <c r="R98" s="158">
        <f t="shared" ref="R98:R99" si="116">150000*3</f>
        <v>450000</v>
      </c>
      <c r="S98" s="158">
        <f t="shared" si="106"/>
        <v>1395000</v>
      </c>
      <c r="T98" s="158">
        <f t="shared" ref="T98:T101" si="117">(SUM(D98:J98)+L98)*$D$116</f>
        <v>11862243</v>
      </c>
      <c r="U98" s="158">
        <f t="shared" si="107"/>
        <v>48965000</v>
      </c>
      <c r="V98" s="158">
        <f t="shared" si="108"/>
        <v>15523243</v>
      </c>
      <c r="W98" s="158">
        <f t="shared" si="113"/>
        <v>3338.331828</v>
      </c>
      <c r="X98" s="158">
        <f t="shared" si="109"/>
        <v>13143.12486</v>
      </c>
      <c r="Y98" s="158">
        <f t="shared" si="110"/>
        <v>8338.331828</v>
      </c>
      <c r="Z98" s="158"/>
      <c r="AA98" s="124"/>
      <c r="AB98" s="124"/>
      <c r="AC98" s="124"/>
    </row>
    <row r="99" ht="15.75" customHeight="1">
      <c r="A99" s="125">
        <v>6.0</v>
      </c>
      <c r="B99" s="143">
        <v>45277.0</v>
      </c>
      <c r="C99" s="125"/>
      <c r="D99" s="128"/>
      <c r="E99" s="140"/>
      <c r="F99" s="127"/>
      <c r="G99" s="128">
        <v>3080.0</v>
      </c>
      <c r="H99" s="141">
        <v>1625.5</v>
      </c>
      <c r="I99" s="141"/>
      <c r="J99" s="141"/>
      <c r="K99" s="141"/>
      <c r="L99" s="140">
        <v>50.3</v>
      </c>
      <c r="M99" s="131">
        <f t="shared" si="112"/>
        <v>50135000</v>
      </c>
      <c r="N99" s="131">
        <f t="shared" si="102"/>
        <v>251500</v>
      </c>
      <c r="O99" s="158">
        <v>680000.0</v>
      </c>
      <c r="P99" s="158">
        <f t="shared" si="114"/>
        <v>414000</v>
      </c>
      <c r="Q99" s="158">
        <f t="shared" si="115"/>
        <v>750000</v>
      </c>
      <c r="R99" s="158">
        <f t="shared" si="116"/>
        <v>450000</v>
      </c>
      <c r="S99" s="158">
        <f t="shared" si="106"/>
        <v>1426740</v>
      </c>
      <c r="T99" s="158">
        <f t="shared" si="117"/>
        <v>12132140.92</v>
      </c>
      <c r="U99" s="158">
        <f t="shared" si="107"/>
        <v>54107240</v>
      </c>
      <c r="V99" s="158">
        <f t="shared" si="108"/>
        <v>15852880.92</v>
      </c>
      <c r="W99" s="158">
        <f t="shared" si="113"/>
        <v>3333.378383</v>
      </c>
      <c r="X99" s="158">
        <f t="shared" si="109"/>
        <v>13987.93157</v>
      </c>
      <c r="Y99" s="158">
        <f t="shared" si="110"/>
        <v>8333.378383</v>
      </c>
      <c r="Z99" s="158"/>
      <c r="AA99" s="124"/>
      <c r="AB99" s="124"/>
      <c r="AC99" s="124"/>
    </row>
    <row r="100" ht="15.75" customHeight="1">
      <c r="A100" s="125">
        <v>7.0</v>
      </c>
      <c r="B100" s="143">
        <v>45278.0</v>
      </c>
      <c r="C100" s="125"/>
      <c r="D100" s="128"/>
      <c r="E100" s="140"/>
      <c r="F100" s="127"/>
      <c r="G100" s="128"/>
      <c r="H100" s="141">
        <v>1542.3</v>
      </c>
      <c r="I100" s="141"/>
      <c r="J100" s="141"/>
      <c r="K100" s="141"/>
      <c r="L100" s="140">
        <v>10.0</v>
      </c>
      <c r="M100" s="131">
        <f t="shared" si="112"/>
        <v>15423000</v>
      </c>
      <c r="N100" s="131">
        <f t="shared" si="102"/>
        <v>50000</v>
      </c>
      <c r="O100" s="158">
        <v>220000.0</v>
      </c>
      <c r="P100" s="158">
        <v>138000.0</v>
      </c>
      <c r="Q100" s="158">
        <v>250000.0</v>
      </c>
      <c r="R100" s="158">
        <v>150000.0</v>
      </c>
      <c r="S100" s="158">
        <v>465690.0</v>
      </c>
      <c r="T100" s="158">
        <f t="shared" si="117"/>
        <v>3959948.346</v>
      </c>
      <c r="U100" s="158">
        <f t="shared" si="107"/>
        <v>16696690</v>
      </c>
      <c r="V100" s="158">
        <f t="shared" si="108"/>
        <v>5183638.346</v>
      </c>
      <c r="W100" s="158">
        <f t="shared" si="113"/>
        <v>3339.327672</v>
      </c>
      <c r="X100" s="158">
        <f t="shared" si="109"/>
        <v>13339.32767</v>
      </c>
      <c r="Y100" s="158">
        <f t="shared" si="110"/>
        <v>8339.327672</v>
      </c>
      <c r="Z100" s="158"/>
      <c r="AA100" s="124"/>
      <c r="AB100" s="124"/>
      <c r="AC100" s="124"/>
    </row>
    <row r="101" ht="15.75" customHeight="1">
      <c r="A101" s="125">
        <v>8.0</v>
      </c>
      <c r="B101" s="143">
        <v>45279.0</v>
      </c>
      <c r="C101" s="125"/>
      <c r="D101" s="128"/>
      <c r="E101" s="140"/>
      <c r="F101" s="127"/>
      <c r="G101" s="128"/>
      <c r="H101" s="141">
        <v>1580.0</v>
      </c>
      <c r="I101" s="141">
        <v>4517.1</v>
      </c>
      <c r="J101" s="141"/>
      <c r="K101" s="141"/>
      <c r="L101" s="140">
        <v>208.2</v>
      </c>
      <c r="M101" s="131">
        <f t="shared" si="112"/>
        <v>56453900</v>
      </c>
      <c r="N101" s="131">
        <f t="shared" si="102"/>
        <v>1041000</v>
      </c>
      <c r="O101" s="158">
        <v>900000.0</v>
      </c>
      <c r="P101" s="158">
        <v>598000.0</v>
      </c>
      <c r="Q101" s="158">
        <v>1000000.0</v>
      </c>
      <c r="R101" s="158">
        <v>600000.0</v>
      </c>
      <c r="S101" s="158">
        <v>1891590.0</v>
      </c>
      <c r="T101" s="158">
        <f t="shared" si="117"/>
        <v>16084946.41</v>
      </c>
      <c r="U101" s="158">
        <f t="shared" si="107"/>
        <v>62484490</v>
      </c>
      <c r="V101" s="158">
        <f t="shared" si="108"/>
        <v>21074536.41</v>
      </c>
      <c r="W101" s="158">
        <f t="shared" si="113"/>
        <v>3342.352688</v>
      </c>
      <c r="X101" s="158">
        <f t="shared" si="109"/>
        <v>12601.49228</v>
      </c>
      <c r="Y101" s="158">
        <f t="shared" si="110"/>
        <v>8342.352688</v>
      </c>
      <c r="Z101" s="158"/>
      <c r="AA101" s="124"/>
      <c r="AB101" s="124"/>
      <c r="AC101" s="124"/>
    </row>
    <row r="102" ht="15.75" customHeight="1">
      <c r="A102" s="161" t="s">
        <v>54</v>
      </c>
      <c r="B102" s="162"/>
      <c r="C102" s="162"/>
      <c r="D102" s="154">
        <f t="shared" ref="D102:G102" si="118">SUM(D94:D101)</f>
        <v>0</v>
      </c>
      <c r="E102" s="135">
        <f t="shared" si="118"/>
        <v>0</v>
      </c>
      <c r="F102" s="135">
        <f t="shared" si="118"/>
        <v>5992</v>
      </c>
      <c r="G102" s="136">
        <f t="shared" si="118"/>
        <v>5377.1</v>
      </c>
      <c r="H102" s="137"/>
      <c r="I102" s="137"/>
      <c r="J102" s="137"/>
      <c r="K102" s="135">
        <f t="shared" ref="K102:V102" si="119">SUM(K94:K101)</f>
        <v>0</v>
      </c>
      <c r="L102" s="135">
        <f t="shared" si="119"/>
        <v>812.9</v>
      </c>
      <c r="M102" s="135">
        <f t="shared" si="119"/>
        <v>298152000</v>
      </c>
      <c r="N102" s="135">
        <f t="shared" si="119"/>
        <v>4064500</v>
      </c>
      <c r="O102" s="138">
        <f t="shared" si="119"/>
        <v>4216000</v>
      </c>
      <c r="P102" s="138">
        <f t="shared" si="119"/>
        <v>2737000</v>
      </c>
      <c r="Q102" s="138">
        <f t="shared" si="119"/>
        <v>5000000</v>
      </c>
      <c r="R102" s="138">
        <f t="shared" si="119"/>
        <v>2850000</v>
      </c>
      <c r="S102" s="138">
        <f t="shared" si="119"/>
        <v>8898270</v>
      </c>
      <c r="T102" s="138">
        <f t="shared" si="119"/>
        <v>75665549.12</v>
      </c>
      <c r="U102" s="138">
        <f t="shared" si="119"/>
        <v>325917770</v>
      </c>
      <c r="V102" s="138">
        <f t="shared" si="119"/>
        <v>99366819.12</v>
      </c>
      <c r="W102" s="139"/>
      <c r="X102" s="139"/>
      <c r="Y102" s="139"/>
      <c r="Z102" s="139"/>
    </row>
    <row r="103" ht="15.75" customHeight="1">
      <c r="A103" s="163"/>
      <c r="C103" s="164"/>
      <c r="D103" s="155"/>
      <c r="E103" s="155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</row>
    <row r="104" ht="15.75" customHeight="1">
      <c r="A104" s="125">
        <v>1.0</v>
      </c>
      <c r="B104" s="143">
        <v>45311.0</v>
      </c>
      <c r="C104" s="125"/>
      <c r="D104" s="128"/>
      <c r="E104" s="127"/>
      <c r="F104" s="128">
        <v>1960.0</v>
      </c>
      <c r="G104" s="128">
        <v>1037.1</v>
      </c>
      <c r="H104" s="128"/>
      <c r="I104" s="128"/>
      <c r="J104" s="128"/>
      <c r="K104" s="128"/>
      <c r="L104" s="128">
        <v>54.4</v>
      </c>
      <c r="M104" s="131">
        <f>(SUM(E104)*13000)+(F104*12000)+G104*11000</f>
        <v>34928100</v>
      </c>
      <c r="N104" s="131">
        <f t="shared" ref="N104:N106" si="120">L104*5000</f>
        <v>272000</v>
      </c>
      <c r="O104" s="158">
        <f>4000*108</f>
        <v>432000</v>
      </c>
      <c r="P104" s="158">
        <f t="shared" ref="P104:P105" si="121">23000*12</f>
        <v>276000</v>
      </c>
      <c r="Q104" s="158">
        <f t="shared" ref="Q104:Q106" si="122">250000*2</f>
        <v>500000</v>
      </c>
      <c r="R104" s="158">
        <f t="shared" ref="R104:R105" si="123">150000*2</f>
        <v>300000</v>
      </c>
      <c r="S104" s="158">
        <f t="shared" ref="S104:S106" si="124">300*SUM(D104:L104)</f>
        <v>915450</v>
      </c>
      <c r="T104" s="158">
        <f>(SUM(D104:G104)+L104)*$D$116</f>
        <v>7784437.53</v>
      </c>
      <c r="U104" s="158">
        <f t="shared" ref="U104:U106" si="125">SUM(M104:S104)</f>
        <v>37623550</v>
      </c>
      <c r="V104" s="158">
        <f t="shared" ref="V104:V106" si="126">SUM(O104:T104)</f>
        <v>10207887.53</v>
      </c>
      <c r="W104" s="158">
        <f>V104/(SUM(D104:G104)+L104)</f>
        <v>3345.203189</v>
      </c>
      <c r="X104" s="158">
        <f t="shared" ref="X104:X106" si="127">M104/SUM(D104:K104)+W104</f>
        <v>14999.16869</v>
      </c>
      <c r="Y104" s="158">
        <f t="shared" ref="Y104:Y106" si="128">(N104/L104)+W104</f>
        <v>8345.203189</v>
      </c>
      <c r="Z104" s="158">
        <f t="shared" ref="Z104:Z106" si="129">K104*13000</f>
        <v>0</v>
      </c>
    </row>
    <row r="105" ht="15.75" customHeight="1">
      <c r="A105" s="125">
        <v>2.0</v>
      </c>
      <c r="B105" s="143">
        <v>45312.0</v>
      </c>
      <c r="C105" s="125"/>
      <c r="D105" s="128"/>
      <c r="E105" s="127"/>
      <c r="F105" s="128">
        <v>1876.0</v>
      </c>
      <c r="G105" s="128"/>
      <c r="H105" s="128"/>
      <c r="I105" s="128"/>
      <c r="J105" s="128">
        <v>858.0</v>
      </c>
      <c r="K105" s="128"/>
      <c r="L105" s="127">
        <v>150.0</v>
      </c>
      <c r="M105" s="131">
        <f t="shared" ref="M105:M106" si="130">(SUM(E105)*13000)+(F105*12000)+(G105*11000)+(H105*10000)+(I105*9000)+(J105*8000)</f>
        <v>29376000</v>
      </c>
      <c r="N105" s="131">
        <f t="shared" si="120"/>
        <v>750000</v>
      </c>
      <c r="O105" s="158">
        <f>4000*103</f>
        <v>412000</v>
      </c>
      <c r="P105" s="158">
        <f t="shared" si="121"/>
        <v>276000</v>
      </c>
      <c r="Q105" s="158">
        <f t="shared" si="122"/>
        <v>500000</v>
      </c>
      <c r="R105" s="158">
        <f t="shared" si="123"/>
        <v>300000</v>
      </c>
      <c r="S105" s="158">
        <f t="shared" si="124"/>
        <v>865200</v>
      </c>
      <c r="T105" s="158">
        <f>(SUM(D105:J105)+L105)*$D$116</f>
        <v>7357141.68</v>
      </c>
      <c r="U105" s="158">
        <f t="shared" si="125"/>
        <v>32479200</v>
      </c>
      <c r="V105" s="158">
        <f t="shared" si="126"/>
        <v>9710341.68</v>
      </c>
      <c r="W105" s="158">
        <f t="shared" ref="W105:W106" si="131">V105/(SUM(D105:J105)+L105)</f>
        <v>3366.970069</v>
      </c>
      <c r="X105" s="158">
        <f t="shared" si="127"/>
        <v>14111.66648</v>
      </c>
      <c r="Y105" s="158">
        <f t="shared" si="128"/>
        <v>8366.970069</v>
      </c>
      <c r="Z105" s="158">
        <f t="shared" si="129"/>
        <v>0</v>
      </c>
    </row>
    <row r="106" ht="15.75" customHeight="1">
      <c r="A106" s="125">
        <v>3.0</v>
      </c>
      <c r="B106" s="143">
        <v>45313.0</v>
      </c>
      <c r="C106" s="125"/>
      <c r="D106" s="128"/>
      <c r="E106" s="140"/>
      <c r="F106" s="127"/>
      <c r="G106" s="128">
        <v>1260.0</v>
      </c>
      <c r="H106" s="141">
        <v>868.0</v>
      </c>
      <c r="I106" s="141"/>
      <c r="J106" s="141"/>
      <c r="K106" s="141"/>
      <c r="L106" s="140">
        <v>140.0</v>
      </c>
      <c r="M106" s="131">
        <f t="shared" si="130"/>
        <v>22540000</v>
      </c>
      <c r="N106" s="131">
        <f t="shared" si="120"/>
        <v>700000</v>
      </c>
      <c r="O106" s="158">
        <f>4000*81</f>
        <v>324000</v>
      </c>
      <c r="P106" s="158">
        <f>23000*9</f>
        <v>207000</v>
      </c>
      <c r="Q106" s="158">
        <f t="shared" si="122"/>
        <v>500000</v>
      </c>
      <c r="R106" s="158">
        <f>150000*1.5</f>
        <v>225000</v>
      </c>
      <c r="S106" s="158">
        <f t="shared" si="124"/>
        <v>680400</v>
      </c>
      <c r="T106" s="158">
        <f>(SUM(D106:H106)+L106)*$D$116</f>
        <v>5785713.36</v>
      </c>
      <c r="U106" s="158">
        <f t="shared" si="125"/>
        <v>25176400</v>
      </c>
      <c r="V106" s="158">
        <f t="shared" si="126"/>
        <v>7722113.36</v>
      </c>
      <c r="W106" s="158">
        <f t="shared" si="131"/>
        <v>3404.811887</v>
      </c>
      <c r="X106" s="158">
        <f t="shared" si="127"/>
        <v>13996.91715</v>
      </c>
      <c r="Y106" s="158">
        <f t="shared" si="128"/>
        <v>8404.811887</v>
      </c>
      <c r="Z106" s="158">
        <f t="shared" si="129"/>
        <v>0</v>
      </c>
      <c r="AA106" s="124"/>
      <c r="AB106" s="124"/>
      <c r="AC106" s="124"/>
    </row>
    <row r="107" ht="15.75" customHeight="1">
      <c r="A107" s="161" t="s">
        <v>54</v>
      </c>
      <c r="B107" s="162"/>
      <c r="C107" s="162"/>
      <c r="D107" s="154">
        <f t="shared" ref="D107:G107" si="132">SUM(D104:D106)</f>
        <v>0</v>
      </c>
      <c r="E107" s="135">
        <f t="shared" si="132"/>
        <v>0</v>
      </c>
      <c r="F107" s="135">
        <f t="shared" si="132"/>
        <v>3836</v>
      </c>
      <c r="G107" s="136">
        <f t="shared" si="132"/>
        <v>2297.1</v>
      </c>
      <c r="H107" s="137"/>
      <c r="I107" s="137"/>
      <c r="J107" s="137"/>
      <c r="K107" s="135">
        <f t="shared" ref="K107:V107" si="133">SUM(K104:K106)</f>
        <v>0</v>
      </c>
      <c r="L107" s="135">
        <f t="shared" si="133"/>
        <v>344.4</v>
      </c>
      <c r="M107" s="135">
        <f t="shared" si="133"/>
        <v>86844100</v>
      </c>
      <c r="N107" s="135">
        <f t="shared" si="133"/>
        <v>1722000</v>
      </c>
      <c r="O107" s="138">
        <f t="shared" si="133"/>
        <v>1168000</v>
      </c>
      <c r="P107" s="138">
        <f t="shared" si="133"/>
        <v>759000</v>
      </c>
      <c r="Q107" s="138">
        <f t="shared" si="133"/>
        <v>1500000</v>
      </c>
      <c r="R107" s="138">
        <f t="shared" si="133"/>
        <v>825000</v>
      </c>
      <c r="S107" s="138">
        <f t="shared" si="133"/>
        <v>2461050</v>
      </c>
      <c r="T107" s="138">
        <f t="shared" si="133"/>
        <v>20927292.57</v>
      </c>
      <c r="U107" s="138">
        <f t="shared" si="133"/>
        <v>95279150</v>
      </c>
      <c r="V107" s="138">
        <f t="shared" si="133"/>
        <v>27640342.57</v>
      </c>
      <c r="W107" s="139"/>
      <c r="X107" s="139"/>
      <c r="Y107" s="139"/>
      <c r="Z107" s="139"/>
    </row>
    <row r="108" ht="15.75" customHeight="1">
      <c r="A108" s="163"/>
      <c r="C108" s="164"/>
      <c r="D108" s="155"/>
      <c r="E108" s="155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</row>
    <row r="109" ht="15.75" customHeight="1">
      <c r="A109" s="125">
        <v>1.0</v>
      </c>
      <c r="B109" s="165">
        <v>45326.0</v>
      </c>
      <c r="C109" s="125"/>
      <c r="D109" s="128"/>
      <c r="E109" s="127"/>
      <c r="F109" s="128">
        <v>1960.0</v>
      </c>
      <c r="G109" s="128">
        <v>1037.1</v>
      </c>
      <c r="H109" s="128"/>
      <c r="I109" s="128"/>
      <c r="J109" s="128"/>
      <c r="K109" s="128"/>
      <c r="L109" s="128">
        <v>54.4</v>
      </c>
      <c r="M109" s="131">
        <f>(SUM(E109)*13000)+(F109*12000)+G109*11000</f>
        <v>34928100</v>
      </c>
      <c r="N109" s="131">
        <f t="shared" ref="N109:N111" si="134">L109*5000</f>
        <v>272000</v>
      </c>
      <c r="O109" s="158">
        <f>4000*108</f>
        <v>432000</v>
      </c>
      <c r="P109" s="158">
        <f t="shared" ref="P109:P110" si="135">23000*12</f>
        <v>276000</v>
      </c>
      <c r="Q109" s="158">
        <f t="shared" ref="Q109:Q111" si="136">250000*2</f>
        <v>500000</v>
      </c>
      <c r="R109" s="158">
        <f t="shared" ref="R109:R110" si="137">150000*2</f>
        <v>300000</v>
      </c>
      <c r="S109" s="158">
        <f t="shared" ref="S109:S111" si="138">300*SUM(D109:L109)</f>
        <v>915450</v>
      </c>
      <c r="T109" s="158">
        <f>(SUM(D109:G109)+L109)*$D$116</f>
        <v>7784437.53</v>
      </c>
      <c r="U109" s="158">
        <f t="shared" ref="U109:U111" si="139">SUM(M109:S109)</f>
        <v>37623550</v>
      </c>
      <c r="V109" s="158">
        <f t="shared" ref="V109:V111" si="140">SUM(O109:T109)</f>
        <v>10207887.53</v>
      </c>
      <c r="W109" s="158">
        <f>V109/(SUM(D109:G109)+L109)</f>
        <v>3345.203189</v>
      </c>
      <c r="X109" s="158">
        <f t="shared" ref="X109:X111" si="141">M109/SUM(D109:K109)+W109</f>
        <v>14999.16869</v>
      </c>
      <c r="Y109" s="158">
        <f t="shared" ref="Y109:Y111" si="142">(N109/L109)+W109</f>
        <v>8345.203189</v>
      </c>
      <c r="Z109" s="158">
        <f t="shared" ref="Z109:Z111" si="143">K109*13000</f>
        <v>0</v>
      </c>
    </row>
    <row r="110" ht="15.75" customHeight="1">
      <c r="A110" s="125">
        <v>2.0</v>
      </c>
      <c r="B110" s="165">
        <v>45327.0</v>
      </c>
      <c r="C110" s="125"/>
      <c r="D110" s="128"/>
      <c r="E110" s="127"/>
      <c r="F110" s="128">
        <v>1876.0</v>
      </c>
      <c r="G110" s="128"/>
      <c r="H110" s="128"/>
      <c r="I110" s="128"/>
      <c r="J110" s="128">
        <v>858.0</v>
      </c>
      <c r="K110" s="128"/>
      <c r="L110" s="127">
        <v>150.0</v>
      </c>
      <c r="M110" s="131">
        <f t="shared" ref="M110:M111" si="144">(SUM(E110)*13000)+(F110*12000)+(G110*11000)+(H110*10000)+(I110*9000)+(J110*8000)</f>
        <v>29376000</v>
      </c>
      <c r="N110" s="131">
        <f t="shared" si="134"/>
        <v>750000</v>
      </c>
      <c r="O110" s="158">
        <f>4000*103</f>
        <v>412000</v>
      </c>
      <c r="P110" s="158">
        <f t="shared" si="135"/>
        <v>276000</v>
      </c>
      <c r="Q110" s="158">
        <f t="shared" si="136"/>
        <v>500000</v>
      </c>
      <c r="R110" s="158">
        <f t="shared" si="137"/>
        <v>300000</v>
      </c>
      <c r="S110" s="158">
        <f t="shared" si="138"/>
        <v>865200</v>
      </c>
      <c r="T110" s="158">
        <f>(SUM(D110:J110)+L110)*$D$116</f>
        <v>7357141.68</v>
      </c>
      <c r="U110" s="158">
        <f t="shared" si="139"/>
        <v>32479200</v>
      </c>
      <c r="V110" s="158">
        <f t="shared" si="140"/>
        <v>9710341.68</v>
      </c>
      <c r="W110" s="158">
        <f t="shared" ref="W110:W111" si="145">V110/(SUM(D110:J110)+L110)</f>
        <v>3366.970069</v>
      </c>
      <c r="X110" s="158">
        <f t="shared" si="141"/>
        <v>14111.66648</v>
      </c>
      <c r="Y110" s="158">
        <f t="shared" si="142"/>
        <v>8366.970069</v>
      </c>
      <c r="Z110" s="158">
        <f t="shared" si="143"/>
        <v>0</v>
      </c>
    </row>
    <row r="111" ht="15.75" customHeight="1">
      <c r="A111" s="125"/>
      <c r="B111" s="143"/>
      <c r="C111" s="125"/>
      <c r="D111" s="128"/>
      <c r="E111" s="140"/>
      <c r="F111" s="127"/>
      <c r="G111" s="128">
        <v>1260.0</v>
      </c>
      <c r="H111" s="141">
        <v>868.0</v>
      </c>
      <c r="I111" s="141"/>
      <c r="J111" s="141"/>
      <c r="K111" s="141"/>
      <c r="L111" s="140">
        <v>140.0</v>
      </c>
      <c r="M111" s="131">
        <f t="shared" si="144"/>
        <v>22540000</v>
      </c>
      <c r="N111" s="131">
        <f t="shared" si="134"/>
        <v>700000</v>
      </c>
      <c r="O111" s="158">
        <f>4000*81</f>
        <v>324000</v>
      </c>
      <c r="P111" s="158">
        <f>23000*9</f>
        <v>207000</v>
      </c>
      <c r="Q111" s="158">
        <f t="shared" si="136"/>
        <v>500000</v>
      </c>
      <c r="R111" s="158">
        <f>150000*1.5</f>
        <v>225000</v>
      </c>
      <c r="S111" s="158">
        <f t="shared" si="138"/>
        <v>680400</v>
      </c>
      <c r="T111" s="158">
        <f>(SUM(D111:H111)+L111)*$D$116</f>
        <v>5785713.36</v>
      </c>
      <c r="U111" s="158">
        <f t="shared" si="139"/>
        <v>25176400</v>
      </c>
      <c r="V111" s="158">
        <f t="shared" si="140"/>
        <v>7722113.36</v>
      </c>
      <c r="W111" s="158">
        <f t="shared" si="145"/>
        <v>3404.811887</v>
      </c>
      <c r="X111" s="158">
        <f t="shared" si="141"/>
        <v>13996.91715</v>
      </c>
      <c r="Y111" s="158">
        <f t="shared" si="142"/>
        <v>8404.811887</v>
      </c>
      <c r="Z111" s="158">
        <f t="shared" si="143"/>
        <v>0</v>
      </c>
      <c r="AA111" s="124"/>
      <c r="AB111" s="124"/>
      <c r="AC111" s="124"/>
    </row>
    <row r="112" ht="15.75" customHeight="1">
      <c r="A112" s="161" t="s">
        <v>54</v>
      </c>
      <c r="B112" s="162"/>
      <c r="C112" s="162"/>
      <c r="D112" s="154">
        <f t="shared" ref="D112:G112" si="146">SUM(D109:D111)</f>
        <v>0</v>
      </c>
      <c r="E112" s="135">
        <f t="shared" si="146"/>
        <v>0</v>
      </c>
      <c r="F112" s="135">
        <f t="shared" si="146"/>
        <v>3836</v>
      </c>
      <c r="G112" s="136">
        <f t="shared" si="146"/>
        <v>2297.1</v>
      </c>
      <c r="H112" s="137"/>
      <c r="I112" s="137"/>
      <c r="J112" s="137"/>
      <c r="K112" s="135">
        <f t="shared" ref="K112:V112" si="147">SUM(K109:K111)</f>
        <v>0</v>
      </c>
      <c r="L112" s="135">
        <f t="shared" si="147"/>
        <v>344.4</v>
      </c>
      <c r="M112" s="135">
        <f t="shared" si="147"/>
        <v>86844100</v>
      </c>
      <c r="N112" s="135">
        <f t="shared" si="147"/>
        <v>1722000</v>
      </c>
      <c r="O112" s="138">
        <f t="shared" si="147"/>
        <v>1168000</v>
      </c>
      <c r="P112" s="138">
        <f t="shared" si="147"/>
        <v>759000</v>
      </c>
      <c r="Q112" s="138">
        <f t="shared" si="147"/>
        <v>1500000</v>
      </c>
      <c r="R112" s="138">
        <f t="shared" si="147"/>
        <v>825000</v>
      </c>
      <c r="S112" s="138">
        <f t="shared" si="147"/>
        <v>2461050</v>
      </c>
      <c r="T112" s="138">
        <f t="shared" si="147"/>
        <v>20927292.57</v>
      </c>
      <c r="U112" s="138">
        <f t="shared" si="147"/>
        <v>95279150</v>
      </c>
      <c r="V112" s="138">
        <f t="shared" si="147"/>
        <v>27640342.57</v>
      </c>
      <c r="W112" s="139"/>
      <c r="X112" s="139"/>
      <c r="Y112" s="139"/>
      <c r="Z112" s="139"/>
    </row>
    <row r="113" ht="15.75" customHeight="1">
      <c r="A113" s="163"/>
      <c r="C113" s="164"/>
      <c r="D113" s="155"/>
      <c r="E113" s="155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</row>
    <row r="114" ht="15.75" customHeight="1">
      <c r="A114" s="163"/>
      <c r="C114" s="164"/>
      <c r="D114" s="155"/>
      <c r="E114" s="155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</row>
    <row r="115" ht="15.75" customHeight="1">
      <c r="A115" s="163"/>
      <c r="B115" s="166" t="s">
        <v>59</v>
      </c>
      <c r="C115" s="167"/>
      <c r="D115" s="168"/>
      <c r="E115" s="168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</row>
    <row r="116" ht="15.75" customHeight="1">
      <c r="B116" s="166"/>
      <c r="C116" s="166" t="s">
        <v>60</v>
      </c>
      <c r="D116" s="169">
        <v>2551.02</v>
      </c>
      <c r="E116" s="170" t="s">
        <v>61</v>
      </c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</row>
    <row r="117" ht="15.75" customHeight="1">
      <c r="B117" s="166"/>
      <c r="C117" s="166" t="s">
        <v>62</v>
      </c>
      <c r="D117" s="169">
        <v>1997.44</v>
      </c>
      <c r="E117" s="170" t="s">
        <v>61</v>
      </c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</row>
    <row r="118" ht="15.75" customHeight="1">
      <c r="A118" s="171"/>
      <c r="B118" s="171"/>
      <c r="C118" s="172"/>
      <c r="D118" s="173"/>
      <c r="E118" s="174"/>
      <c r="F118" s="174"/>
      <c r="G118" s="174"/>
      <c r="H118" s="174"/>
      <c r="I118" s="174"/>
      <c r="J118" s="174"/>
      <c r="K118" s="174"/>
      <c r="L118" s="174"/>
      <c r="M118" s="174"/>
      <c r="N118" s="17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</row>
    <row r="119" ht="15.75" customHeight="1">
      <c r="B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4"/>
      <c r="N119" s="17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</row>
    <row r="120" ht="15.75" customHeight="1">
      <c r="D120" s="155"/>
      <c r="E120" s="155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</row>
    <row r="121" ht="15.75" customHeight="1">
      <c r="B121" s="175">
        <f>38/3</f>
        <v>12.66666667</v>
      </c>
      <c r="D121" s="155"/>
      <c r="E121" s="174"/>
      <c r="F121" s="176"/>
      <c r="G121" s="176"/>
      <c r="H121" s="176"/>
      <c r="I121" s="176"/>
      <c r="J121" s="176"/>
      <c r="K121" s="176"/>
      <c r="L121" s="176"/>
      <c r="M121" s="176"/>
      <c r="N121" s="176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</row>
    <row r="122" ht="15.75" customHeight="1">
      <c r="D122" s="155"/>
      <c r="E122" s="174"/>
      <c r="F122" s="176"/>
      <c r="G122" s="176"/>
      <c r="H122" s="176"/>
      <c r="I122" s="176"/>
      <c r="J122" s="176"/>
      <c r="K122" s="176"/>
      <c r="L122" s="176"/>
      <c r="M122" s="176"/>
      <c r="N122" s="176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</row>
    <row r="123" ht="15.75" customHeight="1">
      <c r="B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7"/>
      <c r="N123" s="177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</row>
    <row r="124" ht="15.75" customHeight="1">
      <c r="B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</row>
    <row r="125" ht="15.75" customHeight="1">
      <c r="D125" s="155"/>
      <c r="E125" s="155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</row>
    <row r="126" ht="15.75" customHeight="1">
      <c r="D126" s="155"/>
      <c r="E126" s="155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</row>
    <row r="127" ht="15.75" customHeight="1">
      <c r="D127" s="155"/>
      <c r="E127" s="155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</row>
    <row r="128" ht="15.75" customHeight="1">
      <c r="D128" s="155"/>
      <c r="E128" s="155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</row>
    <row r="129" ht="15.75" customHeight="1">
      <c r="D129" s="155"/>
      <c r="E129" s="155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</row>
    <row r="130" ht="15.75" customHeight="1">
      <c r="D130" s="155"/>
      <c r="E130" s="155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</row>
    <row r="131" ht="15.75" customHeight="1">
      <c r="D131" s="155"/>
      <c r="E131" s="155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</row>
    <row r="132" ht="15.75" customHeight="1">
      <c r="D132" s="155"/>
      <c r="E132" s="155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</row>
    <row r="133" ht="15.75" customHeight="1">
      <c r="D133" s="155"/>
      <c r="E133" s="155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</row>
    <row r="134" ht="15.75" customHeight="1">
      <c r="D134" s="155"/>
      <c r="E134" s="155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</row>
    <row r="135" ht="15.75" customHeight="1">
      <c r="D135" s="155"/>
      <c r="E135" s="155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</row>
    <row r="136" ht="15.75" customHeight="1">
      <c r="D136" s="155"/>
      <c r="E136" s="155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</row>
    <row r="137" ht="15.75" customHeight="1">
      <c r="D137" s="155"/>
      <c r="E137" s="155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</row>
    <row r="138" ht="15.75" customHeight="1">
      <c r="D138" s="155"/>
      <c r="E138" s="155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</row>
    <row r="139" ht="15.75" customHeight="1">
      <c r="D139" s="155"/>
      <c r="E139" s="155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</row>
    <row r="140" ht="15.75" customHeight="1">
      <c r="D140" s="155"/>
      <c r="E140" s="155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</row>
    <row r="141" ht="15.75" customHeight="1">
      <c r="D141" s="155"/>
      <c r="E141" s="155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</row>
    <row r="142" ht="15.75" customHeight="1">
      <c r="D142" s="155"/>
      <c r="E142" s="155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</row>
    <row r="143" ht="15.75" customHeight="1">
      <c r="D143" s="155"/>
      <c r="E143" s="155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</row>
    <row r="144" ht="15.75" customHeight="1">
      <c r="D144" s="155"/>
      <c r="E144" s="155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</row>
    <row r="145" ht="15.75" customHeight="1">
      <c r="D145" s="155"/>
      <c r="E145" s="155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</row>
    <row r="146" ht="15.75" customHeight="1">
      <c r="D146" s="155"/>
      <c r="E146" s="155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</row>
    <row r="147" ht="15.75" customHeight="1">
      <c r="D147" s="155"/>
      <c r="E147" s="155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</row>
    <row r="148" ht="15.75" customHeight="1">
      <c r="D148" s="155"/>
      <c r="E148" s="155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</row>
    <row r="149" ht="15.75" customHeight="1">
      <c r="D149" s="155"/>
      <c r="E149" s="155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</row>
    <row r="150" ht="15.75" customHeight="1">
      <c r="D150" s="155"/>
      <c r="E150" s="155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</row>
    <row r="151" ht="15.75" customHeight="1">
      <c r="D151" s="155"/>
      <c r="E151" s="155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</row>
    <row r="152" ht="15.75" customHeight="1">
      <c r="D152" s="155"/>
      <c r="E152" s="155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</row>
    <row r="153" ht="15.75" customHeight="1">
      <c r="D153" s="155"/>
      <c r="E153" s="155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</row>
    <row r="154" ht="15.75" customHeight="1">
      <c r="D154" s="155"/>
      <c r="E154" s="155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</row>
    <row r="155" ht="15.75" customHeight="1">
      <c r="D155" s="155"/>
      <c r="E155" s="155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</row>
    <row r="156" ht="15.75" customHeight="1">
      <c r="D156" s="155"/>
      <c r="E156" s="155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</row>
    <row r="157" ht="15.75" customHeight="1">
      <c r="D157" s="155"/>
      <c r="E157" s="155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</row>
    <row r="158" ht="15.75" customHeight="1">
      <c r="D158" s="155"/>
      <c r="E158" s="155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</row>
    <row r="159" ht="15.75" customHeight="1">
      <c r="D159" s="155"/>
      <c r="E159" s="155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</row>
    <row r="160" ht="15.75" customHeight="1">
      <c r="D160" s="155"/>
      <c r="E160" s="155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</row>
    <row r="161" ht="15.75" customHeight="1">
      <c r="D161" s="155"/>
      <c r="E161" s="155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</row>
    <row r="162" ht="15.75" customHeight="1">
      <c r="D162" s="155"/>
      <c r="E162" s="155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</row>
    <row r="163" ht="15.75" customHeight="1">
      <c r="D163" s="155"/>
      <c r="E163" s="155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</row>
    <row r="164" ht="15.75" customHeight="1">
      <c r="D164" s="155"/>
      <c r="E164" s="155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</row>
    <row r="165" ht="15.75" customHeight="1">
      <c r="D165" s="155"/>
      <c r="E165" s="155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</row>
    <row r="166" ht="15.75" customHeight="1">
      <c r="D166" s="155"/>
      <c r="E166" s="155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</row>
    <row r="167" ht="15.75" customHeight="1">
      <c r="D167" s="155"/>
      <c r="E167" s="155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</row>
    <row r="168" ht="15.75" customHeight="1">
      <c r="D168" s="155"/>
      <c r="E168" s="155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</row>
    <row r="169" ht="15.75" customHeight="1">
      <c r="D169" s="155"/>
      <c r="E169" s="155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</row>
    <row r="170" ht="15.75" customHeight="1">
      <c r="D170" s="155"/>
      <c r="E170" s="155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</row>
    <row r="171" ht="15.75" customHeight="1">
      <c r="D171" s="155"/>
      <c r="E171" s="155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</row>
    <row r="172" ht="15.75" customHeight="1">
      <c r="D172" s="155"/>
      <c r="E172" s="155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</row>
    <row r="173" ht="15.75" customHeight="1">
      <c r="D173" s="155"/>
      <c r="E173" s="155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</row>
    <row r="174" ht="15.75" customHeight="1">
      <c r="D174" s="155"/>
      <c r="E174" s="155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</row>
    <row r="175" ht="15.75" customHeight="1">
      <c r="D175" s="155"/>
      <c r="E175" s="155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</row>
    <row r="176" ht="15.75" customHeight="1">
      <c r="D176" s="155"/>
      <c r="E176" s="155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</row>
    <row r="177" ht="15.75" customHeight="1">
      <c r="D177" s="155"/>
      <c r="E177" s="155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</row>
    <row r="178" ht="15.75" customHeight="1">
      <c r="D178" s="155"/>
      <c r="E178" s="155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</row>
    <row r="179" ht="15.75" customHeight="1">
      <c r="D179" s="155"/>
      <c r="E179" s="155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</row>
    <row r="180" ht="15.75" customHeight="1">
      <c r="D180" s="155"/>
      <c r="E180" s="155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</row>
    <row r="181" ht="15.75" customHeight="1">
      <c r="D181" s="155"/>
      <c r="E181" s="155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</row>
    <row r="182" ht="15.75" customHeight="1">
      <c r="D182" s="155"/>
      <c r="E182" s="155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</row>
    <row r="183" ht="15.75" customHeight="1">
      <c r="D183" s="155"/>
      <c r="E183" s="155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</row>
    <row r="184" ht="15.75" customHeight="1">
      <c r="D184" s="155"/>
      <c r="E184" s="155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</row>
    <row r="185" ht="15.75" customHeight="1">
      <c r="D185" s="155"/>
      <c r="E185" s="155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</row>
    <row r="186" ht="15.75" customHeight="1">
      <c r="D186" s="155"/>
      <c r="E186" s="155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</row>
    <row r="187" ht="15.75" customHeight="1">
      <c r="D187" s="155"/>
      <c r="E187" s="155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</row>
    <row r="188" ht="15.75" customHeight="1">
      <c r="D188" s="155"/>
      <c r="E188" s="155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</row>
    <row r="189" ht="15.75" customHeight="1">
      <c r="D189" s="155"/>
      <c r="E189" s="155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</row>
    <row r="190" ht="15.75" customHeight="1">
      <c r="D190" s="155"/>
      <c r="E190" s="155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</row>
    <row r="191" ht="15.75" customHeight="1">
      <c r="D191" s="155"/>
      <c r="E191" s="155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</row>
    <row r="192" ht="15.75" customHeight="1">
      <c r="D192" s="155"/>
      <c r="E192" s="155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</row>
    <row r="193" ht="15.75" customHeight="1">
      <c r="D193" s="155"/>
      <c r="E193" s="155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</row>
    <row r="194" ht="15.75" customHeight="1">
      <c r="D194" s="155"/>
      <c r="E194" s="155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</row>
    <row r="195" ht="15.75" customHeight="1">
      <c r="D195" s="155"/>
      <c r="E195" s="155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</row>
    <row r="196" ht="15.75" customHeight="1">
      <c r="D196" s="155"/>
      <c r="E196" s="155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</row>
    <row r="197" ht="15.75" customHeight="1">
      <c r="D197" s="155"/>
      <c r="E197" s="155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</row>
    <row r="198" ht="15.75" customHeight="1">
      <c r="D198" s="155"/>
      <c r="E198" s="155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</row>
    <row r="199" ht="15.75" customHeight="1">
      <c r="D199" s="155"/>
      <c r="E199" s="155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</row>
    <row r="200" ht="15.75" customHeight="1">
      <c r="D200" s="155"/>
      <c r="E200" s="155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</row>
    <row r="201" ht="15.75" customHeight="1">
      <c r="D201" s="155"/>
      <c r="E201" s="155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</row>
    <row r="202" ht="15.75" customHeight="1">
      <c r="D202" s="155"/>
      <c r="E202" s="155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</row>
    <row r="203" ht="15.75" customHeight="1">
      <c r="D203" s="155"/>
      <c r="E203" s="155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</row>
    <row r="204" ht="15.75" customHeight="1">
      <c r="D204" s="155"/>
      <c r="E204" s="155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</row>
    <row r="205" ht="15.75" customHeight="1">
      <c r="D205" s="155"/>
      <c r="E205" s="155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</row>
    <row r="206" ht="15.75" customHeight="1">
      <c r="D206" s="155"/>
      <c r="E206" s="155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</row>
    <row r="207" ht="15.75" customHeight="1">
      <c r="D207" s="155"/>
      <c r="E207" s="155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</row>
    <row r="208" ht="15.75" customHeight="1">
      <c r="D208" s="155"/>
      <c r="E208" s="155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</row>
    <row r="209" ht="15.75" customHeight="1">
      <c r="D209" s="155"/>
      <c r="E209" s="155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</row>
    <row r="210" ht="15.75" customHeight="1">
      <c r="D210" s="155"/>
      <c r="E210" s="155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</row>
    <row r="211" ht="15.75" customHeight="1">
      <c r="D211" s="155"/>
      <c r="E211" s="155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</row>
    <row r="212" ht="15.75" customHeight="1">
      <c r="D212" s="155"/>
      <c r="E212" s="155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</row>
    <row r="213" ht="15.75" customHeight="1">
      <c r="D213" s="155"/>
      <c r="E213" s="15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</row>
    <row r="214" ht="15.75" customHeight="1">
      <c r="D214" s="155"/>
      <c r="E214" s="155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</row>
    <row r="215" ht="15.75" customHeight="1">
      <c r="D215" s="155"/>
      <c r="E215" s="155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</row>
    <row r="216" ht="15.75" customHeight="1">
      <c r="D216" s="155"/>
      <c r="E216" s="155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</row>
    <row r="217" ht="15.75" customHeight="1">
      <c r="D217" s="155"/>
      <c r="E217" s="155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</row>
    <row r="218" ht="15.75" customHeight="1">
      <c r="D218" s="155"/>
      <c r="E218" s="15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</row>
    <row r="219" ht="15.75" customHeight="1">
      <c r="D219" s="155"/>
      <c r="E219" s="155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</row>
    <row r="220" ht="15.75" customHeight="1">
      <c r="D220" s="155"/>
      <c r="E220" s="155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</row>
    <row r="221" ht="15.75" customHeight="1">
      <c r="D221" s="155"/>
      <c r="E221" s="155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</row>
    <row r="222" ht="15.75" customHeight="1">
      <c r="D222" s="155"/>
      <c r="E222" s="155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</row>
    <row r="223" ht="15.75" customHeight="1">
      <c r="D223" s="155"/>
      <c r="E223" s="155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</row>
    <row r="224" ht="15.75" customHeight="1">
      <c r="D224" s="155"/>
      <c r="E224" s="155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</row>
    <row r="225" ht="15.75" customHeight="1">
      <c r="D225" s="155"/>
      <c r="E225" s="155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</row>
    <row r="226" ht="15.75" customHeight="1">
      <c r="D226" s="155"/>
      <c r="E226" s="155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</row>
    <row r="227" ht="15.75" customHeight="1">
      <c r="D227" s="155"/>
      <c r="E227" s="155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</row>
    <row r="228" ht="15.75" customHeight="1">
      <c r="D228" s="155"/>
      <c r="E228" s="155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</row>
    <row r="229" ht="15.75" customHeight="1">
      <c r="D229" s="155"/>
      <c r="E229" s="155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</row>
    <row r="230" ht="15.75" customHeight="1">
      <c r="D230" s="155"/>
      <c r="E230" s="155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</row>
    <row r="231" ht="15.75" customHeight="1">
      <c r="D231" s="155"/>
      <c r="E231" s="155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</row>
    <row r="232" ht="15.75" customHeight="1">
      <c r="D232" s="155"/>
      <c r="E232" s="155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</row>
    <row r="233" ht="15.75" customHeight="1">
      <c r="D233" s="155"/>
      <c r="E233" s="155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</row>
    <row r="234" ht="15.75" customHeight="1">
      <c r="D234" s="155"/>
      <c r="E234" s="155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</row>
    <row r="235" ht="15.75" customHeight="1">
      <c r="D235" s="155"/>
      <c r="E235" s="155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</row>
    <row r="236" ht="15.75" customHeight="1">
      <c r="D236" s="155"/>
      <c r="E236" s="155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</row>
    <row r="237" ht="15.75" customHeight="1">
      <c r="D237" s="155"/>
      <c r="E237" s="155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</row>
    <row r="238" ht="15.75" customHeight="1">
      <c r="D238" s="155"/>
      <c r="E238" s="155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</row>
    <row r="239" ht="15.75" customHeight="1">
      <c r="D239" s="155"/>
      <c r="E239" s="155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</row>
    <row r="240" ht="15.75" customHeight="1">
      <c r="D240" s="155"/>
      <c r="E240" s="155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</row>
    <row r="241" ht="15.75" customHeight="1">
      <c r="D241" s="155"/>
      <c r="E241" s="155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</row>
    <row r="242" ht="15.75" customHeight="1">
      <c r="D242" s="155"/>
      <c r="E242" s="155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</row>
    <row r="243" ht="15.75" customHeight="1">
      <c r="D243" s="155"/>
      <c r="E243" s="155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</row>
    <row r="244" ht="15.75" customHeight="1">
      <c r="D244" s="155"/>
      <c r="E244" s="155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</row>
    <row r="245" ht="15.75" customHeight="1">
      <c r="D245" s="155"/>
      <c r="E245" s="155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</row>
    <row r="246" ht="15.75" customHeight="1">
      <c r="D246" s="155"/>
      <c r="E246" s="155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</row>
    <row r="247" ht="15.75" customHeight="1">
      <c r="D247" s="155"/>
      <c r="E247" s="155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</row>
    <row r="248" ht="15.75" customHeight="1">
      <c r="D248" s="155"/>
      <c r="E248" s="155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</row>
    <row r="249" ht="15.75" customHeight="1">
      <c r="D249" s="155"/>
      <c r="E249" s="155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</row>
    <row r="250" ht="15.75" customHeight="1">
      <c r="D250" s="155"/>
      <c r="E250" s="155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</row>
    <row r="251" ht="15.75" customHeight="1">
      <c r="D251" s="155"/>
      <c r="E251" s="155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</row>
    <row r="252" ht="15.75" customHeight="1">
      <c r="D252" s="155"/>
      <c r="E252" s="155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</row>
    <row r="253" ht="15.75" customHeight="1">
      <c r="D253" s="155"/>
      <c r="E253" s="155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</row>
    <row r="254" ht="15.75" customHeight="1">
      <c r="D254" s="155"/>
      <c r="E254" s="155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</row>
    <row r="255" ht="15.75" customHeight="1">
      <c r="D255" s="155"/>
      <c r="E255" s="155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</row>
    <row r="256" ht="15.75" customHeight="1">
      <c r="D256" s="155"/>
      <c r="E256" s="155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</row>
    <row r="257" ht="15.75" customHeight="1">
      <c r="D257" s="155"/>
      <c r="E257" s="155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</row>
    <row r="258" ht="15.75" customHeight="1">
      <c r="D258" s="155"/>
      <c r="E258" s="155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</row>
    <row r="259" ht="15.75" customHeight="1">
      <c r="D259" s="155"/>
      <c r="E259" s="155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</row>
    <row r="260" ht="15.75" customHeight="1">
      <c r="D260" s="155"/>
      <c r="E260" s="155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</row>
    <row r="261" ht="15.75" customHeight="1">
      <c r="D261" s="155"/>
      <c r="E261" s="155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</row>
    <row r="262" ht="15.75" customHeight="1">
      <c r="D262" s="155"/>
      <c r="E262" s="155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</row>
    <row r="263" ht="15.75" customHeight="1">
      <c r="D263" s="155"/>
      <c r="E263" s="155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</row>
    <row r="264" ht="15.75" customHeight="1">
      <c r="D264" s="155"/>
      <c r="E264" s="155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</row>
    <row r="265" ht="15.75" customHeight="1">
      <c r="D265" s="155"/>
      <c r="E265" s="155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</row>
    <row r="266" ht="15.75" customHeight="1">
      <c r="D266" s="155"/>
      <c r="E266" s="155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</row>
    <row r="267" ht="15.75" customHeight="1">
      <c r="D267" s="155"/>
      <c r="E267" s="155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</row>
    <row r="268" ht="15.75" customHeight="1">
      <c r="D268" s="155"/>
      <c r="E268" s="155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</row>
    <row r="269" ht="15.75" customHeight="1">
      <c r="D269" s="155"/>
      <c r="E269" s="155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</row>
    <row r="270" ht="15.75" customHeight="1">
      <c r="D270" s="155"/>
      <c r="E270" s="155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</row>
    <row r="271" ht="15.75" customHeight="1">
      <c r="D271" s="155"/>
      <c r="E271" s="155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</row>
    <row r="272" ht="15.75" customHeight="1">
      <c r="D272" s="155"/>
      <c r="E272" s="155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</row>
    <row r="273" ht="15.75" customHeight="1">
      <c r="D273" s="155"/>
      <c r="E273" s="155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</row>
    <row r="274" ht="15.75" customHeight="1">
      <c r="D274" s="155"/>
      <c r="E274" s="155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</row>
    <row r="275" ht="15.75" customHeight="1">
      <c r="D275" s="155"/>
      <c r="E275" s="155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</row>
    <row r="276" ht="15.75" customHeight="1">
      <c r="D276" s="155"/>
      <c r="E276" s="155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</row>
    <row r="277" ht="15.75" customHeight="1">
      <c r="D277" s="155"/>
      <c r="E277" s="155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</row>
    <row r="278" ht="15.75" customHeight="1">
      <c r="D278" s="155"/>
      <c r="E278" s="155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</row>
    <row r="279" ht="15.75" customHeight="1">
      <c r="D279" s="155"/>
      <c r="E279" s="155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</row>
    <row r="280" ht="15.75" customHeight="1">
      <c r="D280" s="155"/>
      <c r="E280" s="155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</row>
    <row r="281" ht="15.75" customHeight="1">
      <c r="D281" s="155"/>
      <c r="E281" s="155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</row>
    <row r="282" ht="15.75" customHeight="1">
      <c r="D282" s="155"/>
      <c r="E282" s="155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</row>
    <row r="283" ht="15.75" customHeight="1">
      <c r="D283" s="155"/>
      <c r="E283" s="155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</row>
    <row r="284" ht="15.75" customHeight="1">
      <c r="D284" s="155"/>
      <c r="E284" s="155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</row>
    <row r="285" ht="15.75" customHeight="1">
      <c r="D285" s="155"/>
      <c r="E285" s="155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</row>
    <row r="286" ht="15.75" customHeight="1">
      <c r="D286" s="155"/>
      <c r="E286" s="155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</row>
    <row r="287" ht="15.75" customHeight="1">
      <c r="D287" s="155"/>
      <c r="E287" s="155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</row>
    <row r="288" ht="15.75" customHeight="1">
      <c r="D288" s="155"/>
      <c r="E288" s="155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</row>
    <row r="289" ht="15.75" customHeight="1">
      <c r="D289" s="155"/>
      <c r="E289" s="155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</row>
    <row r="290" ht="15.75" customHeight="1">
      <c r="D290" s="155"/>
      <c r="E290" s="155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</row>
    <row r="291" ht="15.75" customHeight="1">
      <c r="D291" s="155"/>
      <c r="E291" s="155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</row>
    <row r="292" ht="15.75" customHeight="1">
      <c r="D292" s="155"/>
      <c r="E292" s="155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</row>
    <row r="293" ht="15.75" customHeight="1">
      <c r="D293" s="155"/>
      <c r="E293" s="155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</row>
    <row r="294" ht="15.75" customHeight="1">
      <c r="D294" s="155"/>
      <c r="E294" s="155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</row>
    <row r="295" ht="15.75" customHeight="1">
      <c r="D295" s="155"/>
      <c r="E295" s="155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</row>
    <row r="296" ht="15.75" customHeight="1">
      <c r="D296" s="155"/>
      <c r="E296" s="155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</row>
    <row r="297" ht="15.75" customHeight="1">
      <c r="D297" s="155"/>
      <c r="E297" s="155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</row>
    <row r="298" ht="15.75" customHeight="1">
      <c r="D298" s="155"/>
      <c r="E298" s="155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</row>
    <row r="299" ht="15.75" customHeight="1">
      <c r="D299" s="155"/>
      <c r="E299" s="155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</row>
    <row r="300" ht="15.75" customHeight="1">
      <c r="D300" s="155"/>
      <c r="E300" s="155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</row>
    <row r="301" ht="15.75" customHeight="1">
      <c r="D301" s="155"/>
      <c r="E301" s="155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</row>
    <row r="302" ht="15.75" customHeight="1">
      <c r="D302" s="155"/>
      <c r="E302" s="155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</row>
    <row r="303" ht="15.75" customHeight="1">
      <c r="D303" s="155"/>
      <c r="E303" s="155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</row>
    <row r="304" ht="15.75" customHeight="1">
      <c r="D304" s="155"/>
      <c r="E304" s="155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</row>
    <row r="305" ht="15.75" customHeight="1">
      <c r="D305" s="155"/>
      <c r="E305" s="155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</row>
    <row r="306" ht="15.75" customHeight="1">
      <c r="D306" s="155"/>
      <c r="E306" s="155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</row>
    <row r="307" ht="15.75" customHeight="1">
      <c r="D307" s="155"/>
      <c r="E307" s="155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</row>
    <row r="308" ht="15.75" customHeight="1">
      <c r="D308" s="155"/>
      <c r="E308" s="155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</row>
    <row r="309" ht="15.75" customHeight="1">
      <c r="D309" s="155"/>
      <c r="E309" s="155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</row>
    <row r="310" ht="15.75" customHeight="1">
      <c r="D310" s="155"/>
      <c r="E310" s="155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</row>
    <row r="311" ht="15.75" customHeight="1">
      <c r="D311" s="155"/>
      <c r="E311" s="155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</row>
    <row r="312" ht="15.75" customHeight="1">
      <c r="D312" s="155"/>
      <c r="E312" s="155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</row>
    <row r="313" ht="15.75" customHeight="1">
      <c r="D313" s="155"/>
      <c r="E313" s="155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</row>
    <row r="314" ht="15.75" customHeight="1">
      <c r="D314" s="155"/>
      <c r="E314" s="155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</row>
    <row r="315" ht="15.75" customHeight="1">
      <c r="D315" s="155"/>
      <c r="E315" s="155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</row>
    <row r="316" ht="15.75" customHeight="1">
      <c r="D316" s="155"/>
      <c r="E316" s="155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</row>
    <row r="317" ht="15.75" customHeight="1">
      <c r="D317" s="155"/>
      <c r="E317" s="155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</row>
    <row r="318" ht="15.75" customHeight="1">
      <c r="D318" s="155"/>
      <c r="E318" s="155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</row>
    <row r="319" ht="15.75" customHeight="1">
      <c r="D319" s="155"/>
      <c r="E319" s="155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</row>
    <row r="320" ht="15.75" customHeight="1">
      <c r="D320" s="155"/>
      <c r="E320" s="155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</row>
    <row r="321" ht="15.75" customHeight="1">
      <c r="D321" s="155"/>
      <c r="E321" s="155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</row>
    <row r="322" ht="15.75" customHeight="1">
      <c r="D322" s="155"/>
      <c r="E322" s="155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</row>
    <row r="323" ht="15.75" customHeight="1">
      <c r="D323" s="155"/>
      <c r="E323" s="155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</row>
    <row r="324" ht="15.75" customHeight="1">
      <c r="D324" s="155"/>
      <c r="E324" s="155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</row>
    <row r="325" ht="15.75" customHeight="1">
      <c r="D325" s="155"/>
      <c r="E325" s="155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</row>
    <row r="326" ht="15.75" customHeight="1">
      <c r="D326" s="155"/>
      <c r="E326" s="155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</row>
    <row r="327" ht="15.75" customHeight="1">
      <c r="D327" s="155"/>
      <c r="E327" s="155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</row>
    <row r="328" ht="15.75" customHeight="1">
      <c r="D328" s="155"/>
      <c r="E328" s="155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</row>
    <row r="329" ht="15.75" customHeight="1">
      <c r="D329" s="155"/>
      <c r="E329" s="155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</row>
    <row r="330" ht="15.75" customHeight="1">
      <c r="D330" s="155"/>
      <c r="E330" s="155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</row>
    <row r="331" ht="15.75" customHeight="1">
      <c r="D331" s="155"/>
      <c r="E331" s="155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</row>
    <row r="332" ht="15.75" customHeight="1">
      <c r="D332" s="155"/>
      <c r="E332" s="155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</row>
    <row r="333" ht="15.75" customHeight="1">
      <c r="D333" s="155"/>
      <c r="E333" s="155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</row>
    <row r="334" ht="15.75" customHeight="1">
      <c r="D334" s="155"/>
      <c r="E334" s="155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</row>
    <row r="335" ht="15.75" customHeight="1">
      <c r="D335" s="155"/>
      <c r="E335" s="155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</row>
    <row r="336" ht="15.75" customHeight="1">
      <c r="D336" s="155"/>
      <c r="E336" s="155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</row>
    <row r="337" ht="15.75" customHeight="1">
      <c r="D337" s="155"/>
      <c r="E337" s="155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</row>
    <row r="338" ht="15.75" customHeight="1">
      <c r="D338" s="155"/>
      <c r="E338" s="155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</row>
    <row r="339" ht="15.75" customHeight="1">
      <c r="D339" s="155"/>
      <c r="E339" s="155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</row>
    <row r="340" ht="15.75" customHeight="1">
      <c r="D340" s="155"/>
      <c r="E340" s="155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</row>
    <row r="341" ht="15.75" customHeight="1">
      <c r="D341" s="155"/>
      <c r="E341" s="155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</row>
    <row r="342" ht="15.75" customHeight="1">
      <c r="D342" s="155"/>
      <c r="E342" s="155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</row>
    <row r="343" ht="15.75" customHeight="1">
      <c r="D343" s="155"/>
      <c r="E343" s="155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</row>
    <row r="344" ht="15.75" customHeight="1">
      <c r="D344" s="155"/>
      <c r="E344" s="155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</row>
    <row r="345" ht="15.75" customHeight="1">
      <c r="D345" s="155"/>
      <c r="E345" s="155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</row>
    <row r="346" ht="15.75" customHeight="1">
      <c r="D346" s="155"/>
      <c r="E346" s="155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</row>
    <row r="347" ht="15.75" customHeight="1">
      <c r="D347" s="155"/>
      <c r="E347" s="155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</row>
    <row r="348" ht="15.75" customHeight="1">
      <c r="D348" s="155"/>
      <c r="E348" s="155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</row>
    <row r="349" ht="15.75" customHeight="1">
      <c r="D349" s="155"/>
      <c r="E349" s="155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</row>
    <row r="350" ht="15.75" customHeight="1">
      <c r="D350" s="155"/>
      <c r="E350" s="155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</row>
    <row r="351" ht="15.75" customHeight="1">
      <c r="D351" s="155"/>
      <c r="E351" s="155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</row>
    <row r="352" ht="15.75" customHeight="1">
      <c r="D352" s="155"/>
      <c r="E352" s="155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</row>
    <row r="353" ht="15.75" customHeight="1">
      <c r="D353" s="155"/>
      <c r="E353" s="155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</row>
    <row r="354" ht="15.75" customHeight="1">
      <c r="D354" s="155"/>
      <c r="E354" s="155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</row>
    <row r="355" ht="15.75" customHeight="1">
      <c r="D355" s="155"/>
      <c r="E355" s="155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</row>
    <row r="356" ht="15.75" customHeight="1">
      <c r="D356" s="155"/>
      <c r="E356" s="155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</row>
    <row r="357" ht="15.75" customHeight="1">
      <c r="D357" s="155"/>
      <c r="E357" s="155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</row>
    <row r="358" ht="15.75" customHeight="1">
      <c r="D358" s="155"/>
      <c r="E358" s="155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</row>
    <row r="359" ht="15.75" customHeight="1">
      <c r="D359" s="155"/>
      <c r="E359" s="155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</row>
    <row r="360" ht="15.75" customHeight="1">
      <c r="D360" s="155"/>
      <c r="E360" s="155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</row>
    <row r="361" ht="15.75" customHeight="1">
      <c r="D361" s="155"/>
      <c r="E361" s="155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</row>
    <row r="362" ht="15.75" customHeight="1">
      <c r="D362" s="155"/>
      <c r="E362" s="155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</row>
    <row r="363" ht="15.75" customHeight="1">
      <c r="D363" s="155"/>
      <c r="E363" s="155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</row>
    <row r="364" ht="15.75" customHeight="1">
      <c r="D364" s="155"/>
      <c r="E364" s="155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</row>
    <row r="365" ht="15.75" customHeight="1">
      <c r="D365" s="155"/>
      <c r="E365" s="155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</row>
    <row r="366" ht="15.75" customHeight="1">
      <c r="D366" s="155"/>
      <c r="E366" s="155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</row>
    <row r="367" ht="15.75" customHeight="1">
      <c r="D367" s="155"/>
      <c r="E367" s="155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</row>
    <row r="368" ht="15.75" customHeight="1">
      <c r="D368" s="155"/>
      <c r="E368" s="155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</row>
    <row r="369" ht="15.75" customHeight="1">
      <c r="D369" s="155"/>
      <c r="E369" s="155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</row>
    <row r="370" ht="15.75" customHeight="1">
      <c r="D370" s="155"/>
      <c r="E370" s="155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</row>
    <row r="371" ht="15.75" customHeight="1">
      <c r="D371" s="155"/>
      <c r="E371" s="155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</row>
    <row r="372" ht="15.75" customHeight="1">
      <c r="D372" s="155"/>
      <c r="E372" s="155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</row>
    <row r="373" ht="15.75" customHeight="1">
      <c r="D373" s="155"/>
      <c r="E373" s="155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</row>
    <row r="374" ht="15.75" customHeight="1">
      <c r="D374" s="155"/>
      <c r="E374" s="155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</row>
    <row r="375" ht="15.75" customHeight="1">
      <c r="D375" s="155"/>
      <c r="E375" s="155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</row>
    <row r="376" ht="15.75" customHeight="1">
      <c r="D376" s="155"/>
      <c r="E376" s="155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</row>
    <row r="377" ht="15.75" customHeight="1">
      <c r="D377" s="155"/>
      <c r="E377" s="155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</row>
    <row r="378" ht="15.75" customHeight="1">
      <c r="D378" s="155"/>
      <c r="E378" s="155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</row>
    <row r="379" ht="15.75" customHeight="1">
      <c r="D379" s="155"/>
      <c r="E379" s="155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</row>
    <row r="380" ht="15.75" customHeight="1">
      <c r="D380" s="155"/>
      <c r="E380" s="155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</row>
    <row r="381" ht="15.75" customHeight="1">
      <c r="D381" s="155"/>
      <c r="E381" s="155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</row>
    <row r="382" ht="15.75" customHeight="1">
      <c r="D382" s="155"/>
      <c r="E382" s="155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</row>
    <row r="383" ht="15.75" customHeight="1">
      <c r="D383" s="155"/>
      <c r="E383" s="155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</row>
    <row r="384" ht="15.75" customHeight="1">
      <c r="D384" s="155"/>
      <c r="E384" s="155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</row>
    <row r="385" ht="15.75" customHeight="1">
      <c r="D385" s="155"/>
      <c r="E385" s="155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</row>
    <row r="386" ht="15.75" customHeight="1">
      <c r="D386" s="155"/>
      <c r="E386" s="155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</row>
    <row r="387" ht="15.75" customHeight="1">
      <c r="D387" s="155"/>
      <c r="E387" s="155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</row>
    <row r="388" ht="15.75" customHeight="1">
      <c r="D388" s="155"/>
      <c r="E388" s="155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</row>
    <row r="389" ht="15.75" customHeight="1">
      <c r="D389" s="155"/>
      <c r="E389" s="155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</row>
    <row r="390" ht="15.75" customHeight="1">
      <c r="D390" s="155"/>
      <c r="E390" s="155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</row>
    <row r="391" ht="15.75" customHeight="1">
      <c r="D391" s="155"/>
      <c r="E391" s="155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</row>
    <row r="392" ht="15.75" customHeight="1">
      <c r="D392" s="155"/>
      <c r="E392" s="155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</row>
    <row r="393" ht="15.75" customHeight="1">
      <c r="D393" s="155"/>
      <c r="E393" s="155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</row>
    <row r="394" ht="15.75" customHeight="1">
      <c r="D394" s="155"/>
      <c r="E394" s="155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</row>
    <row r="395" ht="15.75" customHeight="1">
      <c r="D395" s="155"/>
      <c r="E395" s="155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</row>
    <row r="396" ht="15.75" customHeight="1">
      <c r="D396" s="155"/>
      <c r="E396" s="155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</row>
    <row r="397" ht="15.75" customHeight="1">
      <c r="D397" s="155"/>
      <c r="E397" s="155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</row>
    <row r="398" ht="15.75" customHeight="1">
      <c r="D398" s="155"/>
      <c r="E398" s="155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</row>
    <row r="399" ht="15.75" customHeight="1">
      <c r="D399" s="155"/>
      <c r="E399" s="155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</row>
    <row r="400" ht="15.75" customHeight="1">
      <c r="D400" s="155"/>
      <c r="E400" s="155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</row>
    <row r="401" ht="15.75" customHeight="1">
      <c r="D401" s="155"/>
      <c r="E401" s="155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</row>
    <row r="402" ht="15.75" customHeight="1">
      <c r="D402" s="155"/>
      <c r="E402" s="155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</row>
    <row r="403" ht="15.75" customHeight="1">
      <c r="D403" s="155"/>
      <c r="E403" s="155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</row>
    <row r="404" ht="15.75" customHeight="1">
      <c r="D404" s="155"/>
      <c r="E404" s="155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</row>
    <row r="405" ht="15.75" customHeight="1">
      <c r="D405" s="155"/>
      <c r="E405" s="155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</row>
    <row r="406" ht="15.75" customHeight="1">
      <c r="D406" s="155"/>
      <c r="E406" s="155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</row>
    <row r="407" ht="15.75" customHeight="1">
      <c r="D407" s="155"/>
      <c r="E407" s="155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</row>
    <row r="408" ht="15.75" customHeight="1">
      <c r="D408" s="155"/>
      <c r="E408" s="155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</row>
    <row r="409" ht="15.75" customHeight="1">
      <c r="D409" s="155"/>
      <c r="E409" s="155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</row>
    <row r="410" ht="15.75" customHeight="1">
      <c r="D410" s="155"/>
      <c r="E410" s="155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</row>
    <row r="411" ht="15.75" customHeight="1">
      <c r="D411" s="155"/>
      <c r="E411" s="155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</row>
    <row r="412" ht="15.75" customHeight="1">
      <c r="D412" s="155"/>
      <c r="E412" s="155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</row>
    <row r="413" ht="15.75" customHeight="1">
      <c r="D413" s="155"/>
      <c r="E413" s="155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</row>
    <row r="414" ht="15.75" customHeight="1">
      <c r="D414" s="155"/>
      <c r="E414" s="155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</row>
    <row r="415" ht="15.75" customHeight="1">
      <c r="D415" s="155"/>
      <c r="E415" s="155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</row>
    <row r="416" ht="15.75" customHeight="1">
      <c r="D416" s="155"/>
      <c r="E416" s="155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</row>
    <row r="417" ht="15.75" customHeight="1">
      <c r="D417" s="155"/>
      <c r="E417" s="155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</row>
    <row r="418" ht="15.75" customHeight="1">
      <c r="D418" s="155"/>
      <c r="E418" s="155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</row>
    <row r="419" ht="15.75" customHeight="1">
      <c r="D419" s="155"/>
      <c r="E419" s="155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</row>
    <row r="420" ht="15.75" customHeight="1">
      <c r="D420" s="155"/>
      <c r="E420" s="155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</row>
    <row r="421" ht="15.75" customHeight="1">
      <c r="D421" s="155"/>
      <c r="E421" s="155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</row>
    <row r="422" ht="15.75" customHeight="1">
      <c r="D422" s="155"/>
      <c r="E422" s="155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</row>
    <row r="423" ht="15.75" customHeight="1">
      <c r="D423" s="155"/>
      <c r="E423" s="155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</row>
    <row r="424" ht="15.75" customHeight="1">
      <c r="D424" s="155"/>
      <c r="E424" s="155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</row>
    <row r="425" ht="15.75" customHeight="1">
      <c r="D425" s="155"/>
      <c r="E425" s="155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</row>
    <row r="426" ht="15.75" customHeight="1">
      <c r="D426" s="155"/>
      <c r="E426" s="155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</row>
    <row r="427" ht="15.75" customHeight="1">
      <c r="D427" s="155"/>
      <c r="E427" s="155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</row>
    <row r="428" ht="15.75" customHeight="1">
      <c r="D428" s="155"/>
      <c r="E428" s="155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</row>
    <row r="429" ht="15.75" customHeight="1">
      <c r="D429" s="155"/>
      <c r="E429" s="155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</row>
    <row r="430" ht="15.75" customHeight="1">
      <c r="D430" s="155"/>
      <c r="E430" s="155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</row>
    <row r="431" ht="15.75" customHeight="1">
      <c r="D431" s="155"/>
      <c r="E431" s="155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</row>
    <row r="432" ht="15.75" customHeight="1">
      <c r="D432" s="155"/>
      <c r="E432" s="155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</row>
    <row r="433" ht="15.75" customHeight="1">
      <c r="D433" s="155"/>
      <c r="E433" s="155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</row>
    <row r="434" ht="15.75" customHeight="1">
      <c r="D434" s="155"/>
      <c r="E434" s="155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</row>
    <row r="435" ht="15.75" customHeight="1">
      <c r="D435" s="155"/>
      <c r="E435" s="155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</row>
    <row r="436" ht="15.75" customHeight="1">
      <c r="D436" s="155"/>
      <c r="E436" s="155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</row>
    <row r="437" ht="15.75" customHeight="1">
      <c r="D437" s="155"/>
      <c r="E437" s="155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</row>
    <row r="438" ht="15.75" customHeight="1">
      <c r="D438" s="155"/>
      <c r="E438" s="155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</row>
    <row r="439" ht="15.75" customHeight="1">
      <c r="D439" s="155"/>
      <c r="E439" s="155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</row>
    <row r="440" ht="15.75" customHeight="1">
      <c r="D440" s="155"/>
      <c r="E440" s="155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</row>
    <row r="441" ht="15.75" customHeight="1">
      <c r="D441" s="155"/>
      <c r="E441" s="155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</row>
    <row r="442" ht="15.75" customHeight="1">
      <c r="D442" s="155"/>
      <c r="E442" s="155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</row>
    <row r="443" ht="15.75" customHeight="1">
      <c r="D443" s="155"/>
      <c r="E443" s="155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</row>
    <row r="444" ht="15.75" customHeight="1">
      <c r="D444" s="155"/>
      <c r="E444" s="155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</row>
    <row r="445" ht="15.75" customHeight="1">
      <c r="D445" s="155"/>
      <c r="E445" s="155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</row>
    <row r="446" ht="15.75" customHeight="1">
      <c r="D446" s="155"/>
      <c r="E446" s="155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</row>
    <row r="447" ht="15.75" customHeight="1">
      <c r="D447" s="155"/>
      <c r="E447" s="155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</row>
    <row r="448" ht="15.75" customHeight="1">
      <c r="D448" s="155"/>
      <c r="E448" s="155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</row>
    <row r="449" ht="15.75" customHeight="1">
      <c r="D449" s="155"/>
      <c r="E449" s="155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</row>
    <row r="450" ht="15.75" customHeight="1">
      <c r="D450" s="155"/>
      <c r="E450" s="155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</row>
    <row r="451" ht="15.75" customHeight="1">
      <c r="D451" s="155"/>
      <c r="E451" s="155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</row>
    <row r="452" ht="15.75" customHeight="1">
      <c r="D452" s="155"/>
      <c r="E452" s="155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</row>
    <row r="453" ht="15.75" customHeight="1">
      <c r="D453" s="155"/>
      <c r="E453" s="155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</row>
    <row r="454" ht="15.75" customHeight="1">
      <c r="D454" s="155"/>
      <c r="E454" s="155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</row>
    <row r="455" ht="15.75" customHeight="1">
      <c r="D455" s="155"/>
      <c r="E455" s="155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</row>
    <row r="456" ht="15.75" customHeight="1">
      <c r="D456" s="155"/>
      <c r="E456" s="155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</row>
    <row r="457" ht="15.75" customHeight="1">
      <c r="D457" s="155"/>
      <c r="E457" s="155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</row>
    <row r="458" ht="15.75" customHeight="1">
      <c r="D458" s="155"/>
      <c r="E458" s="155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</row>
    <row r="459" ht="15.75" customHeight="1">
      <c r="D459" s="155"/>
      <c r="E459" s="155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</row>
    <row r="460" ht="15.75" customHeight="1">
      <c r="D460" s="155"/>
      <c r="E460" s="155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</row>
    <row r="461" ht="15.75" customHeight="1">
      <c r="D461" s="155"/>
      <c r="E461" s="155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</row>
    <row r="462" ht="15.75" customHeight="1">
      <c r="D462" s="155"/>
      <c r="E462" s="155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</row>
    <row r="463" ht="15.75" customHeight="1">
      <c r="D463" s="155"/>
      <c r="E463" s="155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</row>
    <row r="464" ht="15.75" customHeight="1">
      <c r="D464" s="155"/>
      <c r="E464" s="155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</row>
    <row r="465" ht="15.75" customHeight="1">
      <c r="D465" s="155"/>
      <c r="E465" s="155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</row>
    <row r="466" ht="15.75" customHeight="1">
      <c r="D466" s="155"/>
      <c r="E466" s="155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</row>
    <row r="467" ht="15.75" customHeight="1">
      <c r="D467" s="155"/>
      <c r="E467" s="155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</row>
    <row r="468" ht="15.75" customHeight="1">
      <c r="D468" s="155"/>
      <c r="E468" s="155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</row>
    <row r="469" ht="15.75" customHeight="1">
      <c r="D469" s="155"/>
      <c r="E469" s="155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</row>
    <row r="470" ht="15.75" customHeight="1">
      <c r="D470" s="155"/>
      <c r="E470" s="155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</row>
    <row r="471" ht="15.75" customHeight="1">
      <c r="D471" s="155"/>
      <c r="E471" s="155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</row>
    <row r="472" ht="15.75" customHeight="1">
      <c r="D472" s="155"/>
      <c r="E472" s="155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</row>
    <row r="473" ht="15.75" customHeight="1">
      <c r="D473" s="155"/>
      <c r="E473" s="155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</row>
    <row r="474" ht="15.75" customHeight="1">
      <c r="D474" s="155"/>
      <c r="E474" s="155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</row>
    <row r="475" ht="15.75" customHeight="1">
      <c r="D475" s="155"/>
      <c r="E475" s="155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</row>
    <row r="476" ht="15.75" customHeight="1">
      <c r="D476" s="155"/>
      <c r="E476" s="155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</row>
    <row r="477" ht="15.75" customHeight="1">
      <c r="D477" s="155"/>
      <c r="E477" s="155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</row>
    <row r="478" ht="15.75" customHeight="1">
      <c r="D478" s="155"/>
      <c r="E478" s="155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</row>
    <row r="479" ht="15.75" customHeight="1">
      <c r="D479" s="155"/>
      <c r="E479" s="155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</row>
    <row r="480" ht="15.75" customHeight="1">
      <c r="D480" s="155"/>
      <c r="E480" s="155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</row>
    <row r="481" ht="15.75" customHeight="1">
      <c r="D481" s="155"/>
      <c r="E481" s="155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</row>
    <row r="482" ht="15.75" customHeight="1">
      <c r="D482" s="155"/>
      <c r="E482" s="155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</row>
    <row r="483" ht="15.75" customHeight="1">
      <c r="D483" s="155"/>
      <c r="E483" s="155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</row>
    <row r="484" ht="15.75" customHeight="1">
      <c r="D484" s="155"/>
      <c r="E484" s="155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</row>
    <row r="485" ht="15.75" customHeight="1">
      <c r="D485" s="155"/>
      <c r="E485" s="155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</row>
    <row r="486" ht="15.75" customHeight="1">
      <c r="D486" s="155"/>
      <c r="E486" s="155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</row>
    <row r="487" ht="15.75" customHeight="1">
      <c r="D487" s="155"/>
      <c r="E487" s="155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</row>
    <row r="488" ht="15.75" customHeight="1">
      <c r="D488" s="155"/>
      <c r="E488" s="155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</row>
    <row r="489" ht="15.75" customHeight="1">
      <c r="D489" s="155"/>
      <c r="E489" s="155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</row>
    <row r="490" ht="15.75" customHeight="1">
      <c r="D490" s="155"/>
      <c r="E490" s="155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</row>
    <row r="491" ht="15.75" customHeight="1">
      <c r="D491" s="155"/>
      <c r="E491" s="155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</row>
    <row r="492" ht="15.75" customHeight="1">
      <c r="D492" s="155"/>
      <c r="E492" s="155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</row>
    <row r="493" ht="15.75" customHeight="1">
      <c r="D493" s="155"/>
      <c r="E493" s="155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</row>
    <row r="494" ht="15.75" customHeight="1">
      <c r="D494" s="155"/>
      <c r="E494" s="155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</row>
    <row r="495" ht="15.75" customHeight="1">
      <c r="D495" s="155"/>
      <c r="E495" s="155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</row>
    <row r="496" ht="15.75" customHeight="1">
      <c r="D496" s="155"/>
      <c r="E496" s="155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</row>
    <row r="497" ht="15.75" customHeight="1">
      <c r="D497" s="155"/>
      <c r="E497" s="155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</row>
    <row r="498" ht="15.75" customHeight="1">
      <c r="D498" s="155"/>
      <c r="E498" s="155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</row>
    <row r="499" ht="15.75" customHeight="1">
      <c r="D499" s="155"/>
      <c r="E499" s="155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</row>
    <row r="500" ht="15.75" customHeight="1">
      <c r="D500" s="155"/>
      <c r="E500" s="155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</row>
    <row r="501" ht="15.75" customHeight="1">
      <c r="D501" s="155"/>
      <c r="E501" s="155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</row>
    <row r="502" ht="15.75" customHeight="1">
      <c r="D502" s="155"/>
      <c r="E502" s="155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</row>
    <row r="503" ht="15.75" customHeight="1">
      <c r="D503" s="155"/>
      <c r="E503" s="155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</row>
    <row r="504" ht="15.75" customHeight="1">
      <c r="D504" s="155"/>
      <c r="E504" s="155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</row>
    <row r="505" ht="15.75" customHeight="1">
      <c r="D505" s="155"/>
      <c r="E505" s="155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</row>
    <row r="506" ht="15.75" customHeight="1">
      <c r="D506" s="155"/>
      <c r="E506" s="155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</row>
    <row r="507" ht="15.75" customHeight="1">
      <c r="D507" s="155"/>
      <c r="E507" s="155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</row>
    <row r="508" ht="15.75" customHeight="1">
      <c r="D508" s="155"/>
      <c r="E508" s="155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</row>
    <row r="509" ht="15.75" customHeight="1">
      <c r="D509" s="155"/>
      <c r="E509" s="155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</row>
    <row r="510" ht="15.75" customHeight="1">
      <c r="D510" s="155"/>
      <c r="E510" s="155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</row>
    <row r="511" ht="15.75" customHeight="1">
      <c r="D511" s="155"/>
      <c r="E511" s="155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</row>
    <row r="512" ht="15.75" customHeight="1">
      <c r="D512" s="155"/>
      <c r="E512" s="155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</row>
    <row r="513" ht="15.75" customHeight="1">
      <c r="D513" s="155"/>
      <c r="E513" s="155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</row>
    <row r="514" ht="15.75" customHeight="1">
      <c r="D514" s="155"/>
      <c r="E514" s="155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</row>
    <row r="515" ht="15.75" customHeight="1">
      <c r="D515" s="155"/>
      <c r="E515" s="155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</row>
    <row r="516" ht="15.75" customHeight="1">
      <c r="D516" s="155"/>
      <c r="E516" s="155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</row>
    <row r="517" ht="15.75" customHeight="1">
      <c r="D517" s="155"/>
      <c r="E517" s="155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</row>
    <row r="518" ht="15.75" customHeight="1">
      <c r="D518" s="155"/>
      <c r="E518" s="155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</row>
    <row r="519" ht="15.75" customHeight="1">
      <c r="D519" s="155"/>
      <c r="E519" s="155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</row>
    <row r="520" ht="15.75" customHeight="1">
      <c r="D520" s="155"/>
      <c r="E520" s="155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</row>
    <row r="521" ht="15.75" customHeight="1">
      <c r="D521" s="155"/>
      <c r="E521" s="155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</row>
    <row r="522" ht="15.75" customHeight="1">
      <c r="D522" s="155"/>
      <c r="E522" s="155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</row>
    <row r="523" ht="15.75" customHeight="1">
      <c r="D523" s="155"/>
      <c r="E523" s="155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</row>
    <row r="524" ht="15.75" customHeight="1">
      <c r="D524" s="155"/>
      <c r="E524" s="155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</row>
    <row r="525" ht="15.75" customHeight="1">
      <c r="D525" s="155"/>
      <c r="E525" s="155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</row>
    <row r="526" ht="15.75" customHeight="1">
      <c r="D526" s="155"/>
      <c r="E526" s="155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</row>
    <row r="527" ht="15.75" customHeight="1">
      <c r="D527" s="155"/>
      <c r="E527" s="155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</row>
    <row r="528" ht="15.75" customHeight="1">
      <c r="D528" s="155"/>
      <c r="E528" s="155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</row>
    <row r="529" ht="15.75" customHeight="1">
      <c r="D529" s="155"/>
      <c r="E529" s="155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</row>
    <row r="530" ht="15.75" customHeight="1">
      <c r="D530" s="155"/>
      <c r="E530" s="155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</row>
    <row r="531" ht="15.75" customHeight="1">
      <c r="D531" s="155"/>
      <c r="E531" s="155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</row>
    <row r="532" ht="15.75" customHeight="1">
      <c r="D532" s="155"/>
      <c r="E532" s="155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</row>
    <row r="533" ht="15.75" customHeight="1">
      <c r="D533" s="155"/>
      <c r="E533" s="155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</row>
    <row r="534" ht="15.75" customHeight="1">
      <c r="D534" s="155"/>
      <c r="E534" s="155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</row>
    <row r="535" ht="15.75" customHeight="1">
      <c r="D535" s="155"/>
      <c r="E535" s="155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</row>
    <row r="536" ht="15.75" customHeight="1">
      <c r="D536" s="155"/>
      <c r="E536" s="155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</row>
    <row r="537" ht="15.75" customHeight="1">
      <c r="D537" s="155"/>
      <c r="E537" s="155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</row>
    <row r="538" ht="15.75" customHeight="1">
      <c r="D538" s="155"/>
      <c r="E538" s="155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</row>
    <row r="539" ht="15.75" customHeight="1">
      <c r="D539" s="155"/>
      <c r="E539" s="155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</row>
    <row r="540" ht="15.75" customHeight="1">
      <c r="D540" s="155"/>
      <c r="E540" s="155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</row>
    <row r="541" ht="15.75" customHeight="1">
      <c r="D541" s="155"/>
      <c r="E541" s="155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</row>
    <row r="542" ht="15.75" customHeight="1">
      <c r="D542" s="155"/>
      <c r="E542" s="155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</row>
    <row r="543" ht="15.75" customHeight="1">
      <c r="D543" s="155"/>
      <c r="E543" s="155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</row>
    <row r="544" ht="15.75" customHeight="1">
      <c r="D544" s="155"/>
      <c r="E544" s="155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</row>
    <row r="545" ht="15.75" customHeight="1">
      <c r="D545" s="155"/>
      <c r="E545" s="155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</row>
    <row r="546" ht="15.75" customHeight="1">
      <c r="D546" s="155"/>
      <c r="E546" s="155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</row>
    <row r="547" ht="15.75" customHeight="1">
      <c r="D547" s="155"/>
      <c r="E547" s="155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</row>
    <row r="548" ht="15.75" customHeight="1">
      <c r="D548" s="155"/>
      <c r="E548" s="155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</row>
    <row r="549" ht="15.75" customHeight="1">
      <c r="D549" s="155"/>
      <c r="E549" s="155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</row>
    <row r="550" ht="15.75" customHeight="1">
      <c r="D550" s="155"/>
      <c r="E550" s="155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</row>
    <row r="551" ht="15.75" customHeight="1">
      <c r="D551" s="155"/>
      <c r="E551" s="155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</row>
    <row r="552" ht="15.75" customHeight="1">
      <c r="D552" s="155"/>
      <c r="E552" s="155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</row>
    <row r="553" ht="15.75" customHeight="1">
      <c r="D553" s="155"/>
      <c r="E553" s="155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</row>
    <row r="554" ht="15.75" customHeight="1">
      <c r="D554" s="155"/>
      <c r="E554" s="155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</row>
    <row r="555" ht="15.75" customHeight="1">
      <c r="D555" s="155"/>
      <c r="E555" s="155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</row>
    <row r="556" ht="15.75" customHeight="1">
      <c r="D556" s="155"/>
      <c r="E556" s="155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</row>
    <row r="557" ht="15.75" customHeight="1">
      <c r="D557" s="155"/>
      <c r="E557" s="155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</row>
    <row r="558" ht="15.75" customHeight="1">
      <c r="D558" s="155"/>
      <c r="E558" s="155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</row>
    <row r="559" ht="15.75" customHeight="1">
      <c r="D559" s="155"/>
      <c r="E559" s="155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</row>
    <row r="560" ht="15.75" customHeight="1">
      <c r="D560" s="155"/>
      <c r="E560" s="155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</row>
    <row r="561" ht="15.75" customHeight="1">
      <c r="D561" s="155"/>
      <c r="E561" s="155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</row>
    <row r="562" ht="15.75" customHeight="1">
      <c r="D562" s="155"/>
      <c r="E562" s="155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</row>
    <row r="563" ht="15.75" customHeight="1">
      <c r="D563" s="155"/>
      <c r="E563" s="155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</row>
    <row r="564" ht="15.75" customHeight="1">
      <c r="D564" s="155"/>
      <c r="E564" s="155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</row>
    <row r="565" ht="15.75" customHeight="1">
      <c r="D565" s="155"/>
      <c r="E565" s="155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</row>
    <row r="566" ht="15.75" customHeight="1">
      <c r="D566" s="155"/>
      <c r="E566" s="155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</row>
    <row r="567" ht="15.75" customHeight="1">
      <c r="D567" s="155"/>
      <c r="E567" s="155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</row>
    <row r="568" ht="15.75" customHeight="1">
      <c r="D568" s="155"/>
      <c r="E568" s="155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</row>
    <row r="569" ht="15.75" customHeight="1">
      <c r="D569" s="155"/>
      <c r="E569" s="155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</row>
    <row r="570" ht="15.75" customHeight="1">
      <c r="D570" s="155"/>
      <c r="E570" s="155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</row>
    <row r="571" ht="15.75" customHeight="1">
      <c r="D571" s="155"/>
      <c r="E571" s="155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</row>
    <row r="572" ht="15.75" customHeight="1">
      <c r="D572" s="155"/>
      <c r="E572" s="155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</row>
    <row r="573" ht="15.75" customHeight="1">
      <c r="D573" s="155"/>
      <c r="E573" s="155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</row>
    <row r="574" ht="15.75" customHeight="1">
      <c r="D574" s="155"/>
      <c r="E574" s="155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</row>
    <row r="575" ht="15.75" customHeight="1">
      <c r="D575" s="155"/>
      <c r="E575" s="155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</row>
    <row r="576" ht="15.75" customHeight="1">
      <c r="D576" s="155"/>
      <c r="E576" s="155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</row>
    <row r="577" ht="15.75" customHeight="1">
      <c r="D577" s="155"/>
      <c r="E577" s="155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</row>
    <row r="578" ht="15.75" customHeight="1">
      <c r="D578" s="155"/>
      <c r="E578" s="155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</row>
    <row r="579" ht="15.75" customHeight="1">
      <c r="D579" s="155"/>
      <c r="E579" s="155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</row>
    <row r="580" ht="15.75" customHeight="1">
      <c r="D580" s="155"/>
      <c r="E580" s="155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</row>
    <row r="581" ht="15.75" customHeight="1">
      <c r="D581" s="155"/>
      <c r="E581" s="155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</row>
    <row r="582" ht="15.75" customHeight="1">
      <c r="D582" s="155"/>
      <c r="E582" s="155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</row>
    <row r="583" ht="15.75" customHeight="1">
      <c r="D583" s="155"/>
      <c r="E583" s="155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</row>
    <row r="584" ht="15.75" customHeight="1">
      <c r="D584" s="155"/>
      <c r="E584" s="155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</row>
    <row r="585" ht="15.75" customHeight="1">
      <c r="D585" s="155"/>
      <c r="E585" s="155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</row>
    <row r="586" ht="15.75" customHeight="1">
      <c r="D586" s="155"/>
      <c r="E586" s="155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</row>
    <row r="587" ht="15.75" customHeight="1">
      <c r="D587" s="155"/>
      <c r="E587" s="155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</row>
    <row r="588" ht="15.75" customHeight="1">
      <c r="D588" s="155"/>
      <c r="E588" s="155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</row>
    <row r="589" ht="15.75" customHeight="1">
      <c r="D589" s="155"/>
      <c r="E589" s="155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</row>
    <row r="590" ht="15.75" customHeight="1">
      <c r="D590" s="155"/>
      <c r="E590" s="155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</row>
    <row r="591" ht="15.75" customHeight="1">
      <c r="D591" s="155"/>
      <c r="E591" s="155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</row>
    <row r="592" ht="15.75" customHeight="1">
      <c r="D592" s="155"/>
      <c r="E592" s="155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</row>
    <row r="593" ht="15.75" customHeight="1">
      <c r="D593" s="155"/>
      <c r="E593" s="155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</row>
    <row r="594" ht="15.75" customHeight="1">
      <c r="D594" s="155"/>
      <c r="E594" s="155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</row>
    <row r="595" ht="15.75" customHeight="1">
      <c r="D595" s="155"/>
      <c r="E595" s="155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</row>
    <row r="596" ht="15.75" customHeight="1">
      <c r="D596" s="155"/>
      <c r="E596" s="155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</row>
    <row r="597" ht="15.75" customHeight="1">
      <c r="D597" s="155"/>
      <c r="E597" s="155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</row>
    <row r="598" ht="15.75" customHeight="1">
      <c r="D598" s="155"/>
      <c r="E598" s="155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</row>
    <row r="599" ht="15.75" customHeight="1">
      <c r="D599" s="155"/>
      <c r="E599" s="155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</row>
    <row r="600" ht="15.75" customHeight="1">
      <c r="D600" s="155"/>
      <c r="E600" s="155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</row>
    <row r="601" ht="15.75" customHeight="1">
      <c r="D601" s="155"/>
      <c r="E601" s="155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</row>
    <row r="602" ht="15.75" customHeight="1">
      <c r="D602" s="155"/>
      <c r="E602" s="155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</row>
    <row r="603" ht="15.75" customHeight="1">
      <c r="D603" s="155"/>
      <c r="E603" s="155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</row>
    <row r="604" ht="15.75" customHeight="1">
      <c r="D604" s="155"/>
      <c r="E604" s="155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</row>
    <row r="605" ht="15.75" customHeight="1">
      <c r="D605" s="155"/>
      <c r="E605" s="155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</row>
    <row r="606" ht="15.75" customHeight="1">
      <c r="D606" s="155"/>
      <c r="E606" s="155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</row>
    <row r="607" ht="15.75" customHeight="1">
      <c r="D607" s="155"/>
      <c r="E607" s="155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</row>
    <row r="608" ht="15.75" customHeight="1">
      <c r="D608" s="155"/>
      <c r="E608" s="155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</row>
    <row r="609" ht="15.75" customHeight="1">
      <c r="D609" s="155"/>
      <c r="E609" s="155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</row>
    <row r="610" ht="15.75" customHeight="1">
      <c r="D610" s="155"/>
      <c r="E610" s="155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</row>
    <row r="611" ht="15.75" customHeight="1">
      <c r="D611" s="155"/>
      <c r="E611" s="155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</row>
    <row r="612" ht="15.75" customHeight="1">
      <c r="D612" s="155"/>
      <c r="E612" s="155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</row>
    <row r="613" ht="15.75" customHeight="1">
      <c r="D613" s="155"/>
      <c r="E613" s="155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</row>
    <row r="614" ht="15.75" customHeight="1">
      <c r="D614" s="155"/>
      <c r="E614" s="155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</row>
    <row r="615" ht="15.75" customHeight="1">
      <c r="D615" s="155"/>
      <c r="E615" s="155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</row>
    <row r="616" ht="15.75" customHeight="1">
      <c r="D616" s="155"/>
      <c r="E616" s="155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</row>
    <row r="617" ht="15.75" customHeight="1">
      <c r="D617" s="155"/>
      <c r="E617" s="155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</row>
    <row r="618" ht="15.75" customHeight="1">
      <c r="D618" s="155"/>
      <c r="E618" s="155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</row>
    <row r="619" ht="15.75" customHeight="1">
      <c r="D619" s="155"/>
      <c r="E619" s="155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</row>
    <row r="620" ht="15.75" customHeight="1">
      <c r="D620" s="155"/>
      <c r="E620" s="155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</row>
    <row r="621" ht="15.75" customHeight="1">
      <c r="D621" s="155"/>
      <c r="E621" s="155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</row>
    <row r="622" ht="15.75" customHeight="1">
      <c r="D622" s="155"/>
      <c r="E622" s="155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</row>
    <row r="623" ht="15.75" customHeight="1">
      <c r="D623" s="155"/>
      <c r="E623" s="155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</row>
    <row r="624" ht="15.75" customHeight="1">
      <c r="D624" s="155"/>
      <c r="E624" s="155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</row>
    <row r="625" ht="15.75" customHeight="1">
      <c r="D625" s="155"/>
      <c r="E625" s="155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</row>
    <row r="626" ht="15.75" customHeight="1">
      <c r="D626" s="155"/>
      <c r="E626" s="155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</row>
    <row r="627" ht="15.75" customHeight="1">
      <c r="D627" s="155"/>
      <c r="E627" s="155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</row>
    <row r="628" ht="15.75" customHeight="1">
      <c r="D628" s="155"/>
      <c r="E628" s="155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</row>
    <row r="629" ht="15.75" customHeight="1">
      <c r="D629" s="155"/>
      <c r="E629" s="155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</row>
    <row r="630" ht="15.75" customHeight="1">
      <c r="D630" s="155"/>
      <c r="E630" s="155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</row>
    <row r="631" ht="15.75" customHeight="1">
      <c r="D631" s="155"/>
      <c r="E631" s="155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</row>
    <row r="632" ht="15.75" customHeight="1">
      <c r="D632" s="155"/>
      <c r="E632" s="155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</row>
    <row r="633" ht="15.75" customHeight="1">
      <c r="D633" s="155"/>
      <c r="E633" s="155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</row>
    <row r="634" ht="15.75" customHeight="1">
      <c r="D634" s="155"/>
      <c r="E634" s="155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</row>
    <row r="635" ht="15.75" customHeight="1">
      <c r="D635" s="155"/>
      <c r="E635" s="155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</row>
    <row r="636" ht="15.75" customHeight="1">
      <c r="D636" s="155"/>
      <c r="E636" s="155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</row>
    <row r="637" ht="15.75" customHeight="1">
      <c r="D637" s="155"/>
      <c r="E637" s="155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</row>
    <row r="638" ht="15.75" customHeight="1">
      <c r="D638" s="155"/>
      <c r="E638" s="155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</row>
    <row r="639" ht="15.75" customHeight="1">
      <c r="D639" s="155"/>
      <c r="E639" s="155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</row>
    <row r="640" ht="15.75" customHeight="1">
      <c r="D640" s="155"/>
      <c r="E640" s="155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</row>
    <row r="641" ht="15.75" customHeight="1">
      <c r="D641" s="155"/>
      <c r="E641" s="155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</row>
    <row r="642" ht="15.75" customHeight="1">
      <c r="D642" s="155"/>
      <c r="E642" s="155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</row>
    <row r="643" ht="15.75" customHeight="1">
      <c r="D643" s="155"/>
      <c r="E643" s="155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</row>
    <row r="644" ht="15.75" customHeight="1">
      <c r="D644" s="155"/>
      <c r="E644" s="155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</row>
    <row r="645" ht="15.75" customHeight="1">
      <c r="D645" s="155"/>
      <c r="E645" s="155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</row>
    <row r="646" ht="15.75" customHeight="1">
      <c r="D646" s="155"/>
      <c r="E646" s="155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</row>
    <row r="647" ht="15.75" customHeight="1">
      <c r="D647" s="155"/>
      <c r="E647" s="155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</row>
    <row r="648" ht="15.75" customHeight="1">
      <c r="D648" s="155"/>
      <c r="E648" s="155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</row>
    <row r="649" ht="15.75" customHeight="1">
      <c r="D649" s="155"/>
      <c r="E649" s="155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</row>
    <row r="650" ht="15.75" customHeight="1">
      <c r="D650" s="155"/>
      <c r="E650" s="155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</row>
    <row r="651" ht="15.75" customHeight="1">
      <c r="D651" s="155"/>
      <c r="E651" s="155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</row>
    <row r="652" ht="15.75" customHeight="1">
      <c r="D652" s="155"/>
      <c r="E652" s="155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</row>
    <row r="653" ht="15.75" customHeight="1">
      <c r="D653" s="155"/>
      <c r="E653" s="155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</row>
    <row r="654" ht="15.75" customHeight="1">
      <c r="D654" s="155"/>
      <c r="E654" s="155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</row>
    <row r="655" ht="15.75" customHeight="1">
      <c r="D655" s="155"/>
      <c r="E655" s="155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</row>
    <row r="656" ht="15.75" customHeight="1">
      <c r="D656" s="155"/>
      <c r="E656" s="155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</row>
    <row r="657" ht="15.75" customHeight="1">
      <c r="D657" s="155"/>
      <c r="E657" s="155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</row>
    <row r="658" ht="15.75" customHeight="1">
      <c r="D658" s="155"/>
      <c r="E658" s="155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</row>
    <row r="659" ht="15.75" customHeight="1">
      <c r="D659" s="155"/>
      <c r="E659" s="155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</row>
    <row r="660" ht="15.75" customHeight="1">
      <c r="D660" s="155"/>
      <c r="E660" s="155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</row>
    <row r="661" ht="15.75" customHeight="1">
      <c r="D661" s="155"/>
      <c r="E661" s="155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</row>
    <row r="662" ht="15.75" customHeight="1">
      <c r="D662" s="155"/>
      <c r="E662" s="155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</row>
    <row r="663" ht="15.75" customHeight="1">
      <c r="D663" s="155"/>
      <c r="E663" s="155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</row>
    <row r="664" ht="15.75" customHeight="1">
      <c r="D664" s="155"/>
      <c r="E664" s="155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</row>
    <row r="665" ht="15.75" customHeight="1">
      <c r="D665" s="155"/>
      <c r="E665" s="155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</row>
    <row r="666" ht="15.75" customHeight="1">
      <c r="D666" s="155"/>
      <c r="E666" s="155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</row>
    <row r="667" ht="15.75" customHeight="1">
      <c r="D667" s="155"/>
      <c r="E667" s="155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</row>
    <row r="668" ht="15.75" customHeight="1">
      <c r="D668" s="155"/>
      <c r="E668" s="155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</row>
    <row r="669" ht="15.75" customHeight="1">
      <c r="D669" s="155"/>
      <c r="E669" s="155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</row>
    <row r="670" ht="15.75" customHeight="1">
      <c r="D670" s="155"/>
      <c r="E670" s="155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</row>
    <row r="671" ht="15.75" customHeight="1">
      <c r="D671" s="155"/>
      <c r="E671" s="155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</row>
    <row r="672" ht="15.75" customHeight="1">
      <c r="D672" s="155"/>
      <c r="E672" s="155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</row>
    <row r="673" ht="15.75" customHeight="1">
      <c r="D673" s="155"/>
      <c r="E673" s="155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</row>
    <row r="674" ht="15.75" customHeight="1">
      <c r="D674" s="155"/>
      <c r="E674" s="155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</row>
    <row r="675" ht="15.75" customHeight="1">
      <c r="D675" s="155"/>
      <c r="E675" s="155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</row>
    <row r="676" ht="15.75" customHeight="1">
      <c r="D676" s="155"/>
      <c r="E676" s="155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</row>
    <row r="677" ht="15.75" customHeight="1">
      <c r="D677" s="155"/>
      <c r="E677" s="155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</row>
    <row r="678" ht="15.75" customHeight="1">
      <c r="D678" s="155"/>
      <c r="E678" s="155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</row>
    <row r="679" ht="15.75" customHeight="1">
      <c r="D679" s="155"/>
      <c r="E679" s="155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</row>
    <row r="680" ht="15.75" customHeight="1">
      <c r="D680" s="155"/>
      <c r="E680" s="155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</row>
    <row r="681" ht="15.75" customHeight="1">
      <c r="D681" s="155"/>
      <c r="E681" s="155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</row>
    <row r="682" ht="15.75" customHeight="1">
      <c r="D682" s="155"/>
      <c r="E682" s="155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</row>
    <row r="683" ht="15.75" customHeight="1">
      <c r="D683" s="155"/>
      <c r="E683" s="155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</row>
    <row r="684" ht="15.75" customHeight="1">
      <c r="D684" s="155"/>
      <c r="E684" s="155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</row>
    <row r="685" ht="15.75" customHeight="1">
      <c r="D685" s="155"/>
      <c r="E685" s="155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</row>
    <row r="686" ht="15.75" customHeight="1">
      <c r="D686" s="155"/>
      <c r="E686" s="155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</row>
    <row r="687" ht="15.75" customHeight="1">
      <c r="D687" s="155"/>
      <c r="E687" s="155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</row>
    <row r="688" ht="15.75" customHeight="1">
      <c r="D688" s="155"/>
      <c r="E688" s="155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</row>
    <row r="689" ht="15.75" customHeight="1">
      <c r="D689" s="155"/>
      <c r="E689" s="155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</row>
    <row r="690" ht="15.75" customHeight="1">
      <c r="D690" s="155"/>
      <c r="E690" s="155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</row>
    <row r="691" ht="15.75" customHeight="1">
      <c r="D691" s="155"/>
      <c r="E691" s="155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</row>
    <row r="692" ht="15.75" customHeight="1">
      <c r="D692" s="155"/>
      <c r="E692" s="155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</row>
    <row r="693" ht="15.75" customHeight="1">
      <c r="D693" s="155"/>
      <c r="E693" s="155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</row>
    <row r="694" ht="15.75" customHeight="1">
      <c r="D694" s="155"/>
      <c r="E694" s="155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</row>
    <row r="695" ht="15.75" customHeight="1">
      <c r="D695" s="155"/>
      <c r="E695" s="155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</row>
    <row r="696" ht="15.75" customHeight="1">
      <c r="D696" s="155"/>
      <c r="E696" s="155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</row>
    <row r="697" ht="15.75" customHeight="1">
      <c r="D697" s="155"/>
      <c r="E697" s="155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</row>
    <row r="698" ht="15.75" customHeight="1">
      <c r="D698" s="155"/>
      <c r="E698" s="155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</row>
    <row r="699" ht="15.75" customHeight="1">
      <c r="D699" s="155"/>
      <c r="E699" s="155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</row>
    <row r="700" ht="15.75" customHeight="1">
      <c r="D700" s="155"/>
      <c r="E700" s="155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</row>
    <row r="701" ht="15.75" customHeight="1">
      <c r="D701" s="155"/>
      <c r="E701" s="155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</row>
    <row r="702" ht="15.75" customHeight="1">
      <c r="D702" s="155"/>
      <c r="E702" s="155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</row>
    <row r="703" ht="15.75" customHeight="1">
      <c r="D703" s="155"/>
      <c r="E703" s="155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</row>
    <row r="704" ht="15.75" customHeight="1">
      <c r="D704" s="155"/>
      <c r="E704" s="155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</row>
    <row r="705" ht="15.75" customHeight="1">
      <c r="D705" s="155"/>
      <c r="E705" s="155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</row>
    <row r="706" ht="15.75" customHeight="1">
      <c r="D706" s="155"/>
      <c r="E706" s="155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</row>
    <row r="707" ht="15.75" customHeight="1">
      <c r="D707" s="155"/>
      <c r="E707" s="155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</row>
    <row r="708" ht="15.75" customHeight="1">
      <c r="D708" s="155"/>
      <c r="E708" s="155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</row>
    <row r="709" ht="15.75" customHeight="1">
      <c r="D709" s="155"/>
      <c r="E709" s="155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</row>
    <row r="710" ht="15.75" customHeight="1">
      <c r="D710" s="155"/>
      <c r="E710" s="155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</row>
    <row r="711" ht="15.75" customHeight="1">
      <c r="D711" s="155"/>
      <c r="E711" s="155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</row>
    <row r="712" ht="15.75" customHeight="1">
      <c r="D712" s="155"/>
      <c r="E712" s="155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</row>
    <row r="713" ht="15.75" customHeight="1">
      <c r="D713" s="155"/>
      <c r="E713" s="155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</row>
    <row r="714" ht="15.75" customHeight="1">
      <c r="D714" s="155"/>
      <c r="E714" s="155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</row>
    <row r="715" ht="15.75" customHeight="1">
      <c r="D715" s="155"/>
      <c r="E715" s="155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</row>
    <row r="716" ht="15.75" customHeight="1">
      <c r="D716" s="155"/>
      <c r="E716" s="155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</row>
    <row r="717" ht="15.75" customHeight="1">
      <c r="D717" s="155"/>
      <c r="E717" s="155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</row>
    <row r="718" ht="15.75" customHeight="1">
      <c r="D718" s="155"/>
      <c r="E718" s="155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</row>
    <row r="719" ht="15.75" customHeight="1">
      <c r="D719" s="155"/>
      <c r="E719" s="155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</row>
    <row r="720" ht="15.75" customHeight="1">
      <c r="D720" s="155"/>
      <c r="E720" s="155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</row>
    <row r="721" ht="15.75" customHeight="1">
      <c r="D721" s="155"/>
      <c r="E721" s="155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</row>
    <row r="722" ht="15.75" customHeight="1">
      <c r="D722" s="155"/>
      <c r="E722" s="155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</row>
    <row r="723" ht="15.75" customHeight="1">
      <c r="D723" s="155"/>
      <c r="E723" s="155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</row>
    <row r="724" ht="15.75" customHeight="1">
      <c r="D724" s="155"/>
      <c r="E724" s="155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</row>
    <row r="725" ht="15.75" customHeight="1">
      <c r="D725" s="155"/>
      <c r="E725" s="155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</row>
    <row r="726" ht="15.75" customHeight="1">
      <c r="D726" s="155"/>
      <c r="E726" s="155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</row>
    <row r="727" ht="15.75" customHeight="1">
      <c r="D727" s="155"/>
      <c r="E727" s="155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</row>
    <row r="728" ht="15.75" customHeight="1">
      <c r="D728" s="155"/>
      <c r="E728" s="155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</row>
    <row r="729" ht="15.75" customHeight="1">
      <c r="D729" s="155"/>
      <c r="E729" s="155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</row>
    <row r="730" ht="15.75" customHeight="1">
      <c r="D730" s="155"/>
      <c r="E730" s="155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</row>
    <row r="731" ht="15.75" customHeight="1">
      <c r="D731" s="155"/>
      <c r="E731" s="155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</row>
    <row r="732" ht="15.75" customHeight="1">
      <c r="D732" s="155"/>
      <c r="E732" s="155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</row>
    <row r="733" ht="15.75" customHeight="1">
      <c r="D733" s="155"/>
      <c r="E733" s="155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</row>
    <row r="734" ht="15.75" customHeight="1">
      <c r="D734" s="155"/>
      <c r="E734" s="155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</row>
    <row r="735" ht="15.75" customHeight="1">
      <c r="D735" s="155"/>
      <c r="E735" s="155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</row>
    <row r="736" ht="15.75" customHeight="1">
      <c r="D736" s="155"/>
      <c r="E736" s="155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</row>
    <row r="737" ht="15.75" customHeight="1">
      <c r="D737" s="155"/>
      <c r="E737" s="155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</row>
    <row r="738" ht="15.75" customHeight="1">
      <c r="D738" s="155"/>
      <c r="E738" s="155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</row>
    <row r="739" ht="15.75" customHeight="1">
      <c r="D739" s="155"/>
      <c r="E739" s="155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</row>
    <row r="740" ht="15.75" customHeight="1">
      <c r="D740" s="155"/>
      <c r="E740" s="155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</row>
    <row r="741" ht="15.75" customHeight="1">
      <c r="D741" s="155"/>
      <c r="E741" s="155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</row>
    <row r="742" ht="15.75" customHeight="1">
      <c r="D742" s="155"/>
      <c r="E742" s="155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</row>
    <row r="743" ht="15.75" customHeight="1">
      <c r="D743" s="155"/>
      <c r="E743" s="155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</row>
    <row r="744" ht="15.75" customHeight="1">
      <c r="D744" s="155"/>
      <c r="E744" s="155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</row>
    <row r="745" ht="15.75" customHeight="1">
      <c r="D745" s="155"/>
      <c r="E745" s="155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</row>
    <row r="746" ht="15.75" customHeight="1">
      <c r="D746" s="155"/>
      <c r="E746" s="155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</row>
    <row r="747" ht="15.75" customHeight="1">
      <c r="D747" s="155"/>
      <c r="E747" s="155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</row>
    <row r="748" ht="15.75" customHeight="1">
      <c r="D748" s="155"/>
      <c r="E748" s="155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</row>
    <row r="749" ht="15.75" customHeight="1">
      <c r="D749" s="155"/>
      <c r="E749" s="155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</row>
    <row r="750" ht="15.75" customHeight="1">
      <c r="D750" s="155"/>
      <c r="E750" s="155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</row>
    <row r="751" ht="15.75" customHeight="1">
      <c r="D751" s="155"/>
      <c r="E751" s="155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</row>
    <row r="752" ht="15.75" customHeight="1">
      <c r="D752" s="155"/>
      <c r="E752" s="155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</row>
    <row r="753" ht="15.75" customHeight="1">
      <c r="D753" s="155"/>
      <c r="E753" s="155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</row>
    <row r="754" ht="15.75" customHeight="1">
      <c r="D754" s="155"/>
      <c r="E754" s="155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</row>
    <row r="755" ht="15.75" customHeight="1">
      <c r="D755" s="155"/>
      <c r="E755" s="155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</row>
    <row r="756" ht="15.75" customHeight="1">
      <c r="D756" s="155"/>
      <c r="E756" s="155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</row>
    <row r="757" ht="15.75" customHeight="1">
      <c r="D757" s="155"/>
      <c r="E757" s="155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</row>
    <row r="758" ht="15.75" customHeight="1">
      <c r="D758" s="155"/>
      <c r="E758" s="155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</row>
    <row r="759" ht="15.75" customHeight="1">
      <c r="D759" s="155"/>
      <c r="E759" s="155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</row>
    <row r="760" ht="15.75" customHeight="1">
      <c r="D760" s="155"/>
      <c r="E760" s="155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</row>
    <row r="761" ht="15.75" customHeight="1">
      <c r="D761" s="155"/>
      <c r="E761" s="155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</row>
    <row r="762" ht="15.75" customHeight="1">
      <c r="D762" s="155"/>
      <c r="E762" s="155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</row>
    <row r="763" ht="15.75" customHeight="1">
      <c r="D763" s="155"/>
      <c r="E763" s="155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</row>
    <row r="764" ht="15.75" customHeight="1">
      <c r="D764" s="155"/>
      <c r="E764" s="155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</row>
    <row r="765" ht="15.75" customHeight="1">
      <c r="D765" s="155"/>
      <c r="E765" s="155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</row>
    <row r="766" ht="15.75" customHeight="1">
      <c r="D766" s="155"/>
      <c r="E766" s="155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</row>
    <row r="767" ht="15.75" customHeight="1">
      <c r="D767" s="155"/>
      <c r="E767" s="155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</row>
    <row r="768" ht="15.75" customHeight="1">
      <c r="D768" s="155"/>
      <c r="E768" s="155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</row>
    <row r="769" ht="15.75" customHeight="1">
      <c r="D769" s="155"/>
      <c r="E769" s="155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</row>
    <row r="770" ht="15.75" customHeight="1">
      <c r="D770" s="155"/>
      <c r="E770" s="155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</row>
    <row r="771" ht="15.75" customHeight="1">
      <c r="D771" s="155"/>
      <c r="E771" s="155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</row>
    <row r="772" ht="15.75" customHeight="1">
      <c r="D772" s="155"/>
      <c r="E772" s="155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</row>
    <row r="773" ht="15.75" customHeight="1">
      <c r="D773" s="155"/>
      <c r="E773" s="155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</row>
    <row r="774" ht="15.75" customHeight="1">
      <c r="D774" s="155"/>
      <c r="E774" s="155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</row>
    <row r="775" ht="15.75" customHeight="1">
      <c r="D775" s="155"/>
      <c r="E775" s="155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</row>
    <row r="776" ht="15.75" customHeight="1">
      <c r="D776" s="155"/>
      <c r="E776" s="155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</row>
    <row r="777" ht="15.75" customHeight="1">
      <c r="D777" s="155"/>
      <c r="E777" s="155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</row>
    <row r="778" ht="15.75" customHeight="1">
      <c r="D778" s="155"/>
      <c r="E778" s="155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</row>
    <row r="779" ht="15.75" customHeight="1">
      <c r="D779" s="155"/>
      <c r="E779" s="155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</row>
    <row r="780" ht="15.75" customHeight="1">
      <c r="D780" s="155"/>
      <c r="E780" s="155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</row>
    <row r="781" ht="15.75" customHeight="1">
      <c r="D781" s="155"/>
      <c r="E781" s="155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</row>
    <row r="782" ht="15.75" customHeight="1">
      <c r="D782" s="155"/>
      <c r="E782" s="155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</row>
    <row r="783" ht="15.75" customHeight="1">
      <c r="D783" s="155"/>
      <c r="E783" s="155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</row>
    <row r="784" ht="15.75" customHeight="1">
      <c r="D784" s="155"/>
      <c r="E784" s="155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</row>
    <row r="785" ht="15.75" customHeight="1">
      <c r="D785" s="155"/>
      <c r="E785" s="155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</row>
    <row r="786" ht="15.75" customHeight="1">
      <c r="D786" s="155"/>
      <c r="E786" s="155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</row>
    <row r="787" ht="15.75" customHeight="1">
      <c r="D787" s="155"/>
      <c r="E787" s="155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</row>
    <row r="788" ht="15.75" customHeight="1">
      <c r="D788" s="155"/>
      <c r="E788" s="155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</row>
    <row r="789" ht="15.75" customHeight="1">
      <c r="D789" s="155"/>
      <c r="E789" s="155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</row>
    <row r="790" ht="15.75" customHeight="1">
      <c r="D790" s="155"/>
      <c r="E790" s="155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</row>
    <row r="791" ht="15.75" customHeight="1">
      <c r="D791" s="155"/>
      <c r="E791" s="155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</row>
    <row r="792" ht="15.75" customHeight="1">
      <c r="D792" s="155"/>
      <c r="E792" s="155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</row>
    <row r="793" ht="15.75" customHeight="1">
      <c r="D793" s="155"/>
      <c r="E793" s="155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</row>
    <row r="794" ht="15.75" customHeight="1">
      <c r="D794" s="155"/>
      <c r="E794" s="155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</row>
    <row r="795" ht="15.75" customHeight="1">
      <c r="D795" s="155"/>
      <c r="E795" s="155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</row>
    <row r="796" ht="15.75" customHeight="1">
      <c r="D796" s="155"/>
      <c r="E796" s="155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</row>
    <row r="797" ht="15.75" customHeight="1">
      <c r="D797" s="155"/>
      <c r="E797" s="155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</row>
    <row r="798" ht="15.75" customHeight="1">
      <c r="D798" s="155"/>
      <c r="E798" s="155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</row>
    <row r="799" ht="15.75" customHeight="1">
      <c r="D799" s="155"/>
      <c r="E799" s="155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</row>
    <row r="800" ht="15.75" customHeight="1">
      <c r="D800" s="155"/>
      <c r="E800" s="155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</row>
    <row r="801" ht="15.75" customHeight="1">
      <c r="D801" s="155"/>
      <c r="E801" s="155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</row>
    <row r="802" ht="15.75" customHeight="1">
      <c r="D802" s="155"/>
      <c r="E802" s="155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</row>
    <row r="803" ht="15.75" customHeight="1">
      <c r="D803" s="155"/>
      <c r="E803" s="155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</row>
    <row r="804" ht="15.75" customHeight="1">
      <c r="D804" s="155"/>
      <c r="E804" s="155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</row>
    <row r="805" ht="15.75" customHeight="1">
      <c r="D805" s="155"/>
      <c r="E805" s="155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</row>
    <row r="806" ht="15.75" customHeight="1">
      <c r="D806" s="155"/>
      <c r="E806" s="155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</row>
    <row r="807" ht="15.75" customHeight="1">
      <c r="D807" s="155"/>
      <c r="E807" s="155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</row>
    <row r="808" ht="15.75" customHeight="1">
      <c r="D808" s="155"/>
      <c r="E808" s="155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</row>
    <row r="809" ht="15.75" customHeight="1">
      <c r="D809" s="155"/>
      <c r="E809" s="155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</row>
    <row r="810" ht="15.75" customHeight="1">
      <c r="D810" s="155"/>
      <c r="E810" s="155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</row>
    <row r="811" ht="15.75" customHeight="1">
      <c r="D811" s="155"/>
      <c r="E811" s="155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</row>
    <row r="812" ht="15.75" customHeight="1">
      <c r="D812" s="155"/>
      <c r="E812" s="155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</row>
    <row r="813" ht="15.75" customHeight="1">
      <c r="D813" s="155"/>
      <c r="E813" s="155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</row>
    <row r="814" ht="15.75" customHeight="1">
      <c r="D814" s="155"/>
      <c r="E814" s="155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</row>
    <row r="815" ht="15.75" customHeight="1">
      <c r="D815" s="155"/>
      <c r="E815" s="155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</row>
    <row r="816" ht="15.75" customHeight="1">
      <c r="D816" s="155"/>
      <c r="E816" s="155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</row>
    <row r="817" ht="15.75" customHeight="1">
      <c r="D817" s="155"/>
      <c r="E817" s="155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</row>
    <row r="818" ht="15.75" customHeight="1">
      <c r="D818" s="155"/>
      <c r="E818" s="155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</row>
    <row r="819" ht="15.75" customHeight="1">
      <c r="D819" s="155"/>
      <c r="E819" s="155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</row>
    <row r="820" ht="15.75" customHeight="1">
      <c r="D820" s="155"/>
      <c r="E820" s="155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</row>
    <row r="821" ht="15.75" customHeight="1">
      <c r="D821" s="155"/>
      <c r="E821" s="155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</row>
    <row r="822" ht="15.75" customHeight="1">
      <c r="D822" s="155"/>
      <c r="E822" s="155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</row>
    <row r="823" ht="15.75" customHeight="1">
      <c r="D823" s="155"/>
      <c r="E823" s="155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</row>
    <row r="824" ht="15.75" customHeight="1">
      <c r="D824" s="155"/>
      <c r="E824" s="155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</row>
    <row r="825" ht="15.75" customHeight="1">
      <c r="D825" s="155"/>
      <c r="E825" s="155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</row>
    <row r="826" ht="15.75" customHeight="1">
      <c r="D826" s="155"/>
      <c r="E826" s="155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</row>
    <row r="827" ht="15.75" customHeight="1">
      <c r="D827" s="155"/>
      <c r="E827" s="155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</row>
    <row r="828" ht="15.75" customHeight="1">
      <c r="D828" s="155"/>
      <c r="E828" s="155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</row>
    <row r="829" ht="15.75" customHeight="1">
      <c r="D829" s="155"/>
      <c r="E829" s="155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</row>
    <row r="830" ht="15.75" customHeight="1">
      <c r="D830" s="155"/>
      <c r="E830" s="155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</row>
    <row r="831" ht="15.75" customHeight="1">
      <c r="D831" s="155"/>
      <c r="E831" s="155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</row>
    <row r="832" ht="15.75" customHeight="1">
      <c r="D832" s="155"/>
      <c r="E832" s="155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</row>
    <row r="833" ht="15.75" customHeight="1">
      <c r="D833" s="155"/>
      <c r="E833" s="155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</row>
    <row r="834" ht="15.75" customHeight="1">
      <c r="D834" s="155"/>
      <c r="E834" s="155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</row>
    <row r="835" ht="15.75" customHeight="1">
      <c r="D835" s="155"/>
      <c r="E835" s="155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</row>
    <row r="836" ht="15.75" customHeight="1">
      <c r="D836" s="155"/>
      <c r="E836" s="155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</row>
    <row r="837" ht="15.75" customHeight="1">
      <c r="D837" s="155"/>
      <c r="E837" s="155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</row>
    <row r="838" ht="15.75" customHeight="1">
      <c r="D838" s="155"/>
      <c r="E838" s="155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</row>
    <row r="839" ht="15.75" customHeight="1">
      <c r="D839" s="155"/>
      <c r="E839" s="155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</row>
    <row r="840" ht="15.75" customHeight="1">
      <c r="D840" s="155"/>
      <c r="E840" s="155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</row>
    <row r="841" ht="15.75" customHeight="1">
      <c r="D841" s="155"/>
      <c r="E841" s="155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</row>
    <row r="842" ht="15.75" customHeight="1">
      <c r="D842" s="155"/>
      <c r="E842" s="155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</row>
    <row r="843" ht="15.75" customHeight="1">
      <c r="D843" s="155"/>
      <c r="E843" s="155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</row>
    <row r="844" ht="15.75" customHeight="1">
      <c r="D844" s="155"/>
      <c r="E844" s="155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</row>
    <row r="845" ht="15.75" customHeight="1">
      <c r="D845" s="155"/>
      <c r="E845" s="155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</row>
    <row r="846" ht="15.75" customHeight="1">
      <c r="D846" s="155"/>
      <c r="E846" s="155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</row>
    <row r="847" ht="15.75" customHeight="1">
      <c r="D847" s="155"/>
      <c r="E847" s="155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</row>
    <row r="848" ht="15.75" customHeight="1">
      <c r="D848" s="155"/>
      <c r="E848" s="155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</row>
    <row r="849" ht="15.75" customHeight="1">
      <c r="D849" s="155"/>
      <c r="E849" s="155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</row>
    <row r="850" ht="15.75" customHeight="1">
      <c r="D850" s="155"/>
      <c r="E850" s="155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</row>
    <row r="851" ht="15.75" customHeight="1">
      <c r="D851" s="155"/>
      <c r="E851" s="155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</row>
    <row r="852" ht="15.75" customHeight="1">
      <c r="D852" s="155"/>
      <c r="E852" s="155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</row>
    <row r="853" ht="15.75" customHeight="1">
      <c r="D853" s="155"/>
      <c r="E853" s="155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</row>
    <row r="854" ht="15.75" customHeight="1">
      <c r="D854" s="155"/>
      <c r="E854" s="155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</row>
    <row r="855" ht="15.75" customHeight="1">
      <c r="D855" s="155"/>
      <c r="E855" s="155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</row>
    <row r="856" ht="15.75" customHeight="1">
      <c r="D856" s="155"/>
      <c r="E856" s="155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</row>
    <row r="857" ht="15.75" customHeight="1">
      <c r="D857" s="155"/>
      <c r="E857" s="155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</row>
    <row r="858" ht="15.75" customHeight="1">
      <c r="D858" s="155"/>
      <c r="E858" s="155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</row>
    <row r="859" ht="15.75" customHeight="1">
      <c r="D859" s="155"/>
      <c r="E859" s="155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</row>
    <row r="860" ht="15.75" customHeight="1">
      <c r="D860" s="155"/>
      <c r="E860" s="155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</row>
    <row r="861" ht="15.75" customHeight="1">
      <c r="D861" s="155"/>
      <c r="E861" s="155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</row>
    <row r="862" ht="15.75" customHeight="1">
      <c r="D862" s="155"/>
      <c r="E862" s="155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</row>
    <row r="863" ht="15.75" customHeight="1">
      <c r="D863" s="155"/>
      <c r="E863" s="155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</row>
    <row r="864" ht="15.75" customHeight="1">
      <c r="D864" s="155"/>
      <c r="E864" s="155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</row>
    <row r="865" ht="15.75" customHeight="1">
      <c r="D865" s="155"/>
      <c r="E865" s="155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</row>
    <row r="866" ht="15.75" customHeight="1">
      <c r="D866" s="155"/>
      <c r="E866" s="155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</row>
    <row r="867" ht="15.75" customHeight="1">
      <c r="D867" s="155"/>
      <c r="E867" s="155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</row>
    <row r="868" ht="15.75" customHeight="1">
      <c r="D868" s="155"/>
      <c r="E868" s="155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</row>
    <row r="869" ht="15.75" customHeight="1">
      <c r="D869" s="155"/>
      <c r="E869" s="155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</row>
    <row r="870" ht="15.75" customHeight="1">
      <c r="D870" s="155"/>
      <c r="E870" s="155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</row>
    <row r="871" ht="15.75" customHeight="1">
      <c r="D871" s="155"/>
      <c r="E871" s="155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</row>
    <row r="872" ht="15.75" customHeight="1">
      <c r="D872" s="155"/>
      <c r="E872" s="155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</row>
    <row r="873" ht="15.75" customHeight="1">
      <c r="D873" s="155"/>
      <c r="E873" s="155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</row>
    <row r="874" ht="15.75" customHeight="1">
      <c r="D874" s="155"/>
      <c r="E874" s="155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</row>
    <row r="875" ht="15.75" customHeight="1">
      <c r="D875" s="155"/>
      <c r="E875" s="155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</row>
    <row r="876" ht="15.75" customHeight="1">
      <c r="D876" s="155"/>
      <c r="E876" s="155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</row>
    <row r="877" ht="15.75" customHeight="1">
      <c r="D877" s="155"/>
      <c r="E877" s="155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</row>
    <row r="878" ht="15.75" customHeight="1">
      <c r="D878" s="155"/>
      <c r="E878" s="155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</row>
    <row r="879" ht="15.75" customHeight="1">
      <c r="D879" s="155"/>
      <c r="E879" s="155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</row>
    <row r="880" ht="15.75" customHeight="1">
      <c r="D880" s="155"/>
      <c r="E880" s="155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</row>
    <row r="881" ht="15.75" customHeight="1">
      <c r="D881" s="155"/>
      <c r="E881" s="155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</row>
    <row r="882" ht="15.75" customHeight="1">
      <c r="D882" s="155"/>
      <c r="E882" s="155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</row>
    <row r="883" ht="15.75" customHeight="1">
      <c r="D883" s="155"/>
      <c r="E883" s="155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</row>
    <row r="884" ht="15.75" customHeight="1">
      <c r="D884" s="155"/>
      <c r="E884" s="155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</row>
    <row r="885" ht="15.75" customHeight="1">
      <c r="D885" s="155"/>
      <c r="E885" s="155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</row>
    <row r="886" ht="15.75" customHeight="1">
      <c r="D886" s="155"/>
      <c r="E886" s="155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</row>
    <row r="887" ht="15.75" customHeight="1">
      <c r="D887" s="155"/>
      <c r="E887" s="155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</row>
    <row r="888" ht="15.75" customHeight="1">
      <c r="D888" s="155"/>
      <c r="E888" s="155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</row>
    <row r="889" ht="15.75" customHeight="1">
      <c r="D889" s="155"/>
      <c r="E889" s="155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</row>
    <row r="890" ht="15.75" customHeight="1">
      <c r="D890" s="155"/>
      <c r="E890" s="155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</row>
    <row r="891" ht="15.75" customHeight="1">
      <c r="D891" s="155"/>
      <c r="E891" s="155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</row>
    <row r="892" ht="15.75" customHeight="1">
      <c r="D892" s="155"/>
      <c r="E892" s="155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</row>
    <row r="893" ht="15.75" customHeight="1">
      <c r="D893" s="155"/>
      <c r="E893" s="155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</row>
    <row r="894" ht="15.75" customHeight="1">
      <c r="D894" s="155"/>
      <c r="E894" s="155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</row>
    <row r="895" ht="15.75" customHeight="1">
      <c r="D895" s="155"/>
      <c r="E895" s="155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</row>
    <row r="896" ht="15.75" customHeight="1">
      <c r="D896" s="155"/>
      <c r="E896" s="155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</row>
    <row r="897" ht="15.75" customHeight="1">
      <c r="D897" s="155"/>
      <c r="E897" s="155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</row>
    <row r="898" ht="15.75" customHeight="1">
      <c r="D898" s="155"/>
      <c r="E898" s="155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</row>
    <row r="899" ht="15.75" customHeight="1">
      <c r="D899" s="155"/>
      <c r="E899" s="155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</row>
    <row r="900" ht="15.75" customHeight="1">
      <c r="D900" s="155"/>
      <c r="E900" s="155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</row>
    <row r="901" ht="15.75" customHeight="1">
      <c r="D901" s="155"/>
      <c r="E901" s="155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</row>
    <row r="902" ht="15.75" customHeight="1">
      <c r="D902" s="155"/>
      <c r="E902" s="155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</row>
    <row r="903" ht="15.75" customHeight="1">
      <c r="D903" s="155"/>
      <c r="E903" s="155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</row>
    <row r="904" ht="15.75" customHeight="1">
      <c r="D904" s="155"/>
      <c r="E904" s="155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</row>
    <row r="905" ht="15.75" customHeight="1">
      <c r="D905" s="155"/>
      <c r="E905" s="155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</row>
    <row r="906" ht="15.75" customHeight="1">
      <c r="D906" s="155"/>
      <c r="E906" s="155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</row>
    <row r="907" ht="15.75" customHeight="1">
      <c r="D907" s="155"/>
      <c r="E907" s="155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</row>
    <row r="908" ht="15.75" customHeight="1">
      <c r="D908" s="155"/>
      <c r="E908" s="155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</row>
    <row r="909" ht="15.75" customHeight="1">
      <c r="D909" s="155"/>
      <c r="E909" s="155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</row>
    <row r="910" ht="15.75" customHeight="1">
      <c r="D910" s="155"/>
      <c r="E910" s="155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</row>
    <row r="911" ht="15.75" customHeight="1">
      <c r="D911" s="155"/>
      <c r="E911" s="155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</row>
    <row r="912" ht="15.75" customHeight="1">
      <c r="D912" s="155"/>
      <c r="E912" s="155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</row>
    <row r="913" ht="15.75" customHeight="1">
      <c r="D913" s="155"/>
      <c r="E913" s="155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</row>
    <row r="914" ht="15.75" customHeight="1">
      <c r="D914" s="155"/>
      <c r="E914" s="155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</row>
    <row r="915" ht="15.75" customHeight="1">
      <c r="D915" s="155"/>
      <c r="E915" s="155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</row>
    <row r="916" ht="15.75" customHeight="1">
      <c r="D916" s="155"/>
      <c r="E916" s="155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</row>
    <row r="917" ht="15.75" customHeight="1">
      <c r="D917" s="155"/>
      <c r="E917" s="155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</row>
    <row r="918" ht="15.75" customHeight="1">
      <c r="D918" s="155"/>
      <c r="E918" s="155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</row>
    <row r="919" ht="15.75" customHeight="1">
      <c r="D919" s="155"/>
      <c r="E919" s="155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</row>
    <row r="920" ht="15.75" customHeight="1">
      <c r="D920" s="155"/>
      <c r="E920" s="155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</row>
    <row r="921" ht="15.75" customHeight="1">
      <c r="D921" s="155"/>
      <c r="E921" s="155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</row>
    <row r="922" ht="15.75" customHeight="1">
      <c r="D922" s="155"/>
      <c r="E922" s="155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</row>
    <row r="923" ht="15.75" customHeight="1">
      <c r="D923" s="155"/>
      <c r="E923" s="155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</row>
    <row r="924" ht="15.75" customHeight="1">
      <c r="D924" s="155"/>
      <c r="E924" s="155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</row>
    <row r="925" ht="15.75" customHeight="1">
      <c r="D925" s="155"/>
      <c r="E925" s="155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</row>
    <row r="926" ht="15.75" customHeight="1">
      <c r="D926" s="155"/>
      <c r="E926" s="155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</row>
    <row r="927" ht="15.75" customHeight="1">
      <c r="D927" s="155"/>
      <c r="E927" s="155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</row>
    <row r="928" ht="15.75" customHeight="1">
      <c r="D928" s="155"/>
      <c r="E928" s="155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</row>
    <row r="929" ht="15.75" customHeight="1">
      <c r="D929" s="155"/>
      <c r="E929" s="155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</row>
    <row r="930" ht="15.75" customHeight="1">
      <c r="D930" s="155"/>
      <c r="E930" s="155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</row>
    <row r="931" ht="15.75" customHeight="1">
      <c r="D931" s="155"/>
      <c r="E931" s="155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</row>
    <row r="932" ht="15.75" customHeight="1">
      <c r="D932" s="155"/>
      <c r="E932" s="155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</row>
    <row r="933" ht="15.75" customHeight="1">
      <c r="D933" s="155"/>
      <c r="E933" s="155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</row>
    <row r="934" ht="15.75" customHeight="1">
      <c r="D934" s="155"/>
      <c r="E934" s="155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</row>
    <row r="935" ht="15.75" customHeight="1">
      <c r="D935" s="155"/>
      <c r="E935" s="155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</row>
    <row r="936" ht="15.75" customHeight="1">
      <c r="D936" s="155"/>
      <c r="E936" s="155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</row>
    <row r="937" ht="15.75" customHeight="1">
      <c r="D937" s="155"/>
      <c r="E937" s="155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</row>
    <row r="938" ht="15.75" customHeight="1">
      <c r="D938" s="155"/>
      <c r="E938" s="155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</row>
    <row r="939" ht="15.75" customHeight="1">
      <c r="D939" s="155"/>
      <c r="E939" s="155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</row>
    <row r="940" ht="15.75" customHeight="1">
      <c r="D940" s="155"/>
      <c r="E940" s="155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</row>
    <row r="941" ht="15.75" customHeight="1">
      <c r="D941" s="155"/>
      <c r="E941" s="155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</row>
    <row r="942" ht="15.75" customHeight="1">
      <c r="D942" s="155"/>
      <c r="E942" s="155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</row>
    <row r="943" ht="15.75" customHeight="1">
      <c r="D943" s="155"/>
      <c r="E943" s="155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</row>
    <row r="944" ht="15.75" customHeight="1">
      <c r="D944" s="155"/>
      <c r="E944" s="155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</row>
    <row r="945" ht="15.75" customHeight="1">
      <c r="D945" s="155"/>
      <c r="E945" s="155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</row>
    <row r="946" ht="15.75" customHeight="1">
      <c r="D946" s="155"/>
      <c r="E946" s="155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</row>
    <row r="947" ht="15.75" customHeight="1">
      <c r="D947" s="155"/>
      <c r="E947" s="155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</row>
    <row r="948" ht="15.75" customHeight="1">
      <c r="D948" s="155"/>
      <c r="E948" s="155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</row>
    <row r="949" ht="15.75" customHeight="1">
      <c r="D949" s="155"/>
      <c r="E949" s="155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</row>
    <row r="950" ht="15.75" customHeight="1">
      <c r="D950" s="155"/>
      <c r="E950" s="155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</row>
    <row r="951" ht="15.75" customHeight="1">
      <c r="D951" s="155"/>
      <c r="E951" s="155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</row>
    <row r="952" ht="15.75" customHeight="1">
      <c r="D952" s="155"/>
      <c r="E952" s="155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</row>
    <row r="953" ht="15.75" customHeight="1">
      <c r="D953" s="155"/>
      <c r="E953" s="155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</row>
    <row r="954" ht="15.75" customHeight="1">
      <c r="D954" s="155"/>
      <c r="E954" s="155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</row>
    <row r="955" ht="15.75" customHeight="1">
      <c r="D955" s="155"/>
      <c r="E955" s="155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</row>
    <row r="956" ht="15.75" customHeight="1">
      <c r="D956" s="155"/>
      <c r="E956" s="155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</row>
    <row r="957" ht="15.75" customHeight="1">
      <c r="D957" s="155"/>
      <c r="E957" s="155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</row>
    <row r="958" ht="15.75" customHeight="1">
      <c r="D958" s="155"/>
      <c r="E958" s="155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</row>
    <row r="959" ht="15.75" customHeight="1">
      <c r="D959" s="155"/>
      <c r="E959" s="155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</row>
    <row r="960" ht="15.75" customHeight="1">
      <c r="D960" s="155"/>
      <c r="E960" s="155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</row>
    <row r="961" ht="15.75" customHeight="1">
      <c r="D961" s="155"/>
      <c r="E961" s="155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</row>
    <row r="962" ht="15.75" customHeight="1">
      <c r="D962" s="155"/>
      <c r="E962" s="155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</row>
    <row r="963" ht="15.75" customHeight="1">
      <c r="D963" s="155"/>
      <c r="E963" s="155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</row>
    <row r="964" ht="15.75" customHeight="1">
      <c r="D964" s="155"/>
      <c r="E964" s="155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</row>
    <row r="965" ht="15.75" customHeight="1">
      <c r="D965" s="155"/>
      <c r="E965" s="155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</row>
    <row r="966" ht="15.75" customHeight="1">
      <c r="D966" s="155"/>
      <c r="E966" s="155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</row>
    <row r="967" ht="15.75" customHeight="1">
      <c r="D967" s="155"/>
      <c r="E967" s="155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</row>
    <row r="968" ht="15.75" customHeight="1">
      <c r="D968" s="155"/>
      <c r="E968" s="155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</row>
    <row r="969" ht="15.75" customHeight="1">
      <c r="D969" s="155"/>
      <c r="E969" s="155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</row>
    <row r="970" ht="15.75" customHeight="1">
      <c r="D970" s="155"/>
      <c r="E970" s="155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</row>
    <row r="971" ht="15.75" customHeight="1">
      <c r="D971" s="155"/>
      <c r="E971" s="155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</row>
    <row r="972" ht="15.75" customHeight="1">
      <c r="D972" s="155"/>
      <c r="E972" s="155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</row>
    <row r="973" ht="15.75" customHeight="1">
      <c r="D973" s="155"/>
      <c r="E973" s="155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</row>
    <row r="974" ht="15.75" customHeight="1">
      <c r="D974" s="155"/>
      <c r="E974" s="155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</row>
    <row r="975" ht="15.75" customHeight="1">
      <c r="D975" s="155"/>
      <c r="E975" s="155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</row>
    <row r="976" ht="15.75" customHeight="1">
      <c r="D976" s="155"/>
      <c r="E976" s="155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</row>
    <row r="977" ht="15.75" customHeight="1">
      <c r="D977" s="155"/>
      <c r="E977" s="155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</row>
    <row r="978" ht="15.75" customHeight="1">
      <c r="D978" s="155"/>
      <c r="E978" s="155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</row>
    <row r="979" ht="15.75" customHeight="1">
      <c r="D979" s="155"/>
      <c r="E979" s="155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</row>
    <row r="980" ht="15.75" customHeight="1">
      <c r="D980" s="155"/>
      <c r="E980" s="155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</row>
    <row r="981" ht="15.75" customHeight="1">
      <c r="D981" s="155"/>
      <c r="E981" s="155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</row>
    <row r="982" ht="15.75" customHeight="1">
      <c r="D982" s="155"/>
      <c r="E982" s="155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</row>
    <row r="983" ht="15.75" customHeight="1">
      <c r="D983" s="155"/>
      <c r="E983" s="155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</row>
    <row r="984" ht="15.75" customHeight="1">
      <c r="D984" s="155"/>
      <c r="E984" s="155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</row>
    <row r="985" ht="15.75" customHeight="1">
      <c r="D985" s="155"/>
      <c r="E985" s="155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</row>
    <row r="986" ht="15.75" customHeight="1">
      <c r="D986" s="155"/>
      <c r="E986" s="155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</row>
    <row r="987" ht="15.75" customHeight="1">
      <c r="D987" s="155"/>
      <c r="E987" s="155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</row>
    <row r="988" ht="15.75" customHeight="1">
      <c r="D988" s="155"/>
      <c r="E988" s="155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</row>
    <row r="989" ht="15.75" customHeight="1">
      <c r="D989" s="155"/>
      <c r="E989" s="155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</row>
    <row r="990" ht="15.75" customHeight="1">
      <c r="D990" s="155"/>
      <c r="E990" s="155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</row>
    <row r="991" ht="15.75" customHeight="1">
      <c r="D991" s="155"/>
      <c r="E991" s="155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</row>
    <row r="992" ht="15.75" customHeight="1">
      <c r="D992" s="155"/>
      <c r="E992" s="155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</row>
    <row r="993" ht="15.75" customHeight="1">
      <c r="D993" s="155"/>
      <c r="E993" s="155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</row>
    <row r="994" ht="15.75" customHeight="1">
      <c r="D994" s="155"/>
      <c r="E994" s="155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</row>
    <row r="995" ht="15.75" customHeight="1">
      <c r="D995" s="155"/>
      <c r="E995" s="155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</row>
  </sheetData>
  <mergeCells count="34">
    <mergeCell ref="U3:U4"/>
    <mergeCell ref="V3:V4"/>
    <mergeCell ref="W3:W4"/>
    <mergeCell ref="X3:X4"/>
    <mergeCell ref="Y3:Y4"/>
    <mergeCell ref="Z3:Z4"/>
    <mergeCell ref="A1:Y2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B123:C123"/>
    <mergeCell ref="B124:C124"/>
    <mergeCell ref="G3:G4"/>
    <mergeCell ref="H3:H4"/>
    <mergeCell ref="A15:C15"/>
    <mergeCell ref="A27:C27"/>
    <mergeCell ref="A47:C47"/>
    <mergeCell ref="A48:C48"/>
    <mergeCell ref="B119:C119"/>
  </mergeCells>
  <printOptions/>
  <pageMargins bottom="0.7480314960629921" footer="0.0" header="0.0" left="1.299212598425197" right="0.5118110236220472" top="0.7480314960629921"/>
  <pageSetup scale="9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11.78"/>
    <col customWidth="1" min="3" max="3" width="11.0"/>
    <col customWidth="1" min="4" max="4" width="11.33"/>
    <col customWidth="1" min="5" max="7" width="15.11"/>
    <col customWidth="1" min="8" max="8" width="16.11"/>
    <col customWidth="1" min="9" max="9" width="11.44"/>
    <col customWidth="1" min="10" max="10" width="11.11"/>
    <col customWidth="1" min="11" max="11" width="16.89"/>
    <col customWidth="1" min="12" max="12" width="20.67"/>
    <col customWidth="1" min="13" max="13" width="13.67"/>
    <col customWidth="1" min="14" max="14" width="8.56"/>
    <col customWidth="1" min="15" max="15" width="10.89"/>
    <col customWidth="1" min="16" max="16" width="14.22"/>
    <col customWidth="1" min="17" max="18" width="8.56"/>
    <col customWidth="1" min="19" max="19" width="14.33"/>
    <col customWidth="1" min="20" max="20" width="13.11"/>
    <col customWidth="1" min="21" max="83" width="8.56"/>
  </cols>
  <sheetData>
    <row r="1" ht="15.75" customHeight="1">
      <c r="A1" s="179" t="s">
        <v>63</v>
      </c>
    </row>
    <row r="2" ht="15.75" customHeight="1">
      <c r="A2" s="180" t="s">
        <v>64</v>
      </c>
      <c r="B2" s="181"/>
      <c r="E2" s="182"/>
      <c r="F2" s="183"/>
      <c r="G2" s="183"/>
      <c r="H2" s="182"/>
      <c r="I2" s="184"/>
      <c r="J2" s="185"/>
      <c r="K2" s="186" t="s">
        <v>65</v>
      </c>
    </row>
    <row r="3" ht="15.75" customHeight="1">
      <c r="A3" s="187" t="s">
        <v>2</v>
      </c>
      <c r="B3" s="187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  <c r="BA3" s="183"/>
      <c r="BB3" s="183"/>
      <c r="BC3" s="183"/>
      <c r="BD3" s="183"/>
      <c r="BE3" s="183"/>
      <c r="BF3" s="183"/>
      <c r="BG3" s="183"/>
      <c r="BH3" s="183"/>
      <c r="BI3" s="183"/>
      <c r="BJ3" s="183"/>
      <c r="BK3" s="183"/>
      <c r="BL3" s="183"/>
      <c r="BM3" s="183"/>
      <c r="BN3" s="183"/>
      <c r="BO3" s="183"/>
      <c r="BP3" s="183"/>
      <c r="BQ3" s="183"/>
      <c r="BR3" s="183"/>
      <c r="BS3" s="183"/>
      <c r="BT3" s="183"/>
      <c r="BU3" s="183"/>
      <c r="BV3" s="183"/>
      <c r="BW3" s="183"/>
      <c r="BX3" s="183"/>
      <c r="BY3" s="183"/>
      <c r="BZ3" s="183"/>
      <c r="CA3" s="183"/>
      <c r="CB3" s="183"/>
      <c r="CC3" s="183"/>
      <c r="CD3" s="183"/>
      <c r="CE3" s="183"/>
    </row>
    <row r="4" ht="15.75" customHeight="1">
      <c r="A4" s="192"/>
      <c r="B4" s="192"/>
      <c r="C4" s="193" t="s">
        <v>69</v>
      </c>
      <c r="D4" s="193" t="s">
        <v>70</v>
      </c>
      <c r="E4" s="194" t="s">
        <v>71</v>
      </c>
      <c r="F4" s="195" t="s">
        <v>69</v>
      </c>
      <c r="G4" s="195" t="s">
        <v>70</v>
      </c>
      <c r="H4" s="196" t="s">
        <v>71</v>
      </c>
      <c r="I4" s="197" t="s">
        <v>69</v>
      </c>
      <c r="J4" s="198" t="s">
        <v>70</v>
      </c>
      <c r="K4" s="198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  <c r="AA4" s="183"/>
      <c r="AB4" s="183"/>
      <c r="AC4" s="183"/>
      <c r="AD4" s="183"/>
      <c r="AE4" s="183"/>
      <c r="AF4" s="183"/>
      <c r="AG4" s="183"/>
      <c r="AH4" s="183"/>
      <c r="AI4" s="183"/>
      <c r="AJ4" s="183"/>
      <c r="AK4" s="183"/>
      <c r="AL4" s="183"/>
      <c r="AM4" s="183"/>
      <c r="AN4" s="183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A4" s="183"/>
      <c r="BB4" s="183"/>
      <c r="BC4" s="183"/>
      <c r="BD4" s="183"/>
      <c r="BE4" s="183"/>
      <c r="BF4" s="183"/>
      <c r="BG4" s="183"/>
      <c r="BH4" s="183"/>
      <c r="BI4" s="183"/>
      <c r="BJ4" s="183"/>
      <c r="BK4" s="183"/>
      <c r="BL4" s="183"/>
      <c r="BM4" s="183"/>
      <c r="BN4" s="183"/>
      <c r="BO4" s="183"/>
      <c r="BP4" s="183"/>
      <c r="BQ4" s="183"/>
      <c r="BR4" s="183"/>
      <c r="BS4" s="183"/>
      <c r="BT4" s="183"/>
      <c r="BU4" s="183"/>
      <c r="BV4" s="183"/>
      <c r="BW4" s="183"/>
      <c r="BX4" s="183"/>
      <c r="BY4" s="183"/>
      <c r="BZ4" s="183"/>
      <c r="CA4" s="183"/>
      <c r="CB4" s="183"/>
      <c r="CC4" s="183"/>
      <c r="CD4" s="183"/>
      <c r="CE4" s="183"/>
    </row>
    <row r="5" ht="15.75" customHeight="1">
      <c r="A5" s="199">
        <v>1.0</v>
      </c>
      <c r="B5" s="200">
        <v>45080.0</v>
      </c>
      <c r="C5" s="201">
        <f>SUM('Nagata Tuna'!D5:G5)</f>
        <v>2603</v>
      </c>
      <c r="D5" s="129">
        <f>'Nagata Tuna'!X5</f>
        <v>17058.89553</v>
      </c>
      <c r="E5" s="202">
        <f t="shared" ref="E5:E10" si="1">D5*C5</f>
        <v>44404305.06</v>
      </c>
      <c r="F5" s="203"/>
      <c r="G5" s="202"/>
      <c r="H5" s="202"/>
      <c r="I5" s="204">
        <f>C5</f>
        <v>2603</v>
      </c>
      <c r="J5" s="202">
        <f>'Nagata Tuna'!X5</f>
        <v>17058.89553</v>
      </c>
      <c r="K5" s="205">
        <f>I5*J5</f>
        <v>44404305.06</v>
      </c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A5" s="183"/>
      <c r="BB5" s="183"/>
      <c r="BC5" s="183"/>
      <c r="BD5" s="183"/>
      <c r="BE5" s="183"/>
      <c r="BF5" s="183"/>
      <c r="BG5" s="183"/>
      <c r="BH5" s="183"/>
      <c r="BI5" s="183"/>
      <c r="BJ5" s="183"/>
      <c r="BK5" s="183"/>
      <c r="BL5" s="183"/>
      <c r="BM5" s="183"/>
      <c r="BN5" s="183"/>
      <c r="BO5" s="183"/>
      <c r="BP5" s="183"/>
      <c r="BQ5" s="183"/>
      <c r="BR5" s="183"/>
      <c r="BS5" s="183"/>
      <c r="BT5" s="183"/>
      <c r="BU5" s="183"/>
      <c r="BV5" s="183"/>
      <c r="BW5" s="183"/>
      <c r="BX5" s="183"/>
      <c r="BY5" s="183"/>
      <c r="BZ5" s="183"/>
      <c r="CA5" s="183"/>
      <c r="CB5" s="183"/>
      <c r="CC5" s="183"/>
      <c r="CD5" s="183"/>
      <c r="CE5" s="183"/>
    </row>
    <row r="6" ht="15.75" customHeight="1">
      <c r="A6" s="199">
        <v>2.0</v>
      </c>
      <c r="B6" s="200">
        <v>45081.0</v>
      </c>
      <c r="C6" s="201">
        <f>SUM('Nagata Tuna'!D6:G6)</f>
        <v>4154</v>
      </c>
      <c r="D6" s="202">
        <f>'Nagata Tuna'!X6</f>
        <v>16368.92905</v>
      </c>
      <c r="E6" s="202">
        <f t="shared" si="1"/>
        <v>67996531.27</v>
      </c>
      <c r="F6" s="203"/>
      <c r="G6" s="202"/>
      <c r="H6" s="202"/>
      <c r="I6" s="204">
        <f t="shared" ref="I6:I10" si="2">I5+C6</f>
        <v>6757</v>
      </c>
      <c r="J6" s="204">
        <f t="shared" ref="J6:J10" si="3">K6/I6</f>
        <v>16634.72493</v>
      </c>
      <c r="K6" s="205">
        <f t="shared" ref="K6:K10" si="4">K5+E6</f>
        <v>112400836.3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  <c r="CD6" s="183"/>
      <c r="CE6" s="183"/>
    </row>
    <row r="7" ht="15.75" customHeight="1">
      <c r="A7" s="199">
        <v>3.0</v>
      </c>
      <c r="B7" s="200">
        <v>45087.0</v>
      </c>
      <c r="C7" s="201">
        <f>SUM('Nagata Tuna'!D7:G7)</f>
        <v>2420</v>
      </c>
      <c r="D7" s="202">
        <f>'Nagata Tuna'!X7</f>
        <v>16423.52996</v>
      </c>
      <c r="E7" s="202">
        <f t="shared" si="1"/>
        <v>39744942.5</v>
      </c>
      <c r="F7" s="203"/>
      <c r="G7" s="202"/>
      <c r="H7" s="202"/>
      <c r="I7" s="204">
        <f t="shared" si="2"/>
        <v>9177</v>
      </c>
      <c r="J7" s="204">
        <f t="shared" si="3"/>
        <v>16579.03224</v>
      </c>
      <c r="K7" s="205">
        <f t="shared" si="4"/>
        <v>152145778.8</v>
      </c>
      <c r="L7" s="206"/>
      <c r="M7" s="206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183"/>
      <c r="BW7" s="183"/>
      <c r="BX7" s="183"/>
      <c r="BY7" s="183"/>
      <c r="BZ7" s="183"/>
      <c r="CA7" s="183"/>
      <c r="CB7" s="183"/>
      <c r="CC7" s="183"/>
      <c r="CD7" s="183"/>
      <c r="CE7" s="183"/>
    </row>
    <row r="8" ht="15.75" customHeight="1">
      <c r="A8" s="199">
        <v>4.0</v>
      </c>
      <c r="B8" s="200">
        <v>45089.0</v>
      </c>
      <c r="C8" s="201">
        <f>SUM('Nagata Tuna'!D8:G8)</f>
        <v>4413</v>
      </c>
      <c r="D8" s="202">
        <f>'Nagata Tuna'!X8</f>
        <v>16366.95198</v>
      </c>
      <c r="E8" s="202">
        <f t="shared" si="1"/>
        <v>72227359.07</v>
      </c>
      <c r="F8" s="203"/>
      <c r="G8" s="202"/>
      <c r="H8" s="202"/>
      <c r="I8" s="204">
        <f t="shared" si="2"/>
        <v>13590</v>
      </c>
      <c r="J8" s="204">
        <f t="shared" si="3"/>
        <v>16510.16467</v>
      </c>
      <c r="K8" s="205">
        <f t="shared" si="4"/>
        <v>224373137.9</v>
      </c>
      <c r="L8" s="206"/>
      <c r="M8" s="206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183"/>
      <c r="BN8" s="183"/>
      <c r="BO8" s="183"/>
      <c r="BP8" s="183"/>
      <c r="BQ8" s="183"/>
      <c r="BR8" s="183"/>
      <c r="BS8" s="183"/>
      <c r="BT8" s="183"/>
      <c r="BU8" s="183"/>
      <c r="BV8" s="183"/>
      <c r="BW8" s="183"/>
      <c r="BX8" s="183"/>
      <c r="BY8" s="183"/>
      <c r="BZ8" s="183"/>
      <c r="CA8" s="183"/>
      <c r="CB8" s="183"/>
      <c r="CC8" s="183"/>
      <c r="CD8" s="183"/>
      <c r="CE8" s="183"/>
    </row>
    <row r="9" ht="15.75" customHeight="1">
      <c r="A9" s="199">
        <v>5.0</v>
      </c>
      <c r="B9" s="200">
        <v>45091.0</v>
      </c>
      <c r="C9" s="201">
        <f>SUM('Nagata Tuna'!D9:G9)</f>
        <v>4378</v>
      </c>
      <c r="D9" s="202">
        <f>'Nagata Tuna'!X9</f>
        <v>16381.91029</v>
      </c>
      <c r="E9" s="202">
        <f t="shared" si="1"/>
        <v>71720003.24</v>
      </c>
      <c r="F9" s="203"/>
      <c r="G9" s="202"/>
      <c r="H9" s="202"/>
      <c r="I9" s="204">
        <f t="shared" si="2"/>
        <v>17968</v>
      </c>
      <c r="J9" s="204">
        <f t="shared" si="3"/>
        <v>16478.9148</v>
      </c>
      <c r="K9" s="205">
        <f t="shared" si="4"/>
        <v>296093141.1</v>
      </c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83"/>
      <c r="BW9" s="183"/>
      <c r="BX9" s="183"/>
      <c r="BY9" s="183"/>
      <c r="BZ9" s="183"/>
      <c r="CA9" s="183"/>
      <c r="CB9" s="183"/>
      <c r="CC9" s="183"/>
      <c r="CD9" s="183"/>
      <c r="CE9" s="183"/>
    </row>
    <row r="10" ht="15.75" customHeight="1">
      <c r="A10" s="199">
        <v>6.0</v>
      </c>
      <c r="B10" s="200">
        <v>45092.0</v>
      </c>
      <c r="C10" s="201">
        <f>SUM('Nagata Tuna'!D10:G10)</f>
        <v>5844</v>
      </c>
      <c r="D10" s="202">
        <f>'Nagata Tuna'!X10</f>
        <v>16363.2192</v>
      </c>
      <c r="E10" s="202">
        <f t="shared" si="1"/>
        <v>95626652.99</v>
      </c>
      <c r="F10" s="203"/>
      <c r="G10" s="202"/>
      <c r="H10" s="202"/>
      <c r="I10" s="204">
        <f t="shared" si="2"/>
        <v>23812</v>
      </c>
      <c r="J10" s="204">
        <f t="shared" si="3"/>
        <v>16450.5205</v>
      </c>
      <c r="K10" s="205">
        <f t="shared" si="4"/>
        <v>391719794.1</v>
      </c>
      <c r="L10" s="207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83"/>
      <c r="BW10" s="183"/>
      <c r="BX10" s="183"/>
      <c r="BY10" s="183"/>
      <c r="BZ10" s="183"/>
      <c r="CA10" s="183"/>
      <c r="CB10" s="183"/>
      <c r="CC10" s="183"/>
      <c r="CD10" s="183"/>
      <c r="CE10" s="183" t="s">
        <v>72</v>
      </c>
    </row>
    <row r="11" ht="15.75" customHeight="1">
      <c r="A11" s="208">
        <v>7.0</v>
      </c>
      <c r="B11" s="209">
        <v>45097.0</v>
      </c>
      <c r="C11" s="210"/>
      <c r="D11" s="211"/>
      <c r="E11" s="212"/>
      <c r="F11" s="212">
        <v>20000.0</v>
      </c>
      <c r="G11" s="212">
        <f>J10</f>
        <v>16450.5205</v>
      </c>
      <c r="H11" s="212">
        <f>G11*F11</f>
        <v>329010410</v>
      </c>
      <c r="I11" s="213">
        <f>I10-F11</f>
        <v>3812</v>
      </c>
      <c r="J11" s="213">
        <f>J10</f>
        <v>16450.5205</v>
      </c>
      <c r="K11" s="214">
        <f>K10-H11</f>
        <v>62709384.14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183"/>
      <c r="BD11" s="183"/>
      <c r="BE11" s="183"/>
      <c r="BF11" s="183"/>
      <c r="BG11" s="183"/>
      <c r="BH11" s="183"/>
      <c r="BI11" s="183"/>
      <c r="BJ11" s="183"/>
      <c r="BK11" s="183"/>
      <c r="BL11" s="183"/>
      <c r="BM11" s="183"/>
      <c r="BN11" s="183"/>
      <c r="BO11" s="183"/>
      <c r="BP11" s="183"/>
      <c r="BQ11" s="183"/>
      <c r="BR11" s="183"/>
      <c r="BS11" s="183"/>
      <c r="BT11" s="183"/>
      <c r="BU11" s="183"/>
      <c r="BV11" s="183"/>
      <c r="BW11" s="183"/>
      <c r="BX11" s="183"/>
      <c r="BY11" s="183"/>
      <c r="BZ11" s="183"/>
      <c r="CA11" s="183"/>
      <c r="CB11" s="183"/>
      <c r="CC11" s="183"/>
      <c r="CD11" s="183"/>
      <c r="CE11" s="183"/>
    </row>
    <row r="12" ht="15.75" customHeight="1">
      <c r="A12" s="199">
        <v>8.0</v>
      </c>
      <c r="B12" s="200">
        <v>45098.0</v>
      </c>
      <c r="C12" s="201">
        <f>SUM('Nagata Tuna'!D11:G11)</f>
        <v>6450</v>
      </c>
      <c r="D12" s="202">
        <f>'Nagata Tuna'!X11</f>
        <v>16353.13009</v>
      </c>
      <c r="E12" s="202">
        <f t="shared" ref="E12:E16" si="5">D12*C12</f>
        <v>105477689.1</v>
      </c>
      <c r="F12" s="203"/>
      <c r="G12" s="202"/>
      <c r="H12" s="202"/>
      <c r="I12" s="204">
        <f t="shared" ref="I12:I16" si="6">I11+C12</f>
        <v>10262</v>
      </c>
      <c r="J12" s="204">
        <f t="shared" ref="J12:J16" si="7">K12/I12</f>
        <v>16389.30747</v>
      </c>
      <c r="K12" s="205">
        <f t="shared" ref="K12:K16" si="8">K11+E12</f>
        <v>168187073.2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  <c r="BF12" s="183"/>
      <c r="BG12" s="183"/>
      <c r="BH12" s="183"/>
      <c r="BI12" s="183"/>
      <c r="BJ12" s="183"/>
      <c r="BK12" s="183"/>
      <c r="BL12" s="183"/>
      <c r="BM12" s="183"/>
      <c r="BN12" s="183"/>
      <c r="BO12" s="183"/>
      <c r="BP12" s="183"/>
      <c r="BQ12" s="183"/>
      <c r="BR12" s="183"/>
      <c r="BS12" s="183"/>
      <c r="BT12" s="183"/>
      <c r="BU12" s="183"/>
      <c r="BV12" s="183"/>
      <c r="BW12" s="183"/>
      <c r="BX12" s="183"/>
      <c r="BY12" s="183"/>
      <c r="BZ12" s="183"/>
      <c r="CA12" s="183"/>
      <c r="CB12" s="183"/>
      <c r="CC12" s="183"/>
      <c r="CD12" s="183"/>
      <c r="CE12" s="183"/>
    </row>
    <row r="13" ht="15.75" customHeight="1">
      <c r="A13" s="199">
        <v>9.0</v>
      </c>
      <c r="B13" s="200">
        <v>45101.0</v>
      </c>
      <c r="C13" s="201">
        <f>SUM('Nagata Tuna'!D12:G12)</f>
        <v>7610</v>
      </c>
      <c r="D13" s="202">
        <f>'Nagata Tuna'!X12</f>
        <v>16369.7213</v>
      </c>
      <c r="E13" s="202">
        <f t="shared" si="5"/>
        <v>124573579.1</v>
      </c>
      <c r="F13" s="203"/>
      <c r="G13" s="202"/>
      <c r="H13" s="202"/>
      <c r="I13" s="204">
        <f t="shared" si="6"/>
        <v>17872</v>
      </c>
      <c r="J13" s="204">
        <f t="shared" si="7"/>
        <v>16380.96756</v>
      </c>
      <c r="K13" s="205">
        <f t="shared" si="8"/>
        <v>292760652.3</v>
      </c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83"/>
      <c r="BW13" s="183"/>
      <c r="BX13" s="183"/>
      <c r="BY13" s="183"/>
      <c r="BZ13" s="183"/>
      <c r="CA13" s="183"/>
      <c r="CB13" s="183"/>
      <c r="CC13" s="183"/>
      <c r="CD13" s="183"/>
      <c r="CE13" s="183"/>
    </row>
    <row r="14" ht="15.75" customHeight="1">
      <c r="A14" s="199">
        <v>10.0</v>
      </c>
      <c r="B14" s="200">
        <v>45102.0</v>
      </c>
      <c r="C14" s="201">
        <f>SUM('Nagata Tuna'!D13:G13)</f>
        <v>6027</v>
      </c>
      <c r="D14" s="202">
        <f>'Nagata Tuna'!X13</f>
        <v>15374.80205</v>
      </c>
      <c r="E14" s="202">
        <f t="shared" si="5"/>
        <v>92663931.96</v>
      </c>
      <c r="F14" s="203"/>
      <c r="G14" s="202"/>
      <c r="H14" s="202"/>
      <c r="I14" s="204">
        <f t="shared" si="6"/>
        <v>23899</v>
      </c>
      <c r="J14" s="204">
        <f t="shared" si="7"/>
        <v>16127.22642</v>
      </c>
      <c r="K14" s="205">
        <f t="shared" si="8"/>
        <v>385424584.3</v>
      </c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83"/>
      <c r="BW14" s="183"/>
      <c r="BX14" s="183"/>
      <c r="BY14" s="183"/>
      <c r="BZ14" s="183"/>
      <c r="CA14" s="183"/>
      <c r="CB14" s="183"/>
      <c r="CC14" s="183"/>
      <c r="CD14" s="183"/>
      <c r="CE14" s="183"/>
    </row>
    <row r="15" ht="15.75" customHeight="1">
      <c r="A15" s="199">
        <v>11.0</v>
      </c>
      <c r="B15" s="200">
        <v>45103.0</v>
      </c>
      <c r="C15" s="201">
        <f>SUM('Nagata Tuna'!D14:G14)</f>
        <v>2949</v>
      </c>
      <c r="D15" s="202">
        <f>'Nagata Tuna'!X14</f>
        <v>15382.71614</v>
      </c>
      <c r="E15" s="202">
        <f t="shared" si="5"/>
        <v>45363629.89</v>
      </c>
      <c r="F15" s="203"/>
      <c r="G15" s="202"/>
      <c r="H15" s="202"/>
      <c r="I15" s="204">
        <f t="shared" si="6"/>
        <v>26848</v>
      </c>
      <c r="J15" s="204">
        <f t="shared" si="7"/>
        <v>16045.44898</v>
      </c>
      <c r="K15" s="205">
        <f t="shared" si="8"/>
        <v>430788214.2</v>
      </c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83"/>
      <c r="BW15" s="183"/>
      <c r="BX15" s="183"/>
      <c r="BY15" s="183"/>
      <c r="BZ15" s="183"/>
      <c r="CA15" s="183"/>
      <c r="CB15" s="183"/>
      <c r="CC15" s="183"/>
      <c r="CD15" s="183"/>
      <c r="CE15" s="183"/>
    </row>
    <row r="16" ht="15.75" customHeight="1">
      <c r="A16" s="199">
        <v>12.0</v>
      </c>
      <c r="B16" s="200">
        <v>45109.0</v>
      </c>
      <c r="C16" s="201">
        <f>SUM('Nagata Tuna'!D17:G17)</f>
        <v>2219</v>
      </c>
      <c r="D16" s="202">
        <f>'Nagata Tuna'!X17</f>
        <v>16443.32136</v>
      </c>
      <c r="E16" s="202">
        <f t="shared" si="5"/>
        <v>36487730.09</v>
      </c>
      <c r="F16" s="203"/>
      <c r="G16" s="202"/>
      <c r="H16" s="202"/>
      <c r="I16" s="204">
        <f t="shared" si="6"/>
        <v>29067</v>
      </c>
      <c r="J16" s="204">
        <f t="shared" si="7"/>
        <v>16075.8229</v>
      </c>
      <c r="K16" s="205">
        <f t="shared" si="8"/>
        <v>467275944.3</v>
      </c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83"/>
      <c r="BW16" s="183"/>
      <c r="BX16" s="183"/>
      <c r="BY16" s="183"/>
      <c r="BZ16" s="183"/>
      <c r="CA16" s="183"/>
      <c r="CB16" s="183"/>
      <c r="CC16" s="183"/>
      <c r="CD16" s="183"/>
      <c r="CE16" s="183"/>
    </row>
    <row r="17" ht="15.75" customHeight="1">
      <c r="A17" s="208">
        <v>14.0</v>
      </c>
      <c r="B17" s="209">
        <v>45114.0</v>
      </c>
      <c r="C17" s="215"/>
      <c r="D17" s="211"/>
      <c r="E17" s="212"/>
      <c r="F17" s="212">
        <v>20000.0</v>
      </c>
      <c r="G17" s="212">
        <f>J16</f>
        <v>16075.8229</v>
      </c>
      <c r="H17" s="212">
        <f>F17*G17</f>
        <v>321516458</v>
      </c>
      <c r="I17" s="213">
        <f>I16-F17</f>
        <v>9067</v>
      </c>
      <c r="J17" s="213">
        <f>J16</f>
        <v>16075.8229</v>
      </c>
      <c r="K17" s="214">
        <f>K16-H17</f>
        <v>145759486.2</v>
      </c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83"/>
      <c r="BC17" s="183"/>
      <c r="BD17" s="183"/>
      <c r="BE17" s="183"/>
      <c r="BF17" s="183"/>
      <c r="BG17" s="183"/>
      <c r="BH17" s="183"/>
      <c r="BI17" s="183"/>
      <c r="BJ17" s="183"/>
      <c r="BK17" s="183"/>
      <c r="BL17" s="183"/>
      <c r="BM17" s="183"/>
      <c r="BN17" s="183"/>
      <c r="BO17" s="183"/>
      <c r="BP17" s="183"/>
      <c r="BQ17" s="183"/>
      <c r="BR17" s="183"/>
      <c r="BS17" s="183"/>
      <c r="BT17" s="183"/>
      <c r="BU17" s="183"/>
      <c r="BV17" s="183"/>
      <c r="BW17" s="183"/>
      <c r="BX17" s="183"/>
      <c r="BY17" s="183"/>
      <c r="BZ17" s="183"/>
      <c r="CA17" s="183"/>
      <c r="CB17" s="183"/>
      <c r="CC17" s="183"/>
      <c r="CD17" s="183"/>
      <c r="CE17" s="183"/>
    </row>
    <row r="18" ht="15.75" customHeight="1">
      <c r="A18" s="199">
        <v>15.0</v>
      </c>
      <c r="B18" s="200">
        <v>45122.0</v>
      </c>
      <c r="C18" s="201">
        <f>SUM('Nagata Tuna'!D18:G18)</f>
        <v>1120</v>
      </c>
      <c r="D18" s="202">
        <f>'Nagata Tuna'!X18</f>
        <v>16440.30571</v>
      </c>
      <c r="E18" s="202">
        <f t="shared" ref="E18:E23" si="9">D18*C18</f>
        <v>18413142.4</v>
      </c>
      <c r="F18" s="203"/>
      <c r="G18" s="202"/>
      <c r="H18" s="202"/>
      <c r="I18" s="204">
        <f t="shared" ref="I18:I23" si="10">I17+C18</f>
        <v>10187</v>
      </c>
      <c r="J18" s="204">
        <f t="shared" ref="J18:J23" si="11">K18/I18</f>
        <v>16115.89562</v>
      </c>
      <c r="K18" s="205">
        <f t="shared" ref="K18:K23" si="12">K17+E18</f>
        <v>164172628.6</v>
      </c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3"/>
      <c r="BN18" s="183"/>
      <c r="BO18" s="183"/>
      <c r="BP18" s="183"/>
      <c r="BQ18" s="183"/>
      <c r="BR18" s="183"/>
      <c r="BS18" s="183"/>
      <c r="BT18" s="183"/>
      <c r="BU18" s="183"/>
      <c r="BV18" s="183"/>
      <c r="BW18" s="183"/>
      <c r="BX18" s="183"/>
      <c r="BY18" s="183"/>
      <c r="BZ18" s="183"/>
      <c r="CA18" s="183"/>
      <c r="CB18" s="183"/>
      <c r="CC18" s="183"/>
      <c r="CD18" s="183"/>
      <c r="CE18" s="183"/>
    </row>
    <row r="19" ht="15.75" customHeight="1">
      <c r="A19" s="199">
        <v>16.0</v>
      </c>
      <c r="B19" s="200">
        <v>45123.0</v>
      </c>
      <c r="C19" s="201">
        <f>SUM('Nagata Tuna'!D19:G19)</f>
        <v>3033</v>
      </c>
      <c r="D19" s="202">
        <f>'Nagata Tuna'!X19</f>
        <v>16359.7839</v>
      </c>
      <c r="E19" s="202">
        <f t="shared" si="9"/>
        <v>49619224.56</v>
      </c>
      <c r="F19" s="203"/>
      <c r="G19" s="202"/>
      <c r="H19" s="202"/>
      <c r="I19" s="204">
        <f t="shared" si="10"/>
        <v>13220</v>
      </c>
      <c r="J19" s="204">
        <f t="shared" si="11"/>
        <v>16171.84971</v>
      </c>
      <c r="K19" s="205">
        <f t="shared" si="12"/>
        <v>213791853.2</v>
      </c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3"/>
      <c r="BN19" s="183"/>
      <c r="BO19" s="183"/>
      <c r="BP19" s="183"/>
      <c r="BQ19" s="183"/>
      <c r="BR19" s="183"/>
      <c r="BS19" s="183"/>
      <c r="BT19" s="183"/>
      <c r="BU19" s="183"/>
      <c r="BV19" s="183"/>
      <c r="BW19" s="183"/>
      <c r="BX19" s="183"/>
      <c r="BY19" s="183"/>
      <c r="BZ19" s="183"/>
      <c r="CA19" s="183"/>
      <c r="CB19" s="183"/>
      <c r="CC19" s="183"/>
      <c r="CD19" s="183"/>
      <c r="CE19" s="183"/>
    </row>
    <row r="20" ht="15.75" customHeight="1">
      <c r="A20" s="199">
        <v>17.0</v>
      </c>
      <c r="B20" s="200">
        <v>45124.0</v>
      </c>
      <c r="C20" s="201">
        <f>SUM('Nagata Tuna'!D20:G20)</f>
        <v>4592</v>
      </c>
      <c r="D20" s="202">
        <f>'Nagata Tuna'!X20</f>
        <v>16132.26159</v>
      </c>
      <c r="E20" s="202">
        <f t="shared" si="9"/>
        <v>74079345.21</v>
      </c>
      <c r="F20" s="203"/>
      <c r="G20" s="202"/>
      <c r="H20" s="202"/>
      <c r="I20" s="204">
        <f t="shared" si="10"/>
        <v>17812</v>
      </c>
      <c r="J20" s="204">
        <f t="shared" si="11"/>
        <v>16161.64375</v>
      </c>
      <c r="K20" s="205">
        <f t="shared" si="12"/>
        <v>287871198.4</v>
      </c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3"/>
      <c r="BO20" s="183"/>
      <c r="BP20" s="183"/>
      <c r="BQ20" s="183"/>
      <c r="BR20" s="183"/>
      <c r="BS20" s="183"/>
      <c r="BT20" s="183"/>
      <c r="BU20" s="183"/>
      <c r="BV20" s="183"/>
      <c r="BW20" s="183"/>
      <c r="BX20" s="183"/>
      <c r="BY20" s="183"/>
      <c r="BZ20" s="183"/>
      <c r="CA20" s="183"/>
      <c r="CB20" s="183"/>
      <c r="CC20" s="183"/>
      <c r="CD20" s="183"/>
      <c r="CE20" s="183"/>
    </row>
    <row r="21" ht="15.75" customHeight="1">
      <c r="A21" s="199">
        <v>19.0</v>
      </c>
      <c r="B21" s="200">
        <v>45125.0</v>
      </c>
      <c r="C21" s="201">
        <f>SUM('Nagata Tuna'!D21:G21)</f>
        <v>6023</v>
      </c>
      <c r="D21" s="202">
        <f>'Nagata Tuna'!X21</f>
        <v>16377.97751</v>
      </c>
      <c r="E21" s="202">
        <f t="shared" si="9"/>
        <v>98644558.56</v>
      </c>
      <c r="F21" s="203"/>
      <c r="G21" s="202"/>
      <c r="H21" s="202"/>
      <c r="I21" s="204">
        <f t="shared" si="10"/>
        <v>23835</v>
      </c>
      <c r="J21" s="204">
        <f t="shared" si="11"/>
        <v>16216.31034</v>
      </c>
      <c r="K21" s="205">
        <f t="shared" si="12"/>
        <v>386515757</v>
      </c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  <c r="CD21" s="183"/>
      <c r="CE21" s="183"/>
    </row>
    <row r="22" ht="15.75" customHeight="1">
      <c r="A22" s="199">
        <v>21.0</v>
      </c>
      <c r="B22" s="200">
        <v>45126.0</v>
      </c>
      <c r="C22" s="201">
        <f>SUM('Nagata Tuna'!D22:G22)</f>
        <v>3070</v>
      </c>
      <c r="D22" s="202">
        <f>'Nagata Tuna'!X22</f>
        <v>16363.39785</v>
      </c>
      <c r="E22" s="202">
        <f t="shared" si="9"/>
        <v>50235631.4</v>
      </c>
      <c r="F22" s="203"/>
      <c r="G22" s="202"/>
      <c r="H22" s="202"/>
      <c r="I22" s="204">
        <f t="shared" si="10"/>
        <v>26905</v>
      </c>
      <c r="J22" s="204">
        <f t="shared" si="11"/>
        <v>16233.09379</v>
      </c>
      <c r="K22" s="203">
        <f t="shared" si="12"/>
        <v>436751388.4</v>
      </c>
    </row>
    <row r="23" ht="15.75" customHeight="1">
      <c r="A23" s="199">
        <v>22.0</v>
      </c>
      <c r="B23" s="200">
        <v>45127.0</v>
      </c>
      <c r="C23" s="201">
        <f>SUM('Nagata Tuna'!D23:G23)</f>
        <v>3128</v>
      </c>
      <c r="D23" s="202">
        <f>'Nagata Tuna'!X23</f>
        <v>16387.20504</v>
      </c>
      <c r="E23" s="202">
        <f t="shared" si="9"/>
        <v>51259177.38</v>
      </c>
      <c r="F23" s="203"/>
      <c r="G23" s="202"/>
      <c r="H23" s="202"/>
      <c r="I23" s="204">
        <f t="shared" si="10"/>
        <v>30033</v>
      </c>
      <c r="J23" s="204">
        <f t="shared" si="11"/>
        <v>16249.1448</v>
      </c>
      <c r="K23" s="203">
        <f t="shared" si="12"/>
        <v>488010565.7</v>
      </c>
      <c r="N23" s="216"/>
      <c r="O23" s="124"/>
      <c r="P23" s="124"/>
      <c r="R23" s="216"/>
      <c r="S23" s="124"/>
      <c r="T23" s="124"/>
    </row>
    <row r="24" ht="15.75" customHeight="1">
      <c r="A24" s="208">
        <v>23.0</v>
      </c>
      <c r="B24" s="209">
        <v>45128.0</v>
      </c>
      <c r="C24" s="217"/>
      <c r="D24" s="211"/>
      <c r="E24" s="212"/>
      <c r="F24" s="212">
        <v>20000.0</v>
      </c>
      <c r="G24" s="212">
        <f t="shared" ref="G24:G25" si="13">J23</f>
        <v>16249.1448</v>
      </c>
      <c r="H24" s="212">
        <f t="shared" ref="H24:H25" si="14">G24*F24</f>
        <v>324982896</v>
      </c>
      <c r="I24" s="213">
        <f t="shared" ref="I24:I25" si="15">I23-F24</f>
        <v>10033</v>
      </c>
      <c r="J24" s="213">
        <f t="shared" ref="J24:J25" si="16">J23</f>
        <v>16249.1448</v>
      </c>
      <c r="K24" s="211">
        <f t="shared" ref="K24:K25" si="17">K23-H24</f>
        <v>163027669.8</v>
      </c>
      <c r="L24" s="218"/>
      <c r="M24" s="218"/>
      <c r="N24" s="219"/>
      <c r="O24" s="220"/>
      <c r="P24" s="220"/>
      <c r="Q24" s="218"/>
      <c r="R24" s="221"/>
      <c r="S24" s="220"/>
      <c r="T24" s="220"/>
      <c r="U24" s="218"/>
      <c r="V24" s="218"/>
      <c r="W24" s="218"/>
      <c r="X24" s="218"/>
      <c r="Y24" s="218"/>
      <c r="Z24" s="218"/>
      <c r="AA24" s="218"/>
      <c r="AB24" s="218"/>
      <c r="AC24" s="218"/>
      <c r="AD24" s="218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8"/>
      <c r="AX24" s="218"/>
      <c r="AY24" s="218"/>
      <c r="AZ24" s="218"/>
      <c r="BA24" s="218"/>
      <c r="BB24" s="218"/>
      <c r="BC24" s="218"/>
      <c r="BD24" s="218"/>
      <c r="BE24" s="218"/>
      <c r="BF24" s="218"/>
      <c r="BG24" s="218"/>
      <c r="BH24" s="218"/>
      <c r="BI24" s="218"/>
      <c r="BJ24" s="218"/>
      <c r="BK24" s="218"/>
      <c r="BL24" s="218"/>
      <c r="BM24" s="218"/>
      <c r="BN24" s="218"/>
      <c r="BO24" s="218"/>
      <c r="BP24" s="218"/>
      <c r="BQ24" s="218"/>
      <c r="BR24" s="218"/>
      <c r="BS24" s="218"/>
      <c r="BT24" s="218"/>
      <c r="BU24" s="218"/>
      <c r="BV24" s="218"/>
      <c r="BW24" s="218"/>
      <c r="BX24" s="218"/>
      <c r="BY24" s="218"/>
      <c r="BZ24" s="218"/>
      <c r="CA24" s="218"/>
      <c r="CB24" s="218"/>
      <c r="CC24" s="218"/>
      <c r="CD24" s="218"/>
      <c r="CE24" s="218"/>
    </row>
    <row r="25" ht="15.75" customHeight="1">
      <c r="A25" s="208">
        <v>25.0</v>
      </c>
      <c r="B25" s="209">
        <v>45131.0</v>
      </c>
      <c r="C25" s="217"/>
      <c r="D25" s="211"/>
      <c r="E25" s="212"/>
      <c r="F25" s="212">
        <v>1500.0</v>
      </c>
      <c r="G25" s="212">
        <f t="shared" si="13"/>
        <v>16249.1448</v>
      </c>
      <c r="H25" s="212">
        <f t="shared" si="14"/>
        <v>24373717.2</v>
      </c>
      <c r="I25" s="213">
        <f t="shared" si="15"/>
        <v>8533</v>
      </c>
      <c r="J25" s="213">
        <f t="shared" si="16"/>
        <v>16249.1448</v>
      </c>
      <c r="K25" s="211">
        <f t="shared" si="17"/>
        <v>138653952.6</v>
      </c>
      <c r="L25" s="218"/>
      <c r="M25" s="218"/>
      <c r="N25" s="219"/>
      <c r="O25" s="220"/>
      <c r="P25" s="220"/>
      <c r="Q25" s="218"/>
      <c r="R25" s="221"/>
      <c r="S25" s="220"/>
      <c r="T25" s="220"/>
      <c r="U25" s="218"/>
      <c r="V25" s="218"/>
      <c r="W25" s="218"/>
      <c r="X25" s="218"/>
      <c r="Y25" s="218"/>
      <c r="Z25" s="218"/>
      <c r="AA25" s="218"/>
      <c r="AB25" s="218"/>
      <c r="AC25" s="218"/>
      <c r="AD25" s="218"/>
      <c r="AE25" s="218"/>
      <c r="AF25" s="218"/>
      <c r="AG25" s="218"/>
      <c r="AH25" s="218"/>
      <c r="AI25" s="218"/>
      <c r="AJ25" s="218"/>
      <c r="AK25" s="218"/>
      <c r="AL25" s="218"/>
      <c r="AM25" s="218"/>
      <c r="AN25" s="218"/>
      <c r="AO25" s="218"/>
      <c r="AP25" s="218"/>
      <c r="AQ25" s="218"/>
      <c r="AR25" s="218"/>
      <c r="AS25" s="218"/>
      <c r="AT25" s="218"/>
      <c r="AU25" s="218"/>
      <c r="AV25" s="218"/>
      <c r="AW25" s="218"/>
      <c r="AX25" s="218"/>
      <c r="AY25" s="218"/>
      <c r="AZ25" s="218"/>
      <c r="BA25" s="218"/>
      <c r="BB25" s="218"/>
      <c r="BC25" s="218"/>
      <c r="BD25" s="218"/>
      <c r="BE25" s="218"/>
      <c r="BF25" s="218"/>
      <c r="BG25" s="218"/>
      <c r="BH25" s="218"/>
      <c r="BI25" s="218"/>
      <c r="BJ25" s="218"/>
      <c r="BK25" s="218"/>
      <c r="BL25" s="218"/>
      <c r="BM25" s="218"/>
      <c r="BN25" s="218"/>
      <c r="BO25" s="218"/>
      <c r="BP25" s="218"/>
      <c r="BQ25" s="218"/>
      <c r="BR25" s="218"/>
      <c r="BS25" s="218"/>
      <c r="BT25" s="218"/>
      <c r="BU25" s="218"/>
      <c r="BV25" s="218"/>
      <c r="BW25" s="218"/>
      <c r="BX25" s="218"/>
      <c r="BY25" s="218"/>
      <c r="BZ25" s="218"/>
      <c r="CA25" s="218"/>
      <c r="CB25" s="218"/>
      <c r="CC25" s="218"/>
      <c r="CD25" s="218"/>
      <c r="CE25" s="218"/>
    </row>
    <row r="26" ht="15.75" customHeight="1">
      <c r="A26" s="199">
        <v>26.0</v>
      </c>
      <c r="B26" s="200">
        <v>45133.0</v>
      </c>
      <c r="C26" s="222">
        <f>SUM('Nagata Tuna'!D24:G24)</f>
        <v>1660</v>
      </c>
      <c r="D26" s="202">
        <f>'Nagata Tuna'!X24</f>
        <v>16387.55846</v>
      </c>
      <c r="E26" s="202">
        <f t="shared" ref="E26:E52" si="18">D26*C26</f>
        <v>27203347.05</v>
      </c>
      <c r="F26" s="203"/>
      <c r="G26" s="202"/>
      <c r="H26" s="202"/>
      <c r="I26" s="204">
        <f t="shared" ref="I26:I29" si="19">I25+C26</f>
        <v>10193</v>
      </c>
      <c r="J26" s="204">
        <f t="shared" ref="J26:J29" si="20">K26/I26</f>
        <v>16271.68641</v>
      </c>
      <c r="K26" s="203">
        <f t="shared" ref="K26:K29" si="21">K25+E26</f>
        <v>165857299.6</v>
      </c>
      <c r="N26" s="223"/>
      <c r="O26" s="124"/>
      <c r="P26" s="124"/>
      <c r="R26" s="216"/>
      <c r="S26" s="124"/>
      <c r="T26" s="124"/>
    </row>
    <row r="27" ht="15.75" customHeight="1">
      <c r="A27" s="199">
        <v>27.0</v>
      </c>
      <c r="B27" s="200">
        <v>45137.0</v>
      </c>
      <c r="C27" s="222">
        <f>SUM('Nagata Tuna'!D25:G25)</f>
        <v>3969</v>
      </c>
      <c r="D27" s="202">
        <f>'Nagata Tuna'!X25</f>
        <v>16403.37988</v>
      </c>
      <c r="E27" s="202">
        <f t="shared" si="18"/>
        <v>65105014.75</v>
      </c>
      <c r="F27" s="203"/>
      <c r="G27" s="202"/>
      <c r="H27" s="202"/>
      <c r="I27" s="204">
        <f t="shared" si="19"/>
        <v>14162</v>
      </c>
      <c r="J27" s="204">
        <f t="shared" si="20"/>
        <v>16308.59443</v>
      </c>
      <c r="K27" s="203">
        <f t="shared" si="21"/>
        <v>230962314.4</v>
      </c>
      <c r="L27" s="224"/>
    </row>
    <row r="28" ht="15.75" customHeight="1">
      <c r="A28" s="199">
        <v>28.0</v>
      </c>
      <c r="B28" s="200">
        <v>45138.0</v>
      </c>
      <c r="C28" s="222">
        <f>SUM('Nagata Tuna'!D26:G26)</f>
        <v>6090</v>
      </c>
      <c r="D28" s="202">
        <f>'Nagata Tuna'!X26</f>
        <v>16366.15688</v>
      </c>
      <c r="E28" s="202">
        <f t="shared" si="18"/>
        <v>99669895.37</v>
      </c>
      <c r="F28" s="203"/>
      <c r="G28" s="202"/>
      <c r="H28" s="202"/>
      <c r="I28" s="204">
        <f t="shared" si="19"/>
        <v>20252</v>
      </c>
      <c r="J28" s="204">
        <f t="shared" si="20"/>
        <v>16325.9041</v>
      </c>
      <c r="K28" s="203">
        <f t="shared" si="21"/>
        <v>330632209.7</v>
      </c>
      <c r="L28" s="224">
        <f>H30+'Persediaan &amp; HPP Cakalang PP'!H26</f>
        <v>313330811.9</v>
      </c>
    </row>
    <row r="29" ht="15.75" customHeight="1">
      <c r="A29" s="199">
        <v>29.0</v>
      </c>
      <c r="B29" s="200">
        <v>45139.0</v>
      </c>
      <c r="C29" s="222">
        <f>SUM('Nagata Tuna'!D29:G29)</f>
        <v>2066</v>
      </c>
      <c r="D29" s="202">
        <f>'Nagata Tuna'!X29</f>
        <v>14464.09484</v>
      </c>
      <c r="E29" s="202">
        <f t="shared" si="18"/>
        <v>29882819.94</v>
      </c>
      <c r="F29" s="203"/>
      <c r="G29" s="202"/>
      <c r="H29" s="202"/>
      <c r="I29" s="204">
        <f t="shared" si="19"/>
        <v>22318</v>
      </c>
      <c r="J29" s="204">
        <f t="shared" si="20"/>
        <v>16153.55452</v>
      </c>
      <c r="K29" s="203">
        <f t="shared" si="21"/>
        <v>360515029.7</v>
      </c>
    </row>
    <row r="30" ht="15.75" customHeight="1">
      <c r="A30" s="208">
        <v>30.0</v>
      </c>
      <c r="B30" s="209">
        <v>45142.0</v>
      </c>
      <c r="C30" s="217"/>
      <c r="D30" s="225"/>
      <c r="E30" s="212">
        <f t="shared" si="18"/>
        <v>0</v>
      </c>
      <c r="F30" s="212">
        <v>18310.0</v>
      </c>
      <c r="G30" s="212">
        <f>J29</f>
        <v>16153.55452</v>
      </c>
      <c r="H30" s="212">
        <f>F30*G30</f>
        <v>295771583.2</v>
      </c>
      <c r="I30" s="213">
        <f>I29-F30</f>
        <v>4008</v>
      </c>
      <c r="J30" s="213">
        <f>J29</f>
        <v>16153.55452</v>
      </c>
      <c r="K30" s="211">
        <f>K29-H30</f>
        <v>64743446.5</v>
      </c>
      <c r="L30" s="218"/>
      <c r="M30" s="226">
        <f>H30+'Persediaan &amp; HPP Cakalang PP'!H26</f>
        <v>313330811.9</v>
      </c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8"/>
      <c r="AJ30" s="218"/>
      <c r="AK30" s="218"/>
      <c r="AL30" s="218"/>
      <c r="AM30" s="218"/>
      <c r="AN30" s="218"/>
      <c r="AO30" s="218"/>
      <c r="AP30" s="218"/>
      <c r="AQ30" s="218"/>
      <c r="AR30" s="218"/>
      <c r="AS30" s="218"/>
      <c r="AT30" s="218"/>
      <c r="AU30" s="218"/>
      <c r="AV30" s="218"/>
      <c r="AW30" s="218"/>
      <c r="AX30" s="218"/>
      <c r="AY30" s="218"/>
      <c r="AZ30" s="218"/>
      <c r="BA30" s="218"/>
      <c r="BB30" s="218"/>
      <c r="BC30" s="218"/>
      <c r="BD30" s="218"/>
      <c r="BE30" s="218"/>
      <c r="BF30" s="218"/>
      <c r="BG30" s="218"/>
      <c r="BH30" s="218"/>
      <c r="BI30" s="218"/>
      <c r="BJ30" s="218"/>
      <c r="BK30" s="218"/>
      <c r="BL30" s="218"/>
      <c r="BM30" s="218"/>
      <c r="BN30" s="218"/>
      <c r="BO30" s="218"/>
      <c r="BP30" s="218"/>
      <c r="BQ30" s="218"/>
      <c r="BR30" s="218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</row>
    <row r="31" ht="15.75" customHeight="1">
      <c r="A31" s="199">
        <v>31.0</v>
      </c>
      <c r="B31" s="200">
        <v>45145.0</v>
      </c>
      <c r="C31" s="222">
        <f>SUM('Nagata Tuna'!D30:G30)</f>
        <v>798</v>
      </c>
      <c r="D31" s="203">
        <f>'Nagata Tuna'!X30</f>
        <v>16655.23836</v>
      </c>
      <c r="E31" s="202">
        <f t="shared" si="18"/>
        <v>13290880.21</v>
      </c>
      <c r="F31" s="203"/>
      <c r="G31" s="202"/>
      <c r="H31" s="202"/>
      <c r="I31" s="204">
        <f t="shared" ref="I31:I37" si="22">I30+C31</f>
        <v>4806</v>
      </c>
      <c r="J31" s="204">
        <f t="shared" ref="J31:J106" si="23">K31/I31</f>
        <v>16236.85533</v>
      </c>
      <c r="K31" s="203">
        <f t="shared" ref="K31:K37" si="24">K30+E31</f>
        <v>78034326.71</v>
      </c>
      <c r="M31" s="124"/>
    </row>
    <row r="32" ht="15.75" customHeight="1">
      <c r="A32" s="199">
        <v>32.0</v>
      </c>
      <c r="B32" s="200">
        <v>45146.0</v>
      </c>
      <c r="C32" s="222">
        <f>SUM('Nagata Tuna'!D31:G31)</f>
        <v>747</v>
      </c>
      <c r="D32" s="203">
        <f>'Nagata Tuna'!X31</f>
        <v>16597.79223</v>
      </c>
      <c r="E32" s="202">
        <f t="shared" si="18"/>
        <v>12398550.8</v>
      </c>
      <c r="F32" s="203"/>
      <c r="G32" s="202"/>
      <c r="H32" s="202"/>
      <c r="I32" s="204">
        <f t="shared" si="22"/>
        <v>5553</v>
      </c>
      <c r="J32" s="204">
        <f t="shared" si="23"/>
        <v>16285.40924</v>
      </c>
      <c r="K32" s="203">
        <f t="shared" si="24"/>
        <v>90432877.51</v>
      </c>
      <c r="L32" s="124">
        <f>F30*12777</f>
        <v>233946870</v>
      </c>
      <c r="M32" s="124"/>
    </row>
    <row r="33" ht="15.75" customHeight="1">
      <c r="A33" s="199">
        <v>33.0</v>
      </c>
      <c r="B33" s="200">
        <v>45147.0</v>
      </c>
      <c r="C33" s="222">
        <f>SUM('Nagata Tuna'!D32:G32)</f>
        <v>1021</v>
      </c>
      <c r="D33" s="203">
        <f>'Nagata Tuna'!X32</f>
        <v>16485.94823</v>
      </c>
      <c r="E33" s="202">
        <f t="shared" si="18"/>
        <v>16832153.14</v>
      </c>
      <c r="F33" s="203"/>
      <c r="G33" s="202"/>
      <c r="H33" s="202"/>
      <c r="I33" s="204">
        <f t="shared" si="22"/>
        <v>6574</v>
      </c>
      <c r="J33" s="204">
        <f t="shared" si="23"/>
        <v>16316.55471</v>
      </c>
      <c r="K33" s="203">
        <f t="shared" si="24"/>
        <v>107265030.7</v>
      </c>
      <c r="L33" s="124">
        <f>L32+'Persediaan &amp; HPP Cakalang PP'!M28</f>
        <v>245776870</v>
      </c>
    </row>
    <row r="34" ht="15.75" customHeight="1">
      <c r="A34" s="166">
        <v>34.0</v>
      </c>
      <c r="B34" s="200">
        <v>45150.0</v>
      </c>
      <c r="C34" s="222">
        <f>SUM('Nagata Tuna'!D33:G33)</f>
        <v>3941</v>
      </c>
      <c r="D34" s="202">
        <f>'Nagata Tuna'!X33</f>
        <v>15916.75248</v>
      </c>
      <c r="E34" s="202">
        <f t="shared" si="18"/>
        <v>62727921.54</v>
      </c>
      <c r="F34" s="227"/>
      <c r="G34" s="202"/>
      <c r="H34" s="202"/>
      <c r="I34" s="204">
        <f t="shared" si="22"/>
        <v>10515</v>
      </c>
      <c r="J34" s="204">
        <f t="shared" si="23"/>
        <v>16166.70967</v>
      </c>
      <c r="K34" s="203">
        <f t="shared" si="24"/>
        <v>169992952.2</v>
      </c>
    </row>
    <row r="35" ht="15.75" customHeight="1">
      <c r="A35" s="166">
        <v>35.0</v>
      </c>
      <c r="B35" s="200">
        <v>45151.0</v>
      </c>
      <c r="C35" s="222">
        <f>SUM('Nagata Tuna'!D34:G34)</f>
        <v>2530</v>
      </c>
      <c r="D35" s="202">
        <f>'Nagata Tuna'!X34</f>
        <v>16436.74438</v>
      </c>
      <c r="E35" s="202">
        <f t="shared" si="18"/>
        <v>41584963.29</v>
      </c>
      <c r="F35" s="227"/>
      <c r="G35" s="202"/>
      <c r="H35" s="202"/>
      <c r="I35" s="204">
        <f t="shared" si="22"/>
        <v>13045</v>
      </c>
      <c r="J35" s="204">
        <f t="shared" si="23"/>
        <v>16219.08129</v>
      </c>
      <c r="K35" s="203">
        <f t="shared" si="24"/>
        <v>211577915.5</v>
      </c>
    </row>
    <row r="36" ht="15.75" customHeight="1">
      <c r="A36" s="166">
        <v>36.0</v>
      </c>
      <c r="B36" s="200">
        <v>45152.0</v>
      </c>
      <c r="C36" s="222">
        <f>SUM('Nagata Tuna'!D35:G35)</f>
        <v>4316</v>
      </c>
      <c r="D36" s="202">
        <f>'Nagata Tuna'!X35</f>
        <v>16369.47398</v>
      </c>
      <c r="E36" s="202">
        <f t="shared" si="18"/>
        <v>70650649.68</v>
      </c>
      <c r="F36" s="227"/>
      <c r="G36" s="202"/>
      <c r="H36" s="202"/>
      <c r="I36" s="204">
        <f t="shared" si="22"/>
        <v>17361</v>
      </c>
      <c r="J36" s="204">
        <f t="shared" si="23"/>
        <v>16256.46939</v>
      </c>
      <c r="K36" s="203">
        <f t="shared" si="24"/>
        <v>282228565.2</v>
      </c>
    </row>
    <row r="37" ht="15.75" customHeight="1">
      <c r="A37" s="166">
        <v>37.0</v>
      </c>
      <c r="B37" s="200">
        <v>45153.0</v>
      </c>
      <c r="C37" s="222">
        <f>SUM('Nagata Tuna'!D36:G36)</f>
        <v>4041</v>
      </c>
      <c r="D37" s="202">
        <f>'Nagata Tuna'!X36</f>
        <v>16391.10303</v>
      </c>
      <c r="E37" s="202">
        <f t="shared" si="18"/>
        <v>66236447.33</v>
      </c>
      <c r="F37" s="227"/>
      <c r="G37" s="202"/>
      <c r="H37" s="202"/>
      <c r="I37" s="204">
        <f t="shared" si="22"/>
        <v>21402</v>
      </c>
      <c r="J37" s="204">
        <f t="shared" si="23"/>
        <v>16281.89013</v>
      </c>
      <c r="K37" s="203">
        <f t="shared" si="24"/>
        <v>348465012.5</v>
      </c>
    </row>
    <row r="38" ht="15.75" customHeight="1">
      <c r="A38" s="228">
        <v>38.0</v>
      </c>
      <c r="B38" s="209">
        <v>45156.0</v>
      </c>
      <c r="C38" s="217"/>
      <c r="D38" s="229"/>
      <c r="E38" s="212">
        <f t="shared" si="18"/>
        <v>0</v>
      </c>
      <c r="F38" s="229">
        <v>15660.0</v>
      </c>
      <c r="G38" s="212">
        <f>J37</f>
        <v>16281.89013</v>
      </c>
      <c r="H38" s="212">
        <f>F38*G38</f>
        <v>254974399.4</v>
      </c>
      <c r="I38" s="213">
        <f>I37-F38</f>
        <v>5742</v>
      </c>
      <c r="J38" s="213">
        <f t="shared" si="23"/>
        <v>16281.89013</v>
      </c>
      <c r="K38" s="211">
        <f>K37-H38</f>
        <v>93490613.11</v>
      </c>
      <c r="L38" s="220">
        <f>F38*12920</f>
        <v>202327200</v>
      </c>
      <c r="M38" s="220">
        <f>H38+'Persediaan &amp; HPP Cakalang PP'!H34</f>
        <v>268917866.3</v>
      </c>
      <c r="N38" s="230">
        <f>I38</f>
        <v>5742</v>
      </c>
      <c r="O38" s="220">
        <v>12920.0</v>
      </c>
      <c r="P38" s="220">
        <f t="shared" ref="P38:P45" si="26">N38*O38</f>
        <v>74186640</v>
      </c>
      <c r="Q38" s="218"/>
      <c r="R38" s="230">
        <f t="shared" ref="R38:T38" si="25">N38</f>
        <v>5742</v>
      </c>
      <c r="S38" s="220">
        <f t="shared" si="25"/>
        <v>12920</v>
      </c>
      <c r="T38" s="220">
        <f t="shared" si="25"/>
        <v>74186640</v>
      </c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8"/>
      <c r="AN38" s="218"/>
      <c r="AO38" s="218"/>
      <c r="AP38" s="218"/>
      <c r="AQ38" s="218"/>
      <c r="AR38" s="218"/>
      <c r="AS38" s="218"/>
      <c r="AT38" s="218"/>
      <c r="AU38" s="218"/>
      <c r="AV38" s="218"/>
      <c r="AW38" s="218"/>
      <c r="AX38" s="218"/>
      <c r="AY38" s="218"/>
      <c r="AZ38" s="218"/>
      <c r="BA38" s="218"/>
      <c r="BB38" s="218"/>
      <c r="BC38" s="218"/>
      <c r="BD38" s="218"/>
      <c r="BE38" s="218"/>
      <c r="BF38" s="218"/>
      <c r="BG38" s="218"/>
      <c r="BH38" s="218"/>
      <c r="BI38" s="218"/>
      <c r="BJ38" s="218"/>
      <c r="BK38" s="218"/>
      <c r="BL38" s="218"/>
      <c r="BM38" s="218"/>
      <c r="BN38" s="218"/>
      <c r="BO38" s="218"/>
      <c r="BP38" s="218"/>
      <c r="BQ38" s="218"/>
      <c r="BR38" s="218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</row>
    <row r="39" ht="15.75" customHeight="1">
      <c r="A39" s="166">
        <v>39.0</v>
      </c>
      <c r="B39" s="200">
        <v>45158.0</v>
      </c>
      <c r="C39" s="222">
        <f>SUM('Nagata Tuna'!D37:G37)</f>
        <v>2357</v>
      </c>
      <c r="D39" s="202">
        <f>'Nagata Tuna'!X37</f>
        <v>16426.87941</v>
      </c>
      <c r="E39" s="202">
        <f t="shared" si="18"/>
        <v>38718154.76</v>
      </c>
      <c r="F39" s="227"/>
      <c r="G39" s="202"/>
      <c r="H39" s="202"/>
      <c r="I39" s="204">
        <f t="shared" ref="I39:I45" si="27">I38+C39</f>
        <v>8099</v>
      </c>
      <c r="J39" s="204">
        <f t="shared" si="23"/>
        <v>16324.08543</v>
      </c>
      <c r="K39" s="203">
        <f t="shared" ref="K39:K45" si="28">K38+E39</f>
        <v>132208767.9</v>
      </c>
      <c r="L39" s="124">
        <f>L38+'Persediaan &amp; HPP Cakalang PP'!M34</f>
        <v>211707200</v>
      </c>
      <c r="N39" s="223">
        <f t="shared" ref="N39:N45" si="29">C39</f>
        <v>2357</v>
      </c>
      <c r="O39" s="124">
        <v>13000.0</v>
      </c>
      <c r="P39" s="124">
        <f t="shared" si="26"/>
        <v>30641000</v>
      </c>
      <c r="R39" s="231">
        <f t="shared" ref="R39:R45" si="30">R38+N39</f>
        <v>8099</v>
      </c>
      <c r="S39" s="124">
        <f t="shared" ref="S39:S45" si="31">T39/R39</f>
        <v>12943.28189</v>
      </c>
      <c r="T39" s="124">
        <f t="shared" ref="T39:T45" si="32">T38+P39</f>
        <v>104827640</v>
      </c>
    </row>
    <row r="40" ht="15.75" customHeight="1">
      <c r="A40" s="166">
        <v>40.0</v>
      </c>
      <c r="B40" s="200">
        <v>45159.0</v>
      </c>
      <c r="C40" s="222">
        <f>SUM('Nagata Tuna'!D38:G38)</f>
        <v>2605</v>
      </c>
      <c r="D40" s="202">
        <f>'Nagata Tuna'!X38</f>
        <v>16391.52633</v>
      </c>
      <c r="E40" s="202">
        <f t="shared" si="18"/>
        <v>42699926.09</v>
      </c>
      <c r="F40" s="227"/>
      <c r="G40" s="202"/>
      <c r="H40" s="202"/>
      <c r="I40" s="204">
        <f t="shared" si="27"/>
        <v>10704</v>
      </c>
      <c r="J40" s="204">
        <f t="shared" si="23"/>
        <v>16340.49831</v>
      </c>
      <c r="K40" s="203">
        <f t="shared" si="28"/>
        <v>174908694</v>
      </c>
      <c r="N40" s="223">
        <f t="shared" si="29"/>
        <v>2605</v>
      </c>
      <c r="O40" s="124">
        <v>13000.0</v>
      </c>
      <c r="P40" s="124">
        <f t="shared" si="26"/>
        <v>33865000</v>
      </c>
      <c r="R40" s="231">
        <f t="shared" si="30"/>
        <v>10704</v>
      </c>
      <c r="S40" s="124">
        <f t="shared" si="31"/>
        <v>12957.0852</v>
      </c>
      <c r="T40" s="124">
        <f t="shared" si="32"/>
        <v>138692640</v>
      </c>
    </row>
    <row r="41" ht="15.75" customHeight="1">
      <c r="A41" s="166">
        <v>41.0</v>
      </c>
      <c r="B41" s="200">
        <v>45160.0</v>
      </c>
      <c r="C41" s="222">
        <f>SUM('Nagata Tuna'!D39:G39)</f>
        <v>2770</v>
      </c>
      <c r="D41" s="129">
        <f>'Nagata Tuna'!X39</f>
        <v>16372.58197</v>
      </c>
      <c r="E41" s="202">
        <f t="shared" si="18"/>
        <v>45352052.06</v>
      </c>
      <c r="F41" s="227"/>
      <c r="G41" s="202"/>
      <c r="H41" s="202"/>
      <c r="I41" s="204">
        <f t="shared" si="27"/>
        <v>13474</v>
      </c>
      <c r="J41" s="204">
        <f t="shared" si="23"/>
        <v>16347.09411</v>
      </c>
      <c r="K41" s="203">
        <f t="shared" si="28"/>
        <v>220260746</v>
      </c>
      <c r="N41" s="223">
        <f t="shared" si="29"/>
        <v>2770</v>
      </c>
      <c r="O41" s="124">
        <v>13000.0</v>
      </c>
      <c r="P41" s="124">
        <f t="shared" si="26"/>
        <v>36010000</v>
      </c>
      <c r="R41" s="231">
        <f t="shared" si="30"/>
        <v>13474</v>
      </c>
      <c r="S41" s="124">
        <f t="shared" si="31"/>
        <v>12965.90767</v>
      </c>
      <c r="T41" s="124">
        <f t="shared" si="32"/>
        <v>174702640</v>
      </c>
    </row>
    <row r="42" ht="15.75" customHeight="1">
      <c r="A42" s="166">
        <v>42.0</v>
      </c>
      <c r="B42" s="200">
        <v>45161.0</v>
      </c>
      <c r="C42" s="222">
        <f>SUM('Nagata Tuna'!D40:G40)</f>
        <v>1670</v>
      </c>
      <c r="D42" s="129">
        <f>'Nagata Tuna'!X40</f>
        <v>16394.99463</v>
      </c>
      <c r="E42" s="202">
        <f t="shared" si="18"/>
        <v>27379641.03</v>
      </c>
      <c r="F42" s="227"/>
      <c r="G42" s="202"/>
      <c r="H42" s="202"/>
      <c r="I42" s="204">
        <f t="shared" si="27"/>
        <v>15144</v>
      </c>
      <c r="J42" s="204">
        <f t="shared" si="23"/>
        <v>16352.37632</v>
      </c>
      <c r="K42" s="203">
        <f t="shared" si="28"/>
        <v>247640387</v>
      </c>
      <c r="N42" s="223">
        <f t="shared" si="29"/>
        <v>1670</v>
      </c>
      <c r="O42" s="124">
        <v>13000.0</v>
      </c>
      <c r="P42" s="124">
        <f t="shared" si="26"/>
        <v>21710000</v>
      </c>
      <c r="R42" s="231">
        <f t="shared" si="30"/>
        <v>15144</v>
      </c>
      <c r="S42" s="124">
        <f t="shared" si="31"/>
        <v>12969.66719</v>
      </c>
      <c r="T42" s="124">
        <f t="shared" si="32"/>
        <v>196412640</v>
      </c>
    </row>
    <row r="43" ht="15.75" customHeight="1">
      <c r="A43" s="166">
        <v>43.0</v>
      </c>
      <c r="B43" s="200">
        <v>45162.0</v>
      </c>
      <c r="C43" s="222">
        <f>SUM('Nagata Tuna'!D41:G41)</f>
        <v>2512</v>
      </c>
      <c r="D43" s="129">
        <f>'Nagata Tuna'!X41</f>
        <v>16431.75394</v>
      </c>
      <c r="E43" s="202">
        <f t="shared" si="18"/>
        <v>41276565.91</v>
      </c>
      <c r="F43" s="227"/>
      <c r="G43" s="202"/>
      <c r="H43" s="202"/>
      <c r="I43" s="204">
        <f t="shared" si="27"/>
        <v>17656</v>
      </c>
      <c r="J43" s="204">
        <f t="shared" si="23"/>
        <v>16363.66974</v>
      </c>
      <c r="K43" s="203">
        <f t="shared" si="28"/>
        <v>288916952.9</v>
      </c>
      <c r="N43" s="223">
        <f t="shared" si="29"/>
        <v>2512</v>
      </c>
      <c r="O43" s="124">
        <f t="shared" ref="O43:O45" si="33">O41</f>
        <v>13000</v>
      </c>
      <c r="P43" s="124">
        <f t="shared" si="26"/>
        <v>32656000</v>
      </c>
      <c r="R43" s="231">
        <f t="shared" si="30"/>
        <v>17656</v>
      </c>
      <c r="S43" s="124">
        <f t="shared" si="31"/>
        <v>12973.98278</v>
      </c>
      <c r="T43" s="124">
        <f t="shared" si="32"/>
        <v>229068640</v>
      </c>
    </row>
    <row r="44" ht="15.75" customHeight="1">
      <c r="A44" s="166">
        <v>44.0</v>
      </c>
      <c r="B44" s="232">
        <v>45164.0</v>
      </c>
      <c r="C44" s="222">
        <f>SUM('Nagata Tuna'!D42:G42)</f>
        <v>2490</v>
      </c>
      <c r="D44" s="129">
        <f>'Nagata Tuna'!X42</f>
        <v>16354.21489</v>
      </c>
      <c r="E44" s="202">
        <f t="shared" si="18"/>
        <v>40721995.07</v>
      </c>
      <c r="F44" s="233"/>
      <c r="G44" s="202"/>
      <c r="H44" s="202"/>
      <c r="I44" s="204">
        <f t="shared" si="27"/>
        <v>20146</v>
      </c>
      <c r="J44" s="204">
        <f t="shared" si="23"/>
        <v>16362.50114</v>
      </c>
      <c r="K44" s="203">
        <f t="shared" si="28"/>
        <v>329638948</v>
      </c>
      <c r="N44" s="223">
        <f t="shared" si="29"/>
        <v>2490</v>
      </c>
      <c r="O44" s="124">
        <f t="shared" si="33"/>
        <v>13000</v>
      </c>
      <c r="P44" s="124">
        <f t="shared" si="26"/>
        <v>32370000</v>
      </c>
      <c r="R44" s="231">
        <f t="shared" si="30"/>
        <v>20146</v>
      </c>
      <c r="S44" s="124">
        <f t="shared" si="31"/>
        <v>12977.19845</v>
      </c>
      <c r="T44" s="124">
        <f t="shared" si="32"/>
        <v>261438640</v>
      </c>
    </row>
    <row r="45" ht="15.75" customHeight="1">
      <c r="A45" s="166">
        <v>45.0</v>
      </c>
      <c r="B45" s="232">
        <v>45165.0</v>
      </c>
      <c r="C45" s="222">
        <f>SUM('Nagata Tuna'!D43:G43)</f>
        <v>3909</v>
      </c>
      <c r="D45" s="129">
        <f>'Nagata Tuna'!X43</f>
        <v>16404.17534</v>
      </c>
      <c r="E45" s="202">
        <f t="shared" si="18"/>
        <v>64123921.4</v>
      </c>
      <c r="F45" s="227"/>
      <c r="G45" s="202"/>
      <c r="H45" s="202"/>
      <c r="I45" s="204">
        <f t="shared" si="27"/>
        <v>24055</v>
      </c>
      <c r="J45" s="204">
        <f t="shared" si="23"/>
        <v>16369.27331</v>
      </c>
      <c r="K45" s="203">
        <f t="shared" si="28"/>
        <v>393762869.4</v>
      </c>
      <c r="N45" s="223">
        <f t="shared" si="29"/>
        <v>3909</v>
      </c>
      <c r="O45" s="124">
        <f t="shared" si="33"/>
        <v>13000</v>
      </c>
      <c r="P45" s="124">
        <f t="shared" si="26"/>
        <v>50817000</v>
      </c>
      <c r="R45" s="231">
        <f t="shared" si="30"/>
        <v>24055</v>
      </c>
      <c r="S45" s="124">
        <f t="shared" si="31"/>
        <v>12980.90376</v>
      </c>
      <c r="T45" s="124">
        <f t="shared" si="32"/>
        <v>312255640</v>
      </c>
    </row>
    <row r="46" ht="15.75" customHeight="1">
      <c r="A46" s="228">
        <v>46.0</v>
      </c>
      <c r="B46" s="234">
        <v>45165.0</v>
      </c>
      <c r="C46" s="235"/>
      <c r="D46" s="235"/>
      <c r="E46" s="212">
        <f t="shared" si="18"/>
        <v>0</v>
      </c>
      <c r="F46" s="229">
        <v>18150.0</v>
      </c>
      <c r="G46" s="212">
        <f>J45</f>
        <v>16369.27331</v>
      </c>
      <c r="H46" s="212">
        <f>F46*G46</f>
        <v>297102310.5</v>
      </c>
      <c r="I46" s="213">
        <f>I45-F46</f>
        <v>5905</v>
      </c>
      <c r="J46" s="213">
        <f t="shared" si="23"/>
        <v>16369.27331</v>
      </c>
      <c r="K46" s="211">
        <f>K45-H46</f>
        <v>96660558.88</v>
      </c>
      <c r="L46" s="220">
        <f>F46*12981</f>
        <v>235605150</v>
      </c>
      <c r="M46" s="220">
        <f>H46+'Persediaan &amp; HPP Cakalang PP'!H42</f>
        <v>316324292.3</v>
      </c>
      <c r="N46" s="219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8"/>
      <c r="AF46" s="218"/>
      <c r="AG46" s="218"/>
      <c r="AH46" s="218"/>
      <c r="AI46" s="218"/>
      <c r="AJ46" s="218"/>
      <c r="AK46" s="218"/>
      <c r="AL46" s="218"/>
      <c r="AM46" s="218"/>
      <c r="AN46" s="218"/>
      <c r="AO46" s="218"/>
      <c r="AP46" s="218"/>
      <c r="AQ46" s="218"/>
      <c r="AR46" s="218"/>
      <c r="AS46" s="218"/>
      <c r="AT46" s="218"/>
      <c r="AU46" s="218"/>
      <c r="AV46" s="218"/>
      <c r="AW46" s="218"/>
      <c r="AX46" s="218"/>
      <c r="AY46" s="218"/>
      <c r="AZ46" s="218"/>
      <c r="BA46" s="218"/>
      <c r="BB46" s="218"/>
      <c r="BC46" s="218"/>
      <c r="BD46" s="218"/>
      <c r="BE46" s="218"/>
      <c r="BF46" s="218"/>
      <c r="BG46" s="218"/>
      <c r="BH46" s="218"/>
      <c r="BI46" s="218"/>
      <c r="BJ46" s="218"/>
      <c r="BK46" s="218"/>
      <c r="BL46" s="218"/>
      <c r="BM46" s="218"/>
      <c r="BN46" s="218"/>
      <c r="BO46" s="218"/>
      <c r="BP46" s="218"/>
      <c r="BQ46" s="218"/>
      <c r="BR46" s="218"/>
      <c r="BS46" s="218"/>
      <c r="BT46" s="218"/>
      <c r="BU46" s="218"/>
      <c r="BV46" s="218"/>
      <c r="BW46" s="218"/>
      <c r="BX46" s="218"/>
      <c r="BY46" s="218"/>
      <c r="BZ46" s="218"/>
      <c r="CA46" s="218"/>
      <c r="CB46" s="218"/>
      <c r="CC46" s="218"/>
      <c r="CD46" s="218"/>
      <c r="CE46" s="218"/>
    </row>
    <row r="47" ht="15.75" customHeight="1">
      <c r="A47" s="166">
        <v>47.0</v>
      </c>
      <c r="B47" s="236">
        <v>45167.0</v>
      </c>
      <c r="C47" s="129">
        <f>SUM('Nagata Tuna'!D44:G44)</f>
        <v>7374</v>
      </c>
      <c r="D47" s="129">
        <f>'Nagata Tuna'!X44</f>
        <v>16364.78217</v>
      </c>
      <c r="E47" s="202">
        <f t="shared" si="18"/>
        <v>120673903.7</v>
      </c>
      <c r="F47" s="227"/>
      <c r="G47" s="202"/>
      <c r="H47" s="202"/>
      <c r="I47" s="204">
        <f t="shared" ref="I47:I52" si="34">I46+C47</f>
        <v>13279</v>
      </c>
      <c r="J47" s="204">
        <f t="shared" si="23"/>
        <v>16366.77932</v>
      </c>
      <c r="K47" s="203">
        <f t="shared" ref="K47:K52" si="35">K46+E47</f>
        <v>217334462.6</v>
      </c>
      <c r="L47" s="124">
        <f>L46+'Persediaan &amp; HPP Cakalang PP'!M42</f>
        <v>248555150</v>
      </c>
      <c r="N47" s="223"/>
    </row>
    <row r="48" ht="15.75" customHeight="1">
      <c r="A48" s="166">
        <v>48.0</v>
      </c>
      <c r="B48" s="236">
        <v>45168.0</v>
      </c>
      <c r="C48" s="129">
        <f>SUM('Nagata Tuna'!D45:G45)</f>
        <v>2386</v>
      </c>
      <c r="D48" s="129">
        <f>'Nagata Tuna'!X45</f>
        <v>16399.00239</v>
      </c>
      <c r="E48" s="202">
        <f t="shared" si="18"/>
        <v>39128019.71</v>
      </c>
      <c r="F48" s="227"/>
      <c r="G48" s="202"/>
      <c r="H48" s="202"/>
      <c r="I48" s="204">
        <f t="shared" si="34"/>
        <v>15665</v>
      </c>
      <c r="J48" s="204">
        <f t="shared" si="23"/>
        <v>16371.68735</v>
      </c>
      <c r="K48" s="203">
        <f t="shared" si="35"/>
        <v>256462482.3</v>
      </c>
      <c r="L48" s="180"/>
    </row>
    <row r="49" ht="15.75" customHeight="1">
      <c r="A49" s="166">
        <v>49.0</v>
      </c>
      <c r="B49" s="236">
        <v>45169.0</v>
      </c>
      <c r="C49" s="129">
        <f>SUM('Nagata Tuna'!D46:G46)</f>
        <v>1445</v>
      </c>
      <c r="D49" s="129">
        <f>'Nagata Tuna'!X46</f>
        <v>16338.64763</v>
      </c>
      <c r="E49" s="202">
        <f t="shared" si="18"/>
        <v>23609345.82</v>
      </c>
      <c r="F49" s="227"/>
      <c r="G49" s="202"/>
      <c r="H49" s="202"/>
      <c r="I49" s="204">
        <f t="shared" si="34"/>
        <v>17110</v>
      </c>
      <c r="J49" s="204">
        <f t="shared" si="23"/>
        <v>16368.89703</v>
      </c>
      <c r="K49" s="203">
        <f t="shared" si="35"/>
        <v>280071828.2</v>
      </c>
    </row>
    <row r="50" ht="15.75" customHeight="1">
      <c r="A50" s="166"/>
      <c r="B50" s="232">
        <f>'Nagata Tuna'!B50</f>
        <v>45171</v>
      </c>
      <c r="C50" s="129">
        <f>SUM('Nagata Tuna'!D50:G50)</f>
        <v>1447</v>
      </c>
      <c r="D50" s="237">
        <f>'Nagata Tuna'!X50</f>
        <v>16239.70381</v>
      </c>
      <c r="E50" s="202">
        <f t="shared" si="18"/>
        <v>23498851.41</v>
      </c>
      <c r="F50" s="238"/>
      <c r="G50" s="239"/>
      <c r="H50" s="239"/>
      <c r="I50" s="204">
        <f t="shared" si="34"/>
        <v>18557</v>
      </c>
      <c r="J50" s="204">
        <f t="shared" si="23"/>
        <v>16358.82306</v>
      </c>
      <c r="K50" s="203">
        <f t="shared" si="35"/>
        <v>303570679.6</v>
      </c>
    </row>
    <row r="51" ht="15.75" customHeight="1">
      <c r="A51" s="166"/>
      <c r="B51" s="232">
        <f>'Nagata Tuna'!B51</f>
        <v>45172</v>
      </c>
      <c r="C51" s="129">
        <f>SUM('Nagata Tuna'!D51:G51)</f>
        <v>7110</v>
      </c>
      <c r="D51" s="237">
        <f>'Nagata Tuna'!X51</f>
        <v>16253.99862</v>
      </c>
      <c r="E51" s="202">
        <f t="shared" si="18"/>
        <v>115565930.2</v>
      </c>
      <c r="F51" s="238"/>
      <c r="G51" s="238"/>
      <c r="H51" s="239"/>
      <c r="I51" s="204">
        <f t="shared" si="34"/>
        <v>25667</v>
      </c>
      <c r="J51" s="204">
        <f t="shared" si="23"/>
        <v>16329.78571</v>
      </c>
      <c r="K51" s="203">
        <f t="shared" si="35"/>
        <v>419136609.8</v>
      </c>
    </row>
    <row r="52" ht="15.75" customHeight="1">
      <c r="A52" s="166"/>
      <c r="B52" s="232">
        <f>'Nagata Tuna'!B52</f>
        <v>45173</v>
      </c>
      <c r="C52" s="129">
        <f>SUM('Nagata Tuna'!D52:G52)</f>
        <v>2041</v>
      </c>
      <c r="D52" s="237">
        <f>'Nagata Tuna'!X52</f>
        <v>16450.57357</v>
      </c>
      <c r="E52" s="202">
        <f t="shared" si="18"/>
        <v>33575620.66</v>
      </c>
      <c r="F52" s="238"/>
      <c r="G52" s="238"/>
      <c r="H52" s="239"/>
      <c r="I52" s="204">
        <f t="shared" si="34"/>
        <v>27708</v>
      </c>
      <c r="J52" s="204">
        <f t="shared" si="23"/>
        <v>16338.68307</v>
      </c>
      <c r="K52" s="203">
        <f t="shared" si="35"/>
        <v>452712230.4</v>
      </c>
    </row>
    <row r="53" ht="15.75" customHeight="1">
      <c r="A53" s="228"/>
      <c r="B53" s="234">
        <f t="shared" ref="B53:B54" si="36">B52</f>
        <v>45173</v>
      </c>
      <c r="C53" s="228"/>
      <c r="D53" s="228"/>
      <c r="E53" s="240"/>
      <c r="F53" s="241">
        <v>18840.0</v>
      </c>
      <c r="G53" s="240">
        <f>J52</f>
        <v>16338.68307</v>
      </c>
      <c r="H53" s="240">
        <f t="shared" ref="H53:H54" si="37">G53*F53</f>
        <v>307820789</v>
      </c>
      <c r="I53" s="242">
        <f t="shared" ref="I53:I54" si="38">I52-F53</f>
        <v>8868</v>
      </c>
      <c r="J53" s="243">
        <f t="shared" si="23"/>
        <v>16338.68307</v>
      </c>
      <c r="K53" s="244">
        <f t="shared" ref="K53:K54" si="39">K52-H53</f>
        <v>144891441.4</v>
      </c>
      <c r="L53" s="220">
        <f>H53+'Persediaan &amp; HPP Cakalang PP'!H49</f>
        <v>319863238.3</v>
      </c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218"/>
      <c r="AQ53" s="218"/>
      <c r="AR53" s="218"/>
      <c r="AS53" s="218"/>
      <c r="AT53" s="218"/>
      <c r="AU53" s="218"/>
      <c r="AV53" s="218"/>
      <c r="AW53" s="218"/>
      <c r="AX53" s="218"/>
      <c r="AY53" s="218"/>
      <c r="AZ53" s="218"/>
      <c r="BA53" s="218"/>
      <c r="BB53" s="218"/>
      <c r="BC53" s="218"/>
      <c r="BD53" s="218"/>
      <c r="BE53" s="218"/>
      <c r="BF53" s="218"/>
      <c r="BG53" s="218"/>
      <c r="BH53" s="218"/>
      <c r="BI53" s="218"/>
      <c r="BJ53" s="218"/>
      <c r="BK53" s="218"/>
      <c r="BL53" s="218"/>
      <c r="BM53" s="218"/>
      <c r="BN53" s="218"/>
      <c r="BO53" s="218"/>
      <c r="BP53" s="218"/>
      <c r="BQ53" s="218"/>
      <c r="BR53" s="218"/>
      <c r="BS53" s="218"/>
      <c r="BT53" s="218"/>
      <c r="BU53" s="218"/>
      <c r="BV53" s="218"/>
      <c r="BW53" s="218"/>
      <c r="BX53" s="218"/>
      <c r="BY53" s="218"/>
      <c r="BZ53" s="218"/>
      <c r="CA53" s="218"/>
      <c r="CB53" s="218"/>
      <c r="CC53" s="218"/>
      <c r="CD53" s="218"/>
      <c r="CE53" s="218"/>
    </row>
    <row r="54" ht="15.75" customHeight="1">
      <c r="A54" s="228"/>
      <c r="B54" s="234">
        <f t="shared" si="36"/>
        <v>45173</v>
      </c>
      <c r="C54" s="228"/>
      <c r="D54" s="228"/>
      <c r="E54" s="240"/>
      <c r="F54" s="241">
        <v>10.0</v>
      </c>
      <c r="G54" s="240">
        <f>J52</f>
        <v>16338.68307</v>
      </c>
      <c r="H54" s="240">
        <f t="shared" si="37"/>
        <v>163386.8307</v>
      </c>
      <c r="I54" s="242">
        <f t="shared" si="38"/>
        <v>8858</v>
      </c>
      <c r="J54" s="243">
        <f t="shared" si="23"/>
        <v>16338.68307</v>
      </c>
      <c r="K54" s="244">
        <f t="shared" si="39"/>
        <v>144728054.6</v>
      </c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8"/>
      <c r="AX54" s="218"/>
      <c r="AY54" s="218"/>
      <c r="AZ54" s="218"/>
      <c r="BA54" s="218"/>
      <c r="BB54" s="218"/>
      <c r="BC54" s="218"/>
      <c r="BD54" s="218"/>
      <c r="BE54" s="218"/>
      <c r="BF54" s="218"/>
      <c r="BG54" s="218"/>
      <c r="BH54" s="218"/>
      <c r="BI54" s="218"/>
      <c r="BJ54" s="218"/>
      <c r="BK54" s="218"/>
      <c r="BL54" s="218"/>
      <c r="BM54" s="218"/>
      <c r="BN54" s="218"/>
      <c r="BO54" s="218"/>
      <c r="BP54" s="218"/>
      <c r="BQ54" s="218"/>
      <c r="BR54" s="218"/>
      <c r="BS54" s="218"/>
      <c r="BT54" s="218"/>
      <c r="BU54" s="218"/>
      <c r="BV54" s="218"/>
      <c r="BW54" s="218"/>
      <c r="BX54" s="218"/>
      <c r="BY54" s="218"/>
      <c r="BZ54" s="218"/>
      <c r="CA54" s="218"/>
      <c r="CB54" s="218"/>
      <c r="CC54" s="218"/>
      <c r="CD54" s="218"/>
      <c r="CE54" s="218"/>
    </row>
    <row r="55" ht="15.75" customHeight="1">
      <c r="A55" s="166"/>
      <c r="B55" s="232">
        <f>'Nagata Tuna'!B53</f>
        <v>45175</v>
      </c>
      <c r="C55" s="237">
        <f>SUM('Nagata Tuna'!D53:G53)</f>
        <v>5206</v>
      </c>
      <c r="D55" s="237">
        <f>'Nagata Tuna'!X53</f>
        <v>16379.99212</v>
      </c>
      <c r="E55" s="239">
        <f t="shared" ref="E55:E59" si="40">C55*D55</f>
        <v>85274238.96</v>
      </c>
      <c r="F55" s="238"/>
      <c r="G55" s="238"/>
      <c r="H55" s="239"/>
      <c r="I55" s="245">
        <f t="shared" ref="I55:I59" si="41">I54+C55</f>
        <v>14064</v>
      </c>
      <c r="J55" s="246">
        <f t="shared" si="23"/>
        <v>16353.97423</v>
      </c>
      <c r="K55" s="247">
        <f t="shared" ref="K55:K59" si="42">K54+E55</f>
        <v>230002293.6</v>
      </c>
    </row>
    <row r="56" ht="15.75" customHeight="1">
      <c r="A56" s="166"/>
      <c r="B56" s="232">
        <f>'Nagata Tuna'!B54</f>
        <v>45192</v>
      </c>
      <c r="C56" s="237">
        <f>SUM('Nagata Tuna'!D54:G54)</f>
        <v>3045</v>
      </c>
      <c r="D56" s="237">
        <f>'Nagata Tuna'!X54</f>
        <v>16388.27198</v>
      </c>
      <c r="E56" s="239">
        <f t="shared" si="40"/>
        <v>49902288.19</v>
      </c>
      <c r="F56" s="238"/>
      <c r="G56" s="238"/>
      <c r="H56" s="239"/>
      <c r="I56" s="245">
        <f t="shared" si="41"/>
        <v>17109</v>
      </c>
      <c r="J56" s="246">
        <f t="shared" si="23"/>
        <v>16360.07842</v>
      </c>
      <c r="K56" s="247">
        <f t="shared" si="42"/>
        <v>279904581.8</v>
      </c>
    </row>
    <row r="57" ht="15.75" customHeight="1">
      <c r="A57" s="166"/>
      <c r="B57" s="232">
        <f>'Nagata Tuna'!B55</f>
        <v>45193</v>
      </c>
      <c r="C57" s="237">
        <f>SUM('Nagata Tuna'!D55:G55)</f>
        <v>1275</v>
      </c>
      <c r="D57" s="237">
        <f>'Nagata Tuna'!X55</f>
        <v>16376.15736</v>
      </c>
      <c r="E57" s="239">
        <f t="shared" si="40"/>
        <v>20879600.64</v>
      </c>
      <c r="F57" s="238"/>
      <c r="G57" s="238"/>
      <c r="H57" s="239"/>
      <c r="I57" s="245">
        <f t="shared" si="41"/>
        <v>18384</v>
      </c>
      <c r="J57" s="246">
        <f t="shared" si="23"/>
        <v>16361.19356</v>
      </c>
      <c r="K57" s="247">
        <f t="shared" si="42"/>
        <v>300784182.4</v>
      </c>
    </row>
    <row r="58" ht="15.75" customHeight="1">
      <c r="A58" s="166"/>
      <c r="B58" s="232">
        <f>'Nagata Tuna'!B56</f>
        <v>45194</v>
      </c>
      <c r="C58" s="237">
        <f>SUM('Nagata Tuna'!D56:G56)</f>
        <v>1234</v>
      </c>
      <c r="D58" s="237">
        <f>'Nagata Tuna'!X56</f>
        <v>16578.82269</v>
      </c>
      <c r="E58" s="239">
        <f t="shared" si="40"/>
        <v>20458267.2</v>
      </c>
      <c r="F58" s="238"/>
      <c r="G58" s="238"/>
      <c r="H58" s="239"/>
      <c r="I58" s="245">
        <f t="shared" si="41"/>
        <v>19618</v>
      </c>
      <c r="J58" s="246">
        <f t="shared" si="23"/>
        <v>16374.88274</v>
      </c>
      <c r="K58" s="247">
        <f t="shared" si="42"/>
        <v>321242449.6</v>
      </c>
    </row>
    <row r="59" ht="15.75" customHeight="1">
      <c r="A59" s="166"/>
      <c r="B59" s="232">
        <f>'Nagata Tuna'!B57</f>
        <v>45199</v>
      </c>
      <c r="C59" s="237">
        <f>SUM('Nagata Tuna'!D57:G57)</f>
        <v>2785.6</v>
      </c>
      <c r="D59" s="237">
        <f>'Nagata Tuna'!X57</f>
        <v>16380.19847</v>
      </c>
      <c r="E59" s="239">
        <f t="shared" si="40"/>
        <v>45628680.86</v>
      </c>
      <c r="F59" s="238"/>
      <c r="G59" s="238"/>
      <c r="H59" s="239"/>
      <c r="I59" s="245">
        <f t="shared" si="41"/>
        <v>22403.6</v>
      </c>
      <c r="J59" s="246">
        <f t="shared" si="23"/>
        <v>16375.54368</v>
      </c>
      <c r="K59" s="247">
        <f t="shared" si="42"/>
        <v>366871130.5</v>
      </c>
      <c r="L59" s="124"/>
    </row>
    <row r="60" ht="15.75" customHeight="1">
      <c r="A60" s="228"/>
      <c r="B60" s="234">
        <v>45200.0</v>
      </c>
      <c r="C60" s="228"/>
      <c r="D60" s="228"/>
      <c r="E60" s="240"/>
      <c r="F60" s="241">
        <v>16850.0</v>
      </c>
      <c r="G60" s="244">
        <f>J59</f>
        <v>16375.54368</v>
      </c>
      <c r="H60" s="240">
        <f>F60*G60</f>
        <v>275927911.1</v>
      </c>
      <c r="I60" s="242">
        <f>I59-F60</f>
        <v>5553.6</v>
      </c>
      <c r="J60" s="243">
        <f t="shared" si="23"/>
        <v>16375.54368</v>
      </c>
      <c r="K60" s="244">
        <f>K59-H60</f>
        <v>90943219.4</v>
      </c>
      <c r="L60" s="220">
        <f>H60+'Persediaan &amp; HPP Cakalang PP'!H55</f>
        <v>308705868.2</v>
      </c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8"/>
      <c r="AX60" s="218"/>
      <c r="AY60" s="218"/>
      <c r="AZ60" s="218"/>
      <c r="BA60" s="218"/>
      <c r="BB60" s="218"/>
      <c r="BC60" s="218"/>
      <c r="BD60" s="218"/>
      <c r="BE60" s="218"/>
      <c r="BF60" s="218"/>
      <c r="BG60" s="218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218"/>
      <c r="BW60" s="218"/>
      <c r="BX60" s="218"/>
      <c r="BY60" s="218"/>
      <c r="BZ60" s="218"/>
      <c r="CA60" s="218"/>
      <c r="CB60" s="218"/>
      <c r="CC60" s="218"/>
      <c r="CD60" s="218"/>
      <c r="CE60" s="218"/>
    </row>
    <row r="61" ht="15.75" customHeight="1">
      <c r="A61" s="166"/>
      <c r="B61" s="232">
        <f>'Nagata Tuna'!B60</f>
        <v>45208</v>
      </c>
      <c r="C61" s="237">
        <f>SUM('Nagata Tuna'!D60:G60)</f>
        <v>4260</v>
      </c>
      <c r="D61" s="237">
        <f>'Nagata Tuna'!X60</f>
        <v>16335.72915</v>
      </c>
      <c r="E61" s="239">
        <f t="shared" ref="E61:E63" si="43">C61*D61</f>
        <v>69590206.19</v>
      </c>
      <c r="F61" s="238"/>
      <c r="G61" s="238"/>
      <c r="H61" s="239"/>
      <c r="I61" s="245">
        <f t="shared" ref="I61:I63" si="44">I60+C61</f>
        <v>9813.6</v>
      </c>
      <c r="J61" s="246">
        <f t="shared" si="23"/>
        <v>16358.26054</v>
      </c>
      <c r="K61" s="247">
        <f t="shared" ref="K61:K63" si="45">K60+E61</f>
        <v>160533425.6</v>
      </c>
    </row>
    <row r="62" ht="15.75" customHeight="1">
      <c r="A62" s="166"/>
      <c r="B62" s="232">
        <f>'Nagata Tuna'!B61</f>
        <v>45209</v>
      </c>
      <c r="C62" s="237">
        <f>SUM('Nagata Tuna'!D61:G61)</f>
        <v>3094.2</v>
      </c>
      <c r="D62" s="237">
        <f>'Nagata Tuna'!X61</f>
        <v>16513.8341</v>
      </c>
      <c r="E62" s="239">
        <f t="shared" si="43"/>
        <v>51097105.48</v>
      </c>
      <c r="F62" s="238"/>
      <c r="G62" s="238"/>
      <c r="H62" s="239"/>
      <c r="I62" s="245">
        <f t="shared" si="44"/>
        <v>12907.8</v>
      </c>
      <c r="J62" s="246">
        <f t="shared" si="23"/>
        <v>16395.55393</v>
      </c>
      <c r="K62" s="247">
        <f t="shared" si="45"/>
        <v>211630531.1</v>
      </c>
    </row>
    <row r="63" ht="15.75" customHeight="1">
      <c r="A63" s="166"/>
      <c r="B63" s="232">
        <f>'Nagata Tuna'!B62</f>
        <v>45210</v>
      </c>
      <c r="C63" s="237">
        <f>SUM('Nagata Tuna'!D62:G62)</f>
        <v>5320.8</v>
      </c>
      <c r="D63" s="237">
        <f>'Nagata Tuna'!X62</f>
        <v>16172.57642</v>
      </c>
      <c r="E63" s="239">
        <f t="shared" si="43"/>
        <v>86051044.6</v>
      </c>
      <c r="F63" s="238"/>
      <c r="G63" s="238"/>
      <c r="H63" s="239"/>
      <c r="I63" s="245">
        <f t="shared" si="44"/>
        <v>18228.6</v>
      </c>
      <c r="J63" s="246">
        <f t="shared" si="23"/>
        <v>16330.46837</v>
      </c>
      <c r="K63" s="247">
        <f t="shared" si="45"/>
        <v>297681575.7</v>
      </c>
    </row>
    <row r="64" ht="15.75" customHeight="1">
      <c r="A64" s="228"/>
      <c r="B64" s="234">
        <v>45212.0</v>
      </c>
      <c r="C64" s="228"/>
      <c r="D64" s="228"/>
      <c r="E64" s="240"/>
      <c r="F64" s="241">
        <v>14890.0</v>
      </c>
      <c r="G64" s="244">
        <f>J63</f>
        <v>16330.46837</v>
      </c>
      <c r="H64" s="240">
        <f>F64*G64</f>
        <v>243160674</v>
      </c>
      <c r="I64" s="242">
        <f>I63-F64</f>
        <v>3338.6</v>
      </c>
      <c r="J64" s="243">
        <f t="shared" si="23"/>
        <v>16330.46837</v>
      </c>
      <c r="K64" s="244">
        <f>K63-H64</f>
        <v>54520901.69</v>
      </c>
      <c r="L64" s="220">
        <f>H64+'Persediaan &amp; HPP Cakalang PP'!H59</f>
        <v>244303090.2</v>
      </c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18"/>
      <c r="AT64" s="218"/>
      <c r="AU64" s="218"/>
      <c r="AV64" s="218"/>
      <c r="AW64" s="218"/>
      <c r="AX64" s="218"/>
      <c r="AY64" s="218"/>
      <c r="AZ64" s="218"/>
      <c r="BA64" s="218"/>
      <c r="BB64" s="218"/>
      <c r="BC64" s="218"/>
      <c r="BD64" s="218"/>
      <c r="BE64" s="218"/>
      <c r="BF64" s="218"/>
      <c r="BG64" s="218"/>
      <c r="BH64" s="218"/>
      <c r="BI64" s="218"/>
      <c r="BJ64" s="218"/>
      <c r="BK64" s="218"/>
      <c r="BL64" s="218"/>
      <c r="BM64" s="218"/>
      <c r="BN64" s="218"/>
      <c r="BO64" s="218"/>
      <c r="BP64" s="218"/>
      <c r="BQ64" s="218"/>
      <c r="BR64" s="218"/>
      <c r="BS64" s="218"/>
      <c r="BT64" s="218"/>
      <c r="BU64" s="218"/>
      <c r="BV64" s="218"/>
      <c r="BW64" s="218"/>
      <c r="BX64" s="218"/>
      <c r="BY64" s="218"/>
      <c r="BZ64" s="218"/>
      <c r="CA64" s="218"/>
      <c r="CB64" s="218"/>
      <c r="CC64" s="218"/>
      <c r="CD64" s="218"/>
      <c r="CE64" s="218"/>
    </row>
    <row r="65" ht="15.75" customHeight="1">
      <c r="A65" s="166"/>
      <c r="B65" s="232">
        <f>'Nagata Tuna'!B63</f>
        <v>45213</v>
      </c>
      <c r="C65" s="237">
        <f>SUM('Nagata Tuna'!D63:G63)</f>
        <v>6191.7</v>
      </c>
      <c r="D65" s="237">
        <f>'Nagata Tuna'!X63</f>
        <v>15076.98035</v>
      </c>
      <c r="E65" s="239">
        <f t="shared" ref="E65:E70" si="46">C65*D65</f>
        <v>93352139.21</v>
      </c>
      <c r="F65" s="238"/>
      <c r="G65" s="238"/>
      <c r="H65" s="239"/>
      <c r="I65" s="245">
        <f t="shared" ref="I65:I70" si="47">I64+C65</f>
        <v>9530.3</v>
      </c>
      <c r="J65" s="246">
        <f t="shared" si="23"/>
        <v>15516.09508</v>
      </c>
      <c r="K65" s="247">
        <f t="shared" ref="K65:K70" si="48">K64+E65</f>
        <v>147873040.9</v>
      </c>
    </row>
    <row r="66" ht="15.75" customHeight="1">
      <c r="A66" s="166"/>
      <c r="B66" s="232">
        <f>'Nagata Tuna'!B64</f>
        <v>45214</v>
      </c>
      <c r="C66" s="237">
        <f>SUM('Nagata Tuna'!D64:G64)</f>
        <v>4719.8</v>
      </c>
      <c r="D66" s="237">
        <f>'Nagata Tuna'!X64</f>
        <v>14331.1635</v>
      </c>
      <c r="E66" s="239">
        <f t="shared" si="46"/>
        <v>67640225.49</v>
      </c>
      <c r="F66" s="238"/>
      <c r="G66" s="238"/>
      <c r="H66" s="239"/>
      <c r="I66" s="245">
        <f t="shared" si="47"/>
        <v>14250.1</v>
      </c>
      <c r="J66" s="246">
        <f t="shared" si="23"/>
        <v>15123.63186</v>
      </c>
      <c r="K66" s="247">
        <f t="shared" si="48"/>
        <v>215513266.4</v>
      </c>
    </row>
    <row r="67" ht="15.75" customHeight="1">
      <c r="A67" s="166"/>
      <c r="B67" s="232">
        <f>'Nagata Tuna'!B65</f>
        <v>45215</v>
      </c>
      <c r="C67" s="237">
        <f>SUM('Nagata Tuna'!D65:G65)</f>
        <v>4543.2</v>
      </c>
      <c r="D67" s="237">
        <f>'Nagata Tuna'!X65</f>
        <v>14345.22749</v>
      </c>
      <c r="E67" s="239">
        <f t="shared" si="46"/>
        <v>65173237.53</v>
      </c>
      <c r="F67" s="238"/>
      <c r="G67" s="238"/>
      <c r="H67" s="239"/>
      <c r="I67" s="245">
        <f t="shared" si="47"/>
        <v>18793.3</v>
      </c>
      <c r="J67" s="246">
        <f t="shared" si="23"/>
        <v>14935.45593</v>
      </c>
      <c r="K67" s="247">
        <f t="shared" si="48"/>
        <v>280686503.9</v>
      </c>
    </row>
    <row r="68" ht="15.75" customHeight="1">
      <c r="A68" s="166"/>
      <c r="B68" s="232">
        <f>'Nagata Tuna'!B66</f>
        <v>45216</v>
      </c>
      <c r="C68" s="237">
        <f>SUM('Nagata Tuna'!D66:G66)</f>
        <v>3035.6</v>
      </c>
      <c r="D68" s="237">
        <f>'Nagata Tuna'!X66</f>
        <v>15067.93764</v>
      </c>
      <c r="E68" s="239">
        <f t="shared" si="46"/>
        <v>45740231.5</v>
      </c>
      <c r="F68" s="238"/>
      <c r="G68" s="238"/>
      <c r="H68" s="239"/>
      <c r="I68" s="245">
        <f t="shared" si="47"/>
        <v>21828.9</v>
      </c>
      <c r="J68" s="246">
        <f t="shared" si="23"/>
        <v>14953.87928</v>
      </c>
      <c r="K68" s="247">
        <f t="shared" si="48"/>
        <v>326426735.4</v>
      </c>
    </row>
    <row r="69" ht="15.75" customHeight="1">
      <c r="A69" s="166"/>
      <c r="B69" s="232">
        <f>'Nagata Tuna'!B67</f>
        <v>45217</v>
      </c>
      <c r="C69" s="237">
        <f>SUM('Nagata Tuna'!D67:G67)</f>
        <v>4603.8</v>
      </c>
      <c r="D69" s="237">
        <f>'Nagata Tuna'!X67</f>
        <v>15021.24659</v>
      </c>
      <c r="E69" s="239">
        <f t="shared" si="46"/>
        <v>69154815.06</v>
      </c>
      <c r="F69" s="238"/>
      <c r="G69" s="238"/>
      <c r="H69" s="239"/>
      <c r="I69" s="245">
        <f t="shared" si="47"/>
        <v>26432.7</v>
      </c>
      <c r="J69" s="246">
        <f t="shared" si="23"/>
        <v>14965.61269</v>
      </c>
      <c r="K69" s="247">
        <f t="shared" si="48"/>
        <v>395581550.5</v>
      </c>
    </row>
    <row r="70" ht="15.75" customHeight="1">
      <c r="A70" s="166"/>
      <c r="B70" s="232">
        <f>'Nagata Tuna'!B68</f>
        <v>45218</v>
      </c>
      <c r="C70" s="237">
        <f>SUM('Nagata Tuna'!D68:G68)</f>
        <v>3304</v>
      </c>
      <c r="D70" s="237">
        <f>'Nagata Tuna'!X68</f>
        <v>15357.17031</v>
      </c>
      <c r="E70" s="239">
        <f t="shared" si="46"/>
        <v>50740090.72</v>
      </c>
      <c r="F70" s="238"/>
      <c r="G70" s="238"/>
      <c r="H70" s="239"/>
      <c r="I70" s="245">
        <f t="shared" si="47"/>
        <v>29736.7</v>
      </c>
      <c r="J70" s="246">
        <f t="shared" si="23"/>
        <v>15009.11807</v>
      </c>
      <c r="K70" s="247">
        <f t="shared" si="48"/>
        <v>446321641.2</v>
      </c>
    </row>
    <row r="71" ht="15.75" customHeight="1">
      <c r="A71" s="228"/>
      <c r="B71" s="234">
        <v>45219.0</v>
      </c>
      <c r="C71" s="228"/>
      <c r="D71" s="228"/>
      <c r="E71" s="240"/>
      <c r="F71" s="241">
        <v>18360.0</v>
      </c>
      <c r="G71" s="244">
        <f>J70</f>
        <v>15009.11807</v>
      </c>
      <c r="H71" s="240">
        <f>F71*G71</f>
        <v>275567407.7</v>
      </c>
      <c r="I71" s="242">
        <f>I70-F71</f>
        <v>11376.7</v>
      </c>
      <c r="J71" s="243">
        <f t="shared" si="23"/>
        <v>15009.11807</v>
      </c>
      <c r="K71" s="244">
        <f>K70-H71</f>
        <v>170754233.5</v>
      </c>
      <c r="L71" s="220">
        <f>H71+'Persediaan &amp; HPP Cakalang PP'!H66</f>
        <v>293160223.7</v>
      </c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  <c r="AA71" s="218"/>
      <c r="AB71" s="218"/>
      <c r="AC71" s="218"/>
      <c r="AD71" s="218"/>
      <c r="AE71" s="218"/>
      <c r="AF71" s="218"/>
      <c r="AG71" s="218"/>
      <c r="AH71" s="218"/>
      <c r="AI71" s="218"/>
      <c r="AJ71" s="218"/>
      <c r="AK71" s="218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8"/>
      <c r="AX71" s="218"/>
      <c r="AY71" s="218"/>
      <c r="AZ71" s="218"/>
      <c r="BA71" s="218"/>
      <c r="BB71" s="218"/>
      <c r="BC71" s="218"/>
      <c r="BD71" s="218"/>
      <c r="BE71" s="218"/>
      <c r="BF71" s="218"/>
      <c r="BG71" s="218"/>
      <c r="BH71" s="218"/>
      <c r="BI71" s="218"/>
      <c r="BJ71" s="218"/>
      <c r="BK71" s="218"/>
      <c r="BL71" s="218"/>
      <c r="BM71" s="218"/>
      <c r="BN71" s="218"/>
      <c r="BO71" s="218"/>
      <c r="BP71" s="218"/>
      <c r="BQ71" s="218"/>
      <c r="BR71" s="218"/>
      <c r="BS71" s="218"/>
      <c r="BT71" s="218"/>
      <c r="BU71" s="218"/>
      <c r="BV71" s="218"/>
      <c r="BW71" s="218"/>
      <c r="BX71" s="218"/>
      <c r="BY71" s="218"/>
      <c r="BZ71" s="218"/>
      <c r="CA71" s="218"/>
      <c r="CB71" s="218"/>
      <c r="CC71" s="218"/>
      <c r="CD71" s="218"/>
      <c r="CE71" s="218"/>
    </row>
    <row r="72" ht="15.75" customHeight="1">
      <c r="A72" s="166"/>
      <c r="B72" s="232">
        <f>'Nagata Tuna'!B69</f>
        <v>45220</v>
      </c>
      <c r="C72" s="237">
        <f>SUM('Nagata Tuna'!D69:G69)</f>
        <v>4881.8</v>
      </c>
      <c r="D72" s="237">
        <f>'Nagata Tuna'!X69</f>
        <v>15322.68016</v>
      </c>
      <c r="E72" s="239">
        <f t="shared" ref="E72:E75" si="49">C72*D72</f>
        <v>74802260.02</v>
      </c>
      <c r="F72" s="238"/>
      <c r="G72" s="238"/>
      <c r="H72" s="239"/>
      <c r="I72" s="245">
        <f t="shared" ref="I72:I75" si="50">I71+C72</f>
        <v>16258.5</v>
      </c>
      <c r="J72" s="246">
        <f t="shared" si="23"/>
        <v>15103.26866</v>
      </c>
      <c r="K72" s="247">
        <f t="shared" ref="K72:K75" si="51">K71+E72</f>
        <v>245556493.5</v>
      </c>
    </row>
    <row r="73" ht="15.75" customHeight="1">
      <c r="A73" s="166"/>
      <c r="B73" s="232">
        <f>'Nagata Tuna'!B70</f>
        <v>45223</v>
      </c>
      <c r="C73" s="237">
        <f>SUM('Nagata Tuna'!D70:G70)</f>
        <v>6321.2</v>
      </c>
      <c r="D73" s="237">
        <f>'Nagata Tuna'!X70</f>
        <v>15454.11908</v>
      </c>
      <c r="E73" s="239">
        <f t="shared" si="49"/>
        <v>97688577.55</v>
      </c>
      <c r="F73" s="238"/>
      <c r="G73" s="238"/>
      <c r="H73" s="239"/>
      <c r="I73" s="245">
        <f t="shared" si="50"/>
        <v>22579.7</v>
      </c>
      <c r="J73" s="246">
        <f t="shared" si="23"/>
        <v>15201.48944</v>
      </c>
      <c r="K73" s="247">
        <f t="shared" si="51"/>
        <v>343245071.1</v>
      </c>
    </row>
    <row r="74" ht="15.75" customHeight="1">
      <c r="A74" s="166"/>
      <c r="B74" s="232">
        <f>'Nagata Tuna'!B71</f>
        <v>45224</v>
      </c>
      <c r="C74" s="237">
        <f>SUM('Nagata Tuna'!D71:G71)</f>
        <v>4678.7</v>
      </c>
      <c r="D74" s="237">
        <f>'Nagata Tuna'!X71</f>
        <v>15341.40523</v>
      </c>
      <c r="E74" s="239">
        <f t="shared" si="49"/>
        <v>71777832.64</v>
      </c>
      <c r="F74" s="238"/>
      <c r="G74" s="238"/>
      <c r="H74" s="239"/>
      <c r="I74" s="245">
        <f t="shared" si="50"/>
        <v>27258.4</v>
      </c>
      <c r="J74" s="246">
        <f t="shared" si="23"/>
        <v>15225.50493</v>
      </c>
      <c r="K74" s="247">
        <f t="shared" si="51"/>
        <v>415022903.7</v>
      </c>
    </row>
    <row r="75" ht="15.75" customHeight="1">
      <c r="A75" s="166"/>
      <c r="B75" s="232">
        <f>'Nagata Tuna'!B72</f>
        <v>45225</v>
      </c>
      <c r="C75" s="237">
        <f>SUM('Nagata Tuna'!D72:G72)</f>
        <v>4683.4</v>
      </c>
      <c r="D75" s="237">
        <f>'Nagata Tuna'!X72</f>
        <v>15336.27617</v>
      </c>
      <c r="E75" s="239">
        <f t="shared" si="49"/>
        <v>71825915.8</v>
      </c>
      <c r="F75" s="238"/>
      <c r="G75" s="238"/>
      <c r="H75" s="239"/>
      <c r="I75" s="245">
        <f t="shared" si="50"/>
        <v>31941.8</v>
      </c>
      <c r="J75" s="246">
        <f t="shared" si="23"/>
        <v>15241.74654</v>
      </c>
      <c r="K75" s="247">
        <f t="shared" si="51"/>
        <v>486848819.5</v>
      </c>
    </row>
    <row r="76" ht="15.75" customHeight="1">
      <c r="A76" s="228"/>
      <c r="B76" s="234">
        <f>'Nagata Tuna'!B73</f>
        <v>45227</v>
      </c>
      <c r="C76" s="248"/>
      <c r="D76" s="228"/>
      <c r="E76" s="240"/>
      <c r="F76" s="241">
        <v>20000.0</v>
      </c>
      <c r="G76" s="244">
        <f>J75</f>
        <v>15241.74654</v>
      </c>
      <c r="H76" s="240">
        <f>F76*G76</f>
        <v>304834930.7</v>
      </c>
      <c r="I76" s="242">
        <f>I75-F76</f>
        <v>11941.8</v>
      </c>
      <c r="J76" s="243">
        <f t="shared" si="23"/>
        <v>15241.74654</v>
      </c>
      <c r="K76" s="244">
        <f>K75-H76</f>
        <v>182013888.8</v>
      </c>
      <c r="L76" s="220">
        <f>H76</f>
        <v>304834930.7</v>
      </c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  <c r="AA76" s="218"/>
      <c r="AB76" s="218"/>
      <c r="AC76" s="218"/>
      <c r="AD76" s="218"/>
      <c r="AE76" s="218"/>
      <c r="AF76" s="218"/>
      <c r="AG76" s="218"/>
      <c r="AH76" s="218"/>
      <c r="AI76" s="218"/>
      <c r="AJ76" s="218"/>
      <c r="AK76" s="218"/>
      <c r="AL76" s="218"/>
      <c r="AM76" s="218"/>
      <c r="AN76" s="218"/>
      <c r="AO76" s="218"/>
      <c r="AP76" s="218"/>
      <c r="AQ76" s="218"/>
      <c r="AR76" s="218"/>
      <c r="AS76" s="218"/>
      <c r="AT76" s="218"/>
      <c r="AU76" s="218"/>
      <c r="AV76" s="218"/>
      <c r="AW76" s="218"/>
      <c r="AX76" s="218"/>
      <c r="AY76" s="218"/>
      <c r="AZ76" s="218"/>
      <c r="BA76" s="218"/>
      <c r="BB76" s="218"/>
      <c r="BC76" s="218"/>
      <c r="BD76" s="218"/>
      <c r="BE76" s="218"/>
      <c r="BF76" s="218"/>
      <c r="BG76" s="218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218"/>
      <c r="BW76" s="218"/>
      <c r="BX76" s="218"/>
      <c r="BY76" s="218"/>
      <c r="BZ76" s="218"/>
      <c r="CA76" s="218"/>
      <c r="CB76" s="218"/>
      <c r="CC76" s="218"/>
      <c r="CD76" s="218"/>
      <c r="CE76" s="218"/>
    </row>
    <row r="77" ht="15.75" customHeight="1">
      <c r="A77" s="166"/>
      <c r="B77" s="232">
        <f>'Nagata Tuna'!B73</f>
        <v>45227</v>
      </c>
      <c r="C77" s="237">
        <f>SUM('Nagata Tuna'!D73:G73)</f>
        <v>8026.2</v>
      </c>
      <c r="D77" s="237">
        <f>'Nagata Tuna'!X73</f>
        <v>15328.60992</v>
      </c>
      <c r="E77" s="239">
        <f t="shared" ref="E77:E78" si="52">C77*D77</f>
        <v>123030488.9</v>
      </c>
      <c r="F77" s="238"/>
      <c r="G77" s="238"/>
      <c r="H77" s="239"/>
      <c r="I77" s="245">
        <f t="shared" ref="I77:I78" si="53">I76+C77</f>
        <v>19968</v>
      </c>
      <c r="J77" s="246">
        <f t="shared" si="23"/>
        <v>15276.66154</v>
      </c>
      <c r="K77" s="247">
        <f t="shared" ref="K77:K78" si="54">K76+E77</f>
        <v>305044377.7</v>
      </c>
    </row>
    <row r="78" ht="15.75" customHeight="1">
      <c r="A78" s="166"/>
      <c r="B78" s="232">
        <f>'Nagata Tuna'!B74</f>
        <v>45228</v>
      </c>
      <c r="C78" s="237">
        <f>SUM('Nagata Tuna'!D74:G74)</f>
        <v>3147</v>
      </c>
      <c r="D78" s="237">
        <f>'Nagata Tuna'!X74</f>
        <v>15852.30686</v>
      </c>
      <c r="E78" s="239">
        <f t="shared" si="52"/>
        <v>49887209.7</v>
      </c>
      <c r="F78" s="238"/>
      <c r="G78" s="238"/>
      <c r="H78" s="239"/>
      <c r="I78" s="245">
        <f t="shared" si="53"/>
        <v>23115</v>
      </c>
      <c r="J78" s="246">
        <f t="shared" si="23"/>
        <v>15355.03298</v>
      </c>
      <c r="K78" s="247">
        <f t="shared" si="54"/>
        <v>354931587.4</v>
      </c>
    </row>
    <row r="79" ht="15.75" customHeight="1">
      <c r="A79" s="228"/>
      <c r="B79" s="234">
        <v>45232.0</v>
      </c>
      <c r="C79" s="248"/>
      <c r="D79" s="248"/>
      <c r="E79" s="240"/>
      <c r="F79" s="241">
        <v>19340.0</v>
      </c>
      <c r="G79" s="244">
        <f>J78</f>
        <v>15355.03298</v>
      </c>
      <c r="H79" s="240">
        <f>F79*G79</f>
        <v>296966337.9</v>
      </c>
      <c r="I79" s="242">
        <f>I78-F79</f>
        <v>3775</v>
      </c>
      <c r="J79" s="243">
        <f t="shared" si="23"/>
        <v>15355.03298</v>
      </c>
      <c r="K79" s="244">
        <f>K78-H79</f>
        <v>57965249.51</v>
      </c>
      <c r="L79" s="220">
        <f>H79+'Persediaan &amp; HPP Cakalang PP'!H73</f>
        <v>305864914.3</v>
      </c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  <c r="AA79" s="218"/>
      <c r="AB79" s="218"/>
      <c r="AC79" s="218"/>
      <c r="AD79" s="218"/>
      <c r="AE79" s="218"/>
      <c r="AF79" s="218"/>
      <c r="AG79" s="218"/>
      <c r="AH79" s="218"/>
      <c r="AI79" s="218"/>
      <c r="AJ79" s="218"/>
      <c r="AK79" s="218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8"/>
      <c r="AX79" s="218"/>
      <c r="AY79" s="218"/>
      <c r="AZ79" s="218"/>
      <c r="BA79" s="218"/>
      <c r="BB79" s="218"/>
      <c r="BC79" s="218"/>
      <c r="BD79" s="218"/>
      <c r="BE79" s="218"/>
      <c r="BF79" s="218"/>
      <c r="BG79" s="218"/>
      <c r="BH79" s="218"/>
      <c r="BI79" s="218"/>
      <c r="BJ79" s="218"/>
      <c r="BK79" s="218"/>
      <c r="BL79" s="218"/>
      <c r="BM79" s="218"/>
      <c r="BN79" s="218"/>
      <c r="BO79" s="218"/>
      <c r="BP79" s="218"/>
      <c r="BQ79" s="218"/>
      <c r="BR79" s="218"/>
      <c r="BS79" s="218"/>
      <c r="BT79" s="218"/>
      <c r="BU79" s="218"/>
      <c r="BV79" s="218"/>
      <c r="BW79" s="218"/>
      <c r="BX79" s="218"/>
      <c r="BY79" s="218"/>
      <c r="BZ79" s="218"/>
      <c r="CA79" s="218"/>
      <c r="CB79" s="218"/>
      <c r="CC79" s="218"/>
      <c r="CD79" s="218"/>
      <c r="CE79" s="218"/>
    </row>
    <row r="80" ht="15.75" customHeight="1">
      <c r="A80" s="166"/>
      <c r="B80" s="232">
        <f>'Nagata Tuna'!B77</f>
        <v>45234</v>
      </c>
      <c r="C80" s="237">
        <f>SUM('Nagata Tuna'!D77:J77)</f>
        <v>4882.1</v>
      </c>
      <c r="D80" s="237">
        <f>'Nagata Tuna'!X77</f>
        <v>15005.61415</v>
      </c>
      <c r="E80" s="239">
        <f t="shared" ref="E80:E85" si="55">C80*D80</f>
        <v>73258908.85</v>
      </c>
      <c r="F80" s="238"/>
      <c r="G80" s="238"/>
      <c r="H80" s="239"/>
      <c r="I80" s="245">
        <f t="shared" ref="I80:I85" si="56">I79+C80</f>
        <v>8657.1</v>
      </c>
      <c r="J80" s="246">
        <f t="shared" si="23"/>
        <v>15157.98112</v>
      </c>
      <c r="K80" s="247">
        <f t="shared" ref="K80:K85" si="57">K79+E80</f>
        <v>131224158.4</v>
      </c>
    </row>
    <row r="81" ht="15.75" customHeight="1">
      <c r="A81" s="166"/>
      <c r="B81" s="232">
        <f>'Nagata Tuna'!B78</f>
        <v>45235</v>
      </c>
      <c r="C81" s="237">
        <f>SUM('Nagata Tuna'!D78:J78)</f>
        <v>3079.7</v>
      </c>
      <c r="D81" s="237">
        <f>'Nagata Tuna'!X78</f>
        <v>15337.31503</v>
      </c>
      <c r="E81" s="239">
        <f t="shared" si="55"/>
        <v>47234329.1</v>
      </c>
      <c r="F81" s="238"/>
      <c r="G81" s="238"/>
      <c r="H81" s="239"/>
      <c r="I81" s="245">
        <f t="shared" si="56"/>
        <v>11736.8</v>
      </c>
      <c r="J81" s="246">
        <f t="shared" si="23"/>
        <v>15205.03778</v>
      </c>
      <c r="K81" s="247">
        <f t="shared" si="57"/>
        <v>178458487.5</v>
      </c>
    </row>
    <row r="82" ht="15.75" customHeight="1">
      <c r="A82" s="166"/>
      <c r="B82" s="232">
        <f>'Nagata Tuna'!B79</f>
        <v>45236</v>
      </c>
      <c r="C82" s="237">
        <f>SUM('Nagata Tuna'!D79:J79)</f>
        <v>3960.5</v>
      </c>
      <c r="D82" s="237">
        <f>'Nagata Tuna'!X79</f>
        <v>15177.43699</v>
      </c>
      <c r="E82" s="239">
        <f t="shared" si="55"/>
        <v>60110239.2</v>
      </c>
      <c r="F82" s="238"/>
      <c r="G82" s="238"/>
      <c r="H82" s="239"/>
      <c r="I82" s="245">
        <f t="shared" si="56"/>
        <v>15697.3</v>
      </c>
      <c r="J82" s="246">
        <f t="shared" si="23"/>
        <v>15198.07398</v>
      </c>
      <c r="K82" s="247">
        <f t="shared" si="57"/>
        <v>238568726.7</v>
      </c>
    </row>
    <row r="83" ht="15.75" customHeight="1">
      <c r="A83" s="166"/>
      <c r="B83" s="232">
        <f>'Nagata Tuna'!B80</f>
        <v>45237</v>
      </c>
      <c r="C83" s="237">
        <f>SUM('Nagata Tuna'!D80:J80)</f>
        <v>6463.9</v>
      </c>
      <c r="D83" s="237">
        <f>'Nagata Tuna'!X80</f>
        <v>15086.79314</v>
      </c>
      <c r="E83" s="239">
        <f t="shared" si="55"/>
        <v>97519522.2</v>
      </c>
      <c r="F83" s="238"/>
      <c r="G83" s="238"/>
      <c r="H83" s="239"/>
      <c r="I83" s="245">
        <f t="shared" si="56"/>
        <v>22161.2</v>
      </c>
      <c r="J83" s="246">
        <f t="shared" si="23"/>
        <v>15165.61598</v>
      </c>
      <c r="K83" s="247">
        <f t="shared" si="57"/>
        <v>336088248.9</v>
      </c>
    </row>
    <row r="84" ht="15.75" customHeight="1">
      <c r="A84" s="166"/>
      <c r="B84" s="232">
        <f>'Nagata Tuna'!B81</f>
        <v>45238</v>
      </c>
      <c r="C84" s="237">
        <f>SUM('Nagata Tuna'!D81:J81)</f>
        <v>3414</v>
      </c>
      <c r="D84" s="237">
        <f>'Nagata Tuna'!X81</f>
        <v>14301.07741</v>
      </c>
      <c r="E84" s="239">
        <f t="shared" si="55"/>
        <v>48823878.26</v>
      </c>
      <c r="F84" s="238"/>
      <c r="G84" s="238"/>
      <c r="H84" s="239"/>
      <c r="I84" s="245">
        <f t="shared" si="56"/>
        <v>25575.2</v>
      </c>
      <c r="J84" s="246">
        <f t="shared" si="23"/>
        <v>15050.20986</v>
      </c>
      <c r="K84" s="247">
        <f t="shared" si="57"/>
        <v>384912127.1</v>
      </c>
    </row>
    <row r="85" ht="15.75" customHeight="1">
      <c r="A85" s="166"/>
      <c r="B85" s="232">
        <f>'Nagata Tuna'!B82</f>
        <v>45239</v>
      </c>
      <c r="C85" s="237">
        <f>SUM('Nagata Tuna'!D82:J82)</f>
        <v>4756.3</v>
      </c>
      <c r="D85" s="237">
        <f>'Nagata Tuna'!X82</f>
        <v>14326.49983</v>
      </c>
      <c r="E85" s="239">
        <f t="shared" si="55"/>
        <v>68141131.15</v>
      </c>
      <c r="F85" s="238"/>
      <c r="G85" s="238"/>
      <c r="H85" s="239"/>
      <c r="I85" s="245">
        <f t="shared" si="56"/>
        <v>30331.5</v>
      </c>
      <c r="J85" s="246">
        <f t="shared" si="23"/>
        <v>14936.72447</v>
      </c>
      <c r="K85" s="247">
        <f t="shared" si="57"/>
        <v>453053258.3</v>
      </c>
    </row>
    <row r="86" ht="15.75" customHeight="1">
      <c r="A86" s="228"/>
      <c r="B86" s="234">
        <v>45240.0</v>
      </c>
      <c r="C86" s="248"/>
      <c r="D86" s="248"/>
      <c r="E86" s="240"/>
      <c r="F86" s="241">
        <v>20300.0</v>
      </c>
      <c r="G86" s="244">
        <f>J85</f>
        <v>14936.72447</v>
      </c>
      <c r="H86" s="240">
        <f>F86*G86</f>
        <v>303215506.8</v>
      </c>
      <c r="I86" s="242">
        <f>I85-F86</f>
        <v>10031.5</v>
      </c>
      <c r="J86" s="243">
        <f t="shared" si="23"/>
        <v>14936.72447</v>
      </c>
      <c r="K86" s="244">
        <f>K85-H86</f>
        <v>149837751.5</v>
      </c>
      <c r="L86" s="220">
        <f>H86</f>
        <v>303215506.8</v>
      </c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  <c r="AA86" s="218"/>
      <c r="AB86" s="218"/>
      <c r="AC86" s="218"/>
      <c r="AD86" s="218"/>
      <c r="AE86" s="218"/>
      <c r="AF86" s="218"/>
      <c r="AG86" s="218"/>
      <c r="AH86" s="218"/>
      <c r="AI86" s="218"/>
      <c r="AJ86" s="218"/>
      <c r="AK86" s="218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8"/>
      <c r="AX86" s="218"/>
      <c r="AY86" s="218"/>
      <c r="AZ86" s="218"/>
      <c r="BA86" s="218"/>
      <c r="BB86" s="218"/>
      <c r="BC86" s="218"/>
      <c r="BD86" s="218"/>
      <c r="BE86" s="218"/>
      <c r="BF86" s="218"/>
      <c r="BG86" s="218"/>
      <c r="BH86" s="218"/>
      <c r="BI86" s="218"/>
      <c r="BJ86" s="218"/>
      <c r="BK86" s="218"/>
      <c r="BL86" s="218"/>
      <c r="BM86" s="218"/>
      <c r="BN86" s="218"/>
      <c r="BO86" s="218"/>
      <c r="BP86" s="218"/>
      <c r="BQ86" s="218"/>
      <c r="BR86" s="218"/>
      <c r="BS86" s="218"/>
      <c r="BT86" s="218"/>
      <c r="BU86" s="218"/>
      <c r="BV86" s="218"/>
      <c r="BW86" s="218"/>
      <c r="BX86" s="218"/>
      <c r="BY86" s="218"/>
      <c r="BZ86" s="218"/>
      <c r="CA86" s="218"/>
      <c r="CB86" s="218"/>
      <c r="CC86" s="218"/>
      <c r="CD86" s="218"/>
      <c r="CE86" s="218"/>
    </row>
    <row r="87" ht="15.75" customHeight="1">
      <c r="A87" s="166"/>
      <c r="B87" s="232">
        <f>'Nagata Tuna'!B83</f>
        <v>45241</v>
      </c>
      <c r="C87" s="237">
        <f>SUM('Nagata Tuna'!D83:G83)</f>
        <v>4550</v>
      </c>
      <c r="D87" s="237">
        <f>'Nagata Tuna'!X83</f>
        <v>14692.86878</v>
      </c>
      <c r="E87" s="239">
        <f t="shared" ref="E87:E91" si="58">C87*D87</f>
        <v>66852552.94</v>
      </c>
      <c r="F87" s="238"/>
      <c r="G87" s="238"/>
      <c r="H87" s="239"/>
      <c r="I87" s="245">
        <f t="shared" ref="I87:I91" si="59">I86+C87</f>
        <v>14581.5</v>
      </c>
      <c r="J87" s="246">
        <f t="shared" si="23"/>
        <v>14860.63193</v>
      </c>
      <c r="K87" s="247">
        <f t="shared" ref="K87:K91" si="60">K86+E87</f>
        <v>216690304.5</v>
      </c>
    </row>
    <row r="88" ht="15.75" customHeight="1">
      <c r="A88" s="166"/>
      <c r="B88" s="232">
        <f>'Nagata Tuna'!B84</f>
        <v>45242</v>
      </c>
      <c r="C88" s="237">
        <f>SUM('Nagata Tuna'!D84:G84)</f>
        <v>3323.9</v>
      </c>
      <c r="D88" s="237">
        <f>'Nagata Tuna'!X84</f>
        <v>14314.12902</v>
      </c>
      <c r="E88" s="239">
        <f t="shared" si="58"/>
        <v>47578733.45</v>
      </c>
      <c r="F88" s="238"/>
      <c r="G88" s="238"/>
      <c r="H88" s="239"/>
      <c r="I88" s="245">
        <f t="shared" si="59"/>
        <v>17905.4</v>
      </c>
      <c r="J88" s="246">
        <f t="shared" si="23"/>
        <v>14759.18091</v>
      </c>
      <c r="K88" s="247">
        <f t="shared" si="60"/>
        <v>264269037.9</v>
      </c>
    </row>
    <row r="89" ht="15.75" customHeight="1">
      <c r="A89" s="166"/>
      <c r="B89" s="232">
        <f>'Nagata Tuna'!B85</f>
        <v>45243</v>
      </c>
      <c r="C89" s="237">
        <f>SUM('Nagata Tuna'!D85:G85)</f>
        <v>3068.1</v>
      </c>
      <c r="D89" s="237">
        <f>'Nagata Tuna'!X85</f>
        <v>15341.17487</v>
      </c>
      <c r="E89" s="239">
        <f t="shared" si="58"/>
        <v>47068258.62</v>
      </c>
      <c r="F89" s="238"/>
      <c r="G89" s="238"/>
      <c r="H89" s="239"/>
      <c r="I89" s="245">
        <f t="shared" si="59"/>
        <v>20973.5</v>
      </c>
      <c r="J89" s="246">
        <f t="shared" si="23"/>
        <v>14844.31766</v>
      </c>
      <c r="K89" s="247">
        <f t="shared" si="60"/>
        <v>311337296.5</v>
      </c>
    </row>
    <row r="90" ht="15.75" customHeight="1">
      <c r="A90" s="166"/>
      <c r="B90" s="232">
        <f>'Nagata Tuna'!B86</f>
        <v>45244</v>
      </c>
      <c r="C90" s="237">
        <f>SUM('Nagata Tuna'!D86:J86)</f>
        <v>6480</v>
      </c>
      <c r="D90" s="237">
        <f>'Nagata Tuna'!X86</f>
        <v>13383.3788</v>
      </c>
      <c r="E90" s="239">
        <f t="shared" si="58"/>
        <v>86724294.59</v>
      </c>
      <c r="F90" s="238"/>
      <c r="G90" s="238"/>
      <c r="H90" s="239"/>
      <c r="I90" s="245">
        <f t="shared" si="59"/>
        <v>27453.5</v>
      </c>
      <c r="J90" s="246">
        <f t="shared" si="23"/>
        <v>14499.48426</v>
      </c>
      <c r="K90" s="247">
        <f t="shared" si="60"/>
        <v>398061591.1</v>
      </c>
    </row>
    <row r="91" ht="15.75" customHeight="1">
      <c r="A91" s="166"/>
      <c r="B91" s="232">
        <f>'Nagata Tuna'!B87</f>
        <v>45245</v>
      </c>
      <c r="C91" s="237">
        <f>SUM('Nagata Tuna'!D87:J87)</f>
        <v>3084.8</v>
      </c>
      <c r="D91" s="237">
        <f>'Nagata Tuna'!X87</f>
        <v>13348.1809</v>
      </c>
      <c r="E91" s="239">
        <f t="shared" si="58"/>
        <v>41176468.45</v>
      </c>
      <c r="F91" s="238"/>
      <c r="G91" s="238"/>
      <c r="H91" s="239"/>
      <c r="I91" s="245">
        <f t="shared" si="59"/>
        <v>30538.3</v>
      </c>
      <c r="J91" s="246">
        <f t="shared" si="23"/>
        <v>14383.18635</v>
      </c>
      <c r="K91" s="247">
        <f t="shared" si="60"/>
        <v>439238059.6</v>
      </c>
    </row>
    <row r="92" ht="15.75" customHeight="1">
      <c r="A92" s="228"/>
      <c r="B92" s="234">
        <v>45247.0</v>
      </c>
      <c r="C92" s="228"/>
      <c r="D92" s="228"/>
      <c r="E92" s="240"/>
      <c r="F92" s="241">
        <v>20000.0</v>
      </c>
      <c r="G92" s="244">
        <f>J91</f>
        <v>14383.18635</v>
      </c>
      <c r="H92" s="240">
        <f>F92*G92</f>
        <v>287663726.9</v>
      </c>
      <c r="I92" s="242">
        <f>I91-F92</f>
        <v>10538.3</v>
      </c>
      <c r="J92" s="243">
        <f t="shared" si="23"/>
        <v>14383.18635</v>
      </c>
      <c r="K92" s="244">
        <f>K91-H92</f>
        <v>151574332.7</v>
      </c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  <c r="AA92" s="218"/>
      <c r="AB92" s="218"/>
      <c r="AC92" s="218"/>
      <c r="AD92" s="218"/>
      <c r="AE92" s="218"/>
      <c r="AF92" s="218"/>
      <c r="AG92" s="218"/>
      <c r="AH92" s="218"/>
      <c r="AI92" s="218"/>
      <c r="AJ92" s="218"/>
      <c r="AK92" s="218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8"/>
      <c r="AX92" s="218"/>
      <c r="AY92" s="218"/>
      <c r="AZ92" s="218"/>
      <c r="BA92" s="218"/>
      <c r="BB92" s="218"/>
      <c r="BC92" s="218"/>
      <c r="BD92" s="218"/>
      <c r="BE92" s="218"/>
      <c r="BF92" s="218"/>
      <c r="BG92" s="218"/>
      <c r="BH92" s="218"/>
      <c r="BI92" s="218"/>
      <c r="BJ92" s="218"/>
      <c r="BK92" s="218"/>
      <c r="BL92" s="218"/>
      <c r="BM92" s="218"/>
      <c r="BN92" s="218"/>
      <c r="BO92" s="218"/>
      <c r="BP92" s="218"/>
      <c r="BQ92" s="218"/>
      <c r="BR92" s="218"/>
      <c r="BS92" s="218"/>
      <c r="BT92" s="218"/>
      <c r="BU92" s="218"/>
      <c r="BV92" s="218"/>
      <c r="BW92" s="218"/>
      <c r="BX92" s="218"/>
      <c r="BY92" s="218"/>
      <c r="BZ92" s="218"/>
      <c r="CA92" s="218"/>
      <c r="CB92" s="218"/>
      <c r="CC92" s="218"/>
      <c r="CD92" s="218"/>
      <c r="CE92" s="218"/>
    </row>
    <row r="93" ht="15.75" customHeight="1">
      <c r="A93" s="166"/>
      <c r="B93" s="232">
        <f>'Nagata Tuna'!B88</f>
        <v>45248</v>
      </c>
      <c r="C93" s="249">
        <f>SUM('Nagata Tuna'!E88:J88)</f>
        <v>2250.2</v>
      </c>
      <c r="D93" s="237">
        <f>'Nagata Tuna'!X88</f>
        <v>13352.86698</v>
      </c>
      <c r="E93" s="239">
        <f t="shared" ref="E93:E97" si="61">C93*D93</f>
        <v>30046621.29</v>
      </c>
      <c r="F93" s="238"/>
      <c r="G93" s="238"/>
      <c r="H93" s="239"/>
      <c r="I93" s="245">
        <f t="shared" ref="I93:I97" si="62">I92+C93</f>
        <v>12788.5</v>
      </c>
      <c r="J93" s="246">
        <f t="shared" si="23"/>
        <v>14201.89654</v>
      </c>
      <c r="K93" s="247">
        <f t="shared" ref="K93:K97" si="63">K92+E93</f>
        <v>181620954</v>
      </c>
    </row>
    <row r="94" ht="15.75" customHeight="1">
      <c r="A94" s="166"/>
      <c r="B94" s="232">
        <f>'Nagata Tuna'!B89</f>
        <v>45249</v>
      </c>
      <c r="C94" s="249">
        <f>SUM('Nagata Tuna'!E89:J89)</f>
        <v>6062.7</v>
      </c>
      <c r="D94" s="237">
        <f>'Nagata Tuna'!X89</f>
        <v>13088.05536</v>
      </c>
      <c r="E94" s="239">
        <f t="shared" si="61"/>
        <v>79348953.24</v>
      </c>
      <c r="F94" s="238"/>
      <c r="G94" s="238"/>
      <c r="H94" s="239"/>
      <c r="I94" s="245">
        <f t="shared" si="62"/>
        <v>18851.2</v>
      </c>
      <c r="J94" s="246">
        <f t="shared" si="23"/>
        <v>13843.67612</v>
      </c>
      <c r="K94" s="247">
        <f t="shared" si="63"/>
        <v>260969907.2</v>
      </c>
    </row>
    <row r="95" ht="15.75" customHeight="1">
      <c r="A95" s="166"/>
      <c r="B95" s="232">
        <f>'Nagata Tuna'!B90</f>
        <v>45250</v>
      </c>
      <c r="C95" s="249">
        <f>SUM('Nagata Tuna'!E90:J90)</f>
        <v>3239.6</v>
      </c>
      <c r="D95" s="237">
        <f>'Nagata Tuna'!X90</f>
        <v>12334.05473</v>
      </c>
      <c r="E95" s="239">
        <f t="shared" si="61"/>
        <v>39957403.7</v>
      </c>
      <c r="F95" s="238"/>
      <c r="G95" s="238"/>
      <c r="H95" s="239"/>
      <c r="I95" s="245">
        <f t="shared" si="62"/>
        <v>22090.8</v>
      </c>
      <c r="J95" s="246">
        <f t="shared" si="23"/>
        <v>13622.29122</v>
      </c>
      <c r="K95" s="247">
        <f t="shared" si="63"/>
        <v>300927310.9</v>
      </c>
    </row>
    <row r="96" ht="15.75" customHeight="1">
      <c r="A96" s="166"/>
      <c r="B96" s="232">
        <f>'Nagata Tuna'!B91</f>
        <v>45258</v>
      </c>
      <c r="C96" s="249">
        <f>SUM('Nagata Tuna'!E91:J91)</f>
        <v>6229.1</v>
      </c>
      <c r="D96" s="237">
        <f>'Nagata Tuna'!X91</f>
        <v>14217.08615</v>
      </c>
      <c r="E96" s="239">
        <f t="shared" si="61"/>
        <v>88559651.35</v>
      </c>
      <c r="F96" s="238"/>
      <c r="G96" s="238"/>
      <c r="H96" s="239"/>
      <c r="I96" s="245">
        <f t="shared" si="62"/>
        <v>28319.9</v>
      </c>
      <c r="J96" s="246">
        <f t="shared" si="23"/>
        <v>13753.11926</v>
      </c>
      <c r="K96" s="247">
        <f t="shared" si="63"/>
        <v>389486962.2</v>
      </c>
    </row>
    <row r="97" ht="15.75" customHeight="1">
      <c r="A97" s="166"/>
      <c r="B97" s="232">
        <f>'Nagata Tuna'!B94</f>
        <v>45265</v>
      </c>
      <c r="C97" s="237">
        <f>SUM('Nagata Tuna'!D94:J94)</f>
        <v>2997.1</v>
      </c>
      <c r="D97" s="237">
        <f>'Nagata Tuna'!X94</f>
        <v>14999.16869</v>
      </c>
      <c r="E97" s="239">
        <f t="shared" si="61"/>
        <v>44954008.48</v>
      </c>
      <c r="F97" s="238"/>
      <c r="G97" s="238"/>
      <c r="H97" s="239"/>
      <c r="I97" s="245">
        <f t="shared" si="62"/>
        <v>31317</v>
      </c>
      <c r="J97" s="246">
        <f t="shared" si="23"/>
        <v>13872.3687</v>
      </c>
      <c r="K97" s="247">
        <f t="shared" si="63"/>
        <v>434440970.7</v>
      </c>
    </row>
    <row r="98" ht="15.75" customHeight="1">
      <c r="A98" s="228"/>
      <c r="B98" s="234">
        <v>45265.0</v>
      </c>
      <c r="C98" s="248"/>
      <c r="D98" s="248"/>
      <c r="E98" s="240"/>
      <c r="F98" s="241">
        <v>15650.0</v>
      </c>
      <c r="G98" s="244">
        <f>J97</f>
        <v>13872.3687</v>
      </c>
      <c r="H98" s="240">
        <f>F98*G98</f>
        <v>217102570.2</v>
      </c>
      <c r="I98" s="242">
        <f>I97-F98</f>
        <v>15667</v>
      </c>
      <c r="J98" s="243">
        <f t="shared" si="23"/>
        <v>13872.3687</v>
      </c>
      <c r="K98" s="244">
        <f>K97-H98</f>
        <v>217338400.5</v>
      </c>
      <c r="L98" s="220">
        <f>H98+'Persediaan &amp; HPP Cakalang PP'!H90</f>
        <v>225018151.8</v>
      </c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  <c r="AA98" s="218"/>
      <c r="AB98" s="218"/>
      <c r="AC98" s="218"/>
      <c r="AD98" s="218"/>
      <c r="AE98" s="218"/>
      <c r="AF98" s="218"/>
      <c r="AG98" s="218"/>
      <c r="AH98" s="218"/>
      <c r="AI98" s="218"/>
      <c r="AJ98" s="218"/>
      <c r="AK98" s="218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8"/>
      <c r="AX98" s="218"/>
      <c r="AY98" s="218"/>
      <c r="AZ98" s="218"/>
      <c r="BA98" s="218"/>
      <c r="BB98" s="218"/>
      <c r="BC98" s="218"/>
      <c r="BD98" s="218"/>
      <c r="BE98" s="218"/>
      <c r="BF98" s="218"/>
      <c r="BG98" s="218"/>
      <c r="BH98" s="218"/>
      <c r="BI98" s="218"/>
      <c r="BJ98" s="218"/>
      <c r="BK98" s="218"/>
      <c r="BL98" s="218"/>
      <c r="BM98" s="218"/>
      <c r="BN98" s="218"/>
      <c r="BO98" s="218"/>
      <c r="BP98" s="218"/>
      <c r="BQ98" s="218"/>
      <c r="BR98" s="218"/>
      <c r="BS98" s="218"/>
      <c r="BT98" s="218"/>
      <c r="BU98" s="218"/>
      <c r="BV98" s="218"/>
      <c r="BW98" s="218"/>
      <c r="BX98" s="218"/>
      <c r="BY98" s="218"/>
      <c r="BZ98" s="218"/>
      <c r="CA98" s="218"/>
      <c r="CB98" s="218"/>
      <c r="CC98" s="218"/>
      <c r="CD98" s="218"/>
      <c r="CE98" s="218"/>
    </row>
    <row r="99" ht="15.75" customHeight="1">
      <c r="A99" s="166"/>
      <c r="B99" s="232">
        <f>'Nagata Tuna'!B95</f>
        <v>45266</v>
      </c>
      <c r="C99" s="237">
        <f>SUM('Nagata Tuna'!D95:J95)</f>
        <v>2734</v>
      </c>
      <c r="D99" s="237">
        <f>'Nagata Tuna'!X95</f>
        <v>14111.66648</v>
      </c>
      <c r="E99" s="239">
        <f t="shared" ref="E99:E102" si="64">C99*D99</f>
        <v>38581296.17</v>
      </c>
      <c r="F99" s="238"/>
      <c r="G99" s="238"/>
      <c r="H99" s="239"/>
      <c r="I99" s="245">
        <f t="shared" ref="I99:I102" si="65">I98+C99</f>
        <v>18401</v>
      </c>
      <c r="J99" s="246">
        <f t="shared" si="23"/>
        <v>13907.9233</v>
      </c>
      <c r="K99" s="247">
        <f t="shared" ref="K99:K102" si="66">K98+E99</f>
        <v>255919696.7</v>
      </c>
    </row>
    <row r="100" ht="15.75" customHeight="1">
      <c r="A100" s="166"/>
      <c r="B100" s="232">
        <f>'Nagata Tuna'!B96</f>
        <v>45267</v>
      </c>
      <c r="C100" s="237">
        <f>SUM('Nagata Tuna'!D96:J96)</f>
        <v>2128</v>
      </c>
      <c r="D100" s="237">
        <f>'Nagata Tuna'!X96</f>
        <v>13996.91715</v>
      </c>
      <c r="E100" s="239">
        <f t="shared" si="64"/>
        <v>29785439.7</v>
      </c>
      <c r="F100" s="238"/>
      <c r="G100" s="238"/>
      <c r="H100" s="239"/>
      <c r="I100" s="245">
        <f t="shared" si="65"/>
        <v>20529</v>
      </c>
      <c r="J100" s="246">
        <f t="shared" si="23"/>
        <v>13917.14825</v>
      </c>
      <c r="K100" s="247">
        <f t="shared" si="66"/>
        <v>285705136.4</v>
      </c>
    </row>
    <row r="101" ht="15.75" customHeight="1">
      <c r="A101" s="166"/>
      <c r="B101" s="232">
        <f>'Nagata Tuna'!B97</f>
        <v>45269</v>
      </c>
      <c r="C101" s="237">
        <f>SUM('Nagata Tuna'!D97:J97)</f>
        <v>4054</v>
      </c>
      <c r="D101" s="237">
        <f>'Nagata Tuna'!X97</f>
        <v>14285.58624</v>
      </c>
      <c r="E101" s="239">
        <f t="shared" si="64"/>
        <v>57913766.6</v>
      </c>
      <c r="F101" s="238"/>
      <c r="G101" s="238"/>
      <c r="H101" s="239"/>
      <c r="I101" s="245">
        <f t="shared" si="65"/>
        <v>24583</v>
      </c>
      <c r="J101" s="246">
        <f t="shared" si="23"/>
        <v>13977.90762</v>
      </c>
      <c r="K101" s="247">
        <f t="shared" si="66"/>
        <v>343618903</v>
      </c>
    </row>
    <row r="102" ht="15.75" customHeight="1">
      <c r="A102" s="166"/>
      <c r="B102" s="232">
        <f>'Nagata Tuna'!B98</f>
        <v>45270</v>
      </c>
      <c r="C102" s="237">
        <f>SUM('Nagata Tuna'!D98:J98)</f>
        <v>4590</v>
      </c>
      <c r="D102" s="237">
        <f>'Nagata Tuna'!X98</f>
        <v>13143.12486</v>
      </c>
      <c r="E102" s="239">
        <f t="shared" si="64"/>
        <v>60326943.09</v>
      </c>
      <c r="F102" s="238"/>
      <c r="G102" s="238"/>
      <c r="H102" s="239"/>
      <c r="I102" s="245">
        <f t="shared" si="65"/>
        <v>29173</v>
      </c>
      <c r="J102" s="246">
        <f t="shared" si="23"/>
        <v>13846.56518</v>
      </c>
      <c r="K102" s="247">
        <f t="shared" si="66"/>
        <v>403945846</v>
      </c>
    </row>
    <row r="103" ht="15.75" customHeight="1">
      <c r="A103" s="228"/>
      <c r="B103" s="234">
        <f>B104</f>
        <v>45277</v>
      </c>
      <c r="C103" s="248"/>
      <c r="D103" s="248"/>
      <c r="E103" s="240"/>
      <c r="F103" s="241">
        <v>13430.0</v>
      </c>
      <c r="G103" s="244">
        <f>J102</f>
        <v>13846.56518</v>
      </c>
      <c r="H103" s="240">
        <f>F103*G103</f>
        <v>185959370.4</v>
      </c>
      <c r="I103" s="242">
        <f>I102-F103</f>
        <v>15743</v>
      </c>
      <c r="J103" s="243">
        <f t="shared" si="23"/>
        <v>13846.56518</v>
      </c>
      <c r="K103" s="244">
        <f>K102-H103</f>
        <v>217986475.7</v>
      </c>
      <c r="L103" s="220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  <c r="AA103" s="218"/>
      <c r="AB103" s="218"/>
      <c r="AC103" s="218"/>
      <c r="AD103" s="218"/>
      <c r="AE103" s="218"/>
      <c r="AF103" s="218"/>
      <c r="AG103" s="218"/>
      <c r="AH103" s="218"/>
      <c r="AI103" s="218"/>
      <c r="AJ103" s="218"/>
      <c r="AK103" s="218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8"/>
      <c r="AX103" s="218"/>
      <c r="AY103" s="218"/>
      <c r="AZ103" s="218"/>
      <c r="BA103" s="218"/>
      <c r="BB103" s="218"/>
      <c r="BC103" s="218"/>
      <c r="BD103" s="218"/>
      <c r="BE103" s="218"/>
      <c r="BF103" s="218"/>
      <c r="BG103" s="218"/>
      <c r="BH103" s="218"/>
      <c r="BI103" s="218"/>
      <c r="BJ103" s="218"/>
      <c r="BK103" s="218"/>
      <c r="BL103" s="218"/>
      <c r="BM103" s="218"/>
      <c r="BN103" s="218"/>
      <c r="BO103" s="218"/>
      <c r="BP103" s="218"/>
      <c r="BQ103" s="218"/>
      <c r="BR103" s="218"/>
      <c r="BS103" s="218"/>
      <c r="BT103" s="218"/>
      <c r="BU103" s="218"/>
      <c r="BV103" s="218"/>
      <c r="BW103" s="218"/>
      <c r="BX103" s="218"/>
      <c r="BY103" s="218"/>
      <c r="BZ103" s="218"/>
      <c r="CA103" s="218"/>
      <c r="CB103" s="218"/>
      <c r="CC103" s="218"/>
      <c r="CD103" s="218"/>
      <c r="CE103" s="218"/>
    </row>
    <row r="104" ht="15.75" customHeight="1">
      <c r="A104" s="166"/>
      <c r="B104" s="232">
        <f>'Nagata Tuna'!B99</f>
        <v>45277</v>
      </c>
      <c r="C104" s="237">
        <f>SUM('Nagata Tuna'!D99:J99)</f>
        <v>4705.5</v>
      </c>
      <c r="D104" s="237">
        <f>'Nagata Tuna'!X99</f>
        <v>13987.93157</v>
      </c>
      <c r="E104" s="239">
        <f t="shared" ref="E104:E106" si="67">C104*D104</f>
        <v>65820211.98</v>
      </c>
      <c r="F104" s="238"/>
      <c r="G104" s="238"/>
      <c r="H104" s="239"/>
      <c r="I104" s="245">
        <f t="shared" ref="I104:I106" si="68">I103+C104</f>
        <v>20448.5</v>
      </c>
      <c r="J104" s="246">
        <f t="shared" si="23"/>
        <v>13879.09566</v>
      </c>
      <c r="K104" s="247">
        <f t="shared" ref="K104:K106" si="69">K103+E104</f>
        <v>283806687.6</v>
      </c>
    </row>
    <row r="105" ht="15.75" customHeight="1">
      <c r="A105" s="166"/>
      <c r="B105" s="232">
        <f>'Nagata Tuna'!B100</f>
        <v>45278</v>
      </c>
      <c r="C105" s="237">
        <f>SUM('Nagata Tuna'!D100:J100)</f>
        <v>1542.3</v>
      </c>
      <c r="D105" s="237">
        <f>'Nagata Tuna'!X100</f>
        <v>13339.32767</v>
      </c>
      <c r="E105" s="239">
        <f t="shared" si="67"/>
        <v>20573245.07</v>
      </c>
      <c r="F105" s="238"/>
      <c r="G105" s="238"/>
      <c r="H105" s="239"/>
      <c r="I105" s="245">
        <f t="shared" si="68"/>
        <v>21990.8</v>
      </c>
      <c r="J105" s="246">
        <f t="shared" si="23"/>
        <v>13841.23964</v>
      </c>
      <c r="K105" s="247">
        <f t="shared" si="69"/>
        <v>304379932.7</v>
      </c>
    </row>
    <row r="106" ht="15.75" customHeight="1">
      <c r="A106" s="166"/>
      <c r="B106" s="232">
        <f>'Nagata Tuna'!B101</f>
        <v>45279</v>
      </c>
      <c r="C106" s="237">
        <f>SUM('Nagata Tuna'!D101:J101)</f>
        <v>6097.1</v>
      </c>
      <c r="D106" s="237">
        <f>'Nagata Tuna'!X101</f>
        <v>12601.49228</v>
      </c>
      <c r="E106" s="239">
        <f t="shared" si="67"/>
        <v>76832558.58</v>
      </c>
      <c r="F106" s="238"/>
      <c r="G106" s="238"/>
      <c r="H106" s="239"/>
      <c r="I106" s="245">
        <f t="shared" si="68"/>
        <v>28087.9</v>
      </c>
      <c r="J106" s="246">
        <f t="shared" si="23"/>
        <v>13572.12505</v>
      </c>
      <c r="K106" s="247">
        <f t="shared" si="69"/>
        <v>381212491.3</v>
      </c>
    </row>
    <row r="107" ht="15.75" customHeight="1">
      <c r="A107" s="250"/>
      <c r="B107" s="251">
        <v>45309.0</v>
      </c>
      <c r="C107" s="250"/>
      <c r="D107" s="250"/>
      <c r="E107" s="252"/>
      <c r="F107" s="253">
        <v>20000.0</v>
      </c>
      <c r="G107" s="254">
        <f>J106</f>
        <v>13572.12505</v>
      </c>
      <c r="H107" s="252">
        <f>F107*G107</f>
        <v>271442501.1</v>
      </c>
      <c r="I107" s="255"/>
      <c r="J107" s="256"/>
      <c r="K107" s="254"/>
      <c r="L107" s="257"/>
      <c r="M107" s="257"/>
      <c r="N107" s="257"/>
      <c r="O107" s="257"/>
      <c r="P107" s="257"/>
      <c r="Q107" s="257"/>
      <c r="R107" s="257"/>
      <c r="S107" s="257"/>
      <c r="T107" s="257"/>
      <c r="U107" s="257"/>
      <c r="V107" s="257"/>
      <c r="W107" s="257"/>
      <c r="X107" s="257"/>
      <c r="Y107" s="257"/>
      <c r="Z107" s="257"/>
      <c r="AA107" s="257"/>
      <c r="AB107" s="257"/>
      <c r="AC107" s="257"/>
      <c r="AD107" s="257"/>
      <c r="AE107" s="257"/>
      <c r="AF107" s="257"/>
      <c r="AG107" s="257"/>
      <c r="AH107" s="257"/>
      <c r="AI107" s="257"/>
      <c r="AJ107" s="257"/>
      <c r="AK107" s="257"/>
      <c r="AL107" s="257"/>
      <c r="AM107" s="257"/>
      <c r="AN107" s="257"/>
      <c r="AO107" s="257"/>
      <c r="AP107" s="257"/>
      <c r="AQ107" s="257"/>
      <c r="AR107" s="257"/>
      <c r="AS107" s="257"/>
      <c r="AT107" s="257"/>
      <c r="AU107" s="257"/>
      <c r="AV107" s="257"/>
      <c r="AW107" s="257"/>
      <c r="AX107" s="257"/>
      <c r="AY107" s="257"/>
      <c r="AZ107" s="257"/>
      <c r="BA107" s="257"/>
      <c r="BB107" s="257"/>
      <c r="BC107" s="257"/>
      <c r="BD107" s="257"/>
      <c r="BE107" s="257"/>
      <c r="BF107" s="257"/>
      <c r="BG107" s="257"/>
      <c r="BH107" s="257"/>
      <c r="BI107" s="257"/>
      <c r="BJ107" s="257"/>
      <c r="BK107" s="257"/>
      <c r="BL107" s="257"/>
      <c r="BM107" s="257"/>
      <c r="BN107" s="257"/>
      <c r="BO107" s="257"/>
      <c r="BP107" s="257"/>
      <c r="BQ107" s="257"/>
      <c r="BR107" s="257"/>
      <c r="BS107" s="257"/>
      <c r="BT107" s="257"/>
      <c r="BU107" s="257"/>
      <c r="BV107" s="257"/>
      <c r="BW107" s="257"/>
      <c r="BX107" s="257"/>
      <c r="BY107" s="257"/>
      <c r="BZ107" s="257"/>
      <c r="CA107" s="257"/>
      <c r="CB107" s="257"/>
      <c r="CC107" s="257"/>
      <c r="CD107" s="257"/>
      <c r="CE107" s="257"/>
    </row>
    <row r="108" ht="15.75" customHeight="1">
      <c r="A108" s="166"/>
      <c r="B108" s="232">
        <f>'Nagata Tuna'!B104</f>
        <v>45311</v>
      </c>
      <c r="C108" s="237">
        <f>SUM('Nagata Tuna'!D104:K104)</f>
        <v>2997.1</v>
      </c>
      <c r="D108" s="237">
        <f>'Nagata Tuna'!X104</f>
        <v>14999.16869</v>
      </c>
      <c r="E108" s="239">
        <f t="shared" ref="E108:E110" si="70">C108*D108</f>
        <v>44954008.48</v>
      </c>
      <c r="F108" s="238"/>
      <c r="G108" s="238"/>
      <c r="H108" s="239"/>
      <c r="I108" s="245">
        <f>I106+C108</f>
        <v>31085</v>
      </c>
      <c r="J108" s="246">
        <f t="shared" ref="J108:J110" si="71">K108/I108</f>
        <v>13709.71529</v>
      </c>
      <c r="K108" s="247">
        <f>K106+E108</f>
        <v>426166499.8</v>
      </c>
    </row>
    <row r="109" ht="15.75" customHeight="1">
      <c r="A109" s="166"/>
      <c r="B109" s="232">
        <f>'Nagata Tuna'!B105</f>
        <v>45312</v>
      </c>
      <c r="C109" s="237">
        <f>SUM('Nagata Tuna'!D105:K105)</f>
        <v>2734</v>
      </c>
      <c r="D109" s="237">
        <f>'Nagata Tuna'!X105</f>
        <v>14111.66648</v>
      </c>
      <c r="E109" s="239">
        <f t="shared" si="70"/>
        <v>38581296.17</v>
      </c>
      <c r="F109" s="238"/>
      <c r="G109" s="238"/>
      <c r="H109" s="239"/>
      <c r="I109" s="245">
        <f t="shared" ref="I109:I110" si="72">I108+C109</f>
        <v>33819</v>
      </c>
      <c r="J109" s="246">
        <f t="shared" si="71"/>
        <v>13742.20988</v>
      </c>
      <c r="K109" s="247">
        <f t="shared" ref="K109:K110" si="73">K108+E109</f>
        <v>464747795.9</v>
      </c>
    </row>
    <row r="110" ht="15.75" customHeight="1">
      <c r="A110" s="166"/>
      <c r="B110" s="232">
        <f>'Nagata Tuna'!B106</f>
        <v>45313</v>
      </c>
      <c r="C110" s="237">
        <f>SUM('Nagata Tuna'!D106:K106)</f>
        <v>2128</v>
      </c>
      <c r="D110" s="237">
        <f>'Nagata Tuna'!X106</f>
        <v>13996.91715</v>
      </c>
      <c r="E110" s="239">
        <f t="shared" si="70"/>
        <v>29785439.7</v>
      </c>
      <c r="F110" s="238"/>
      <c r="G110" s="238"/>
      <c r="H110" s="239"/>
      <c r="I110" s="245">
        <f t="shared" si="72"/>
        <v>35947</v>
      </c>
      <c r="J110" s="246">
        <f t="shared" si="71"/>
        <v>13757.28811</v>
      </c>
      <c r="K110" s="247">
        <f t="shared" si="73"/>
        <v>494533235.6</v>
      </c>
    </row>
    <row r="111" ht="15.75" customHeight="1">
      <c r="A111" s="250"/>
      <c r="B111" s="251">
        <v>45325.0</v>
      </c>
      <c r="C111" s="250"/>
      <c r="D111" s="250"/>
      <c r="E111" s="252"/>
      <c r="F111" s="253">
        <v>8000.0</v>
      </c>
      <c r="G111" s="254">
        <f>J110</f>
        <v>13757.28811</v>
      </c>
      <c r="H111" s="252">
        <f>F111*G111</f>
        <v>110058304.9</v>
      </c>
      <c r="I111" s="255"/>
      <c r="J111" s="256"/>
      <c r="K111" s="254"/>
      <c r="L111" s="257"/>
      <c r="M111" s="257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57"/>
      <c r="AG111" s="257"/>
      <c r="AH111" s="257"/>
      <c r="AI111" s="257"/>
      <c r="AJ111" s="257"/>
      <c r="AK111" s="257"/>
      <c r="AL111" s="257"/>
      <c r="AM111" s="257"/>
      <c r="AN111" s="257"/>
      <c r="AO111" s="257"/>
      <c r="AP111" s="257"/>
      <c r="AQ111" s="257"/>
      <c r="AR111" s="257"/>
      <c r="AS111" s="257"/>
      <c r="AT111" s="257"/>
      <c r="AU111" s="257"/>
      <c r="AV111" s="257"/>
      <c r="AW111" s="257"/>
      <c r="AX111" s="257"/>
      <c r="AY111" s="257"/>
      <c r="AZ111" s="257"/>
      <c r="BA111" s="257"/>
      <c r="BB111" s="257"/>
      <c r="BC111" s="257"/>
      <c r="BD111" s="257"/>
      <c r="BE111" s="257"/>
      <c r="BF111" s="257"/>
      <c r="BG111" s="257"/>
      <c r="BH111" s="257"/>
      <c r="BI111" s="257"/>
      <c r="BJ111" s="257"/>
      <c r="BK111" s="257"/>
      <c r="BL111" s="257"/>
      <c r="BM111" s="257"/>
      <c r="BN111" s="257"/>
      <c r="BO111" s="257"/>
      <c r="BP111" s="257"/>
      <c r="BQ111" s="257"/>
      <c r="BR111" s="257"/>
      <c r="BS111" s="257"/>
      <c r="BT111" s="257"/>
      <c r="BU111" s="257"/>
      <c r="BV111" s="257"/>
      <c r="BW111" s="257"/>
      <c r="BX111" s="257"/>
      <c r="BY111" s="257"/>
      <c r="BZ111" s="257"/>
      <c r="CA111" s="257"/>
      <c r="CB111" s="257"/>
      <c r="CC111" s="257"/>
      <c r="CD111" s="257"/>
      <c r="CE111" s="257"/>
    </row>
    <row r="112" ht="15.75" customHeight="1">
      <c r="A112" s="166"/>
      <c r="B112" s="258"/>
      <c r="C112" s="166"/>
      <c r="D112" s="166"/>
      <c r="E112" s="239"/>
      <c r="F112" s="238"/>
      <c r="G112" s="238"/>
      <c r="H112" s="239"/>
      <c r="I112" s="245"/>
      <c r="J112" s="246"/>
      <c r="K112" s="247"/>
    </row>
    <row r="113" ht="15.75" customHeight="1">
      <c r="A113" s="166"/>
      <c r="B113" s="259"/>
      <c r="C113" s="166"/>
      <c r="D113" s="166"/>
      <c r="E113" s="239"/>
      <c r="F113" s="238"/>
      <c r="G113" s="238"/>
      <c r="H113" s="239"/>
      <c r="I113" s="245"/>
      <c r="J113" s="246"/>
      <c r="K113" s="247"/>
    </row>
    <row r="114" ht="15.75" customHeight="1">
      <c r="B114" s="181"/>
      <c r="E114" s="182"/>
      <c r="F114" s="183"/>
      <c r="G114" s="183"/>
      <c r="H114" s="182"/>
      <c r="I114" s="184"/>
      <c r="J114" s="185"/>
      <c r="K114" s="207"/>
    </row>
    <row r="115" ht="15.75" customHeight="1">
      <c r="B115" s="181"/>
      <c r="E115" s="182"/>
      <c r="F115" s="183"/>
      <c r="G115" s="183"/>
      <c r="H115" s="182"/>
      <c r="I115" s="184"/>
      <c r="J115" s="185"/>
      <c r="K115" s="207"/>
    </row>
    <row r="116" ht="15.75" customHeight="1">
      <c r="B116" s="181"/>
      <c r="E116" s="182"/>
      <c r="F116" s="183"/>
      <c r="G116" s="183"/>
      <c r="H116" s="182"/>
      <c r="I116" s="184"/>
      <c r="J116" s="185"/>
      <c r="K116" s="207"/>
    </row>
    <row r="117" ht="15.75" customHeight="1">
      <c r="B117" s="181"/>
      <c r="E117" s="182"/>
      <c r="F117" s="183"/>
      <c r="G117" s="183"/>
      <c r="H117" s="182"/>
      <c r="I117" s="184"/>
      <c r="J117" s="185"/>
      <c r="K117" s="207"/>
    </row>
    <row r="118" ht="15.75" customHeight="1">
      <c r="B118" s="181"/>
      <c r="E118" s="182"/>
      <c r="F118" s="183"/>
      <c r="G118" s="183"/>
      <c r="H118" s="182"/>
      <c r="I118" s="184"/>
      <c r="J118" s="185"/>
      <c r="K118" s="207"/>
    </row>
    <row r="119" ht="15.75" customHeight="1">
      <c r="B119" s="181"/>
      <c r="E119" s="182"/>
      <c r="F119" s="183"/>
      <c r="G119" s="183"/>
      <c r="H119" s="182"/>
      <c r="I119" s="184"/>
      <c r="J119" s="185"/>
      <c r="K119" s="207"/>
    </row>
    <row r="120" ht="15.75" customHeight="1">
      <c r="B120" s="181"/>
      <c r="E120" s="182"/>
      <c r="F120" s="183"/>
      <c r="G120" s="183"/>
      <c r="H120" s="182"/>
      <c r="I120" s="184"/>
      <c r="J120" s="185"/>
      <c r="K120" s="207"/>
    </row>
    <row r="121" ht="15.75" customHeight="1">
      <c r="B121" s="181"/>
      <c r="E121" s="182"/>
      <c r="F121" s="183"/>
      <c r="G121" s="183"/>
      <c r="H121" s="182"/>
      <c r="I121" s="184"/>
      <c r="J121" s="185"/>
      <c r="K121" s="207"/>
    </row>
    <row r="122" ht="15.75" customHeight="1">
      <c r="B122" s="181"/>
      <c r="E122" s="182"/>
      <c r="F122" s="183"/>
      <c r="G122" s="183"/>
      <c r="H122" s="182"/>
      <c r="I122" s="184"/>
      <c r="J122" s="185"/>
      <c r="K122" s="207"/>
    </row>
    <row r="123" ht="15.75" customHeight="1">
      <c r="B123" s="181"/>
      <c r="E123" s="182"/>
      <c r="F123" s="183"/>
      <c r="G123" s="183"/>
      <c r="H123" s="182"/>
      <c r="I123" s="184"/>
      <c r="J123" s="185"/>
      <c r="K123" s="207"/>
    </row>
    <row r="124" ht="15.75" customHeight="1">
      <c r="B124" s="181"/>
      <c r="E124" s="182"/>
      <c r="F124" s="183"/>
      <c r="G124" s="183"/>
      <c r="H124" s="182"/>
      <c r="I124" s="184"/>
      <c r="J124" s="185"/>
      <c r="K124" s="207"/>
    </row>
    <row r="125" ht="15.75" customHeight="1">
      <c r="B125" s="181"/>
      <c r="E125" s="182"/>
      <c r="F125" s="183"/>
      <c r="G125" s="183"/>
      <c r="H125" s="182"/>
      <c r="I125" s="184"/>
      <c r="J125" s="185"/>
      <c r="K125" s="207"/>
    </row>
    <row r="126" ht="15.75" customHeight="1">
      <c r="B126" s="181"/>
      <c r="E126" s="182"/>
      <c r="F126" s="183"/>
      <c r="G126" s="183"/>
      <c r="H126" s="182"/>
      <c r="I126" s="184"/>
      <c r="J126" s="185"/>
      <c r="K126" s="207"/>
    </row>
    <row r="127" ht="15.75" customHeight="1">
      <c r="B127" s="181"/>
      <c r="E127" s="182"/>
      <c r="F127" s="183"/>
      <c r="G127" s="183"/>
      <c r="H127" s="182"/>
      <c r="I127" s="184"/>
      <c r="J127" s="185"/>
      <c r="K127" s="207"/>
    </row>
    <row r="128" ht="15.75" customHeight="1">
      <c r="B128" s="181"/>
      <c r="E128" s="182"/>
      <c r="F128" s="183"/>
      <c r="G128" s="183"/>
      <c r="H128" s="182"/>
      <c r="I128" s="184"/>
      <c r="J128" s="185"/>
      <c r="K128" s="207"/>
    </row>
    <row r="129" ht="15.75" customHeight="1">
      <c r="B129" s="181"/>
      <c r="E129" s="182"/>
      <c r="F129" s="183"/>
      <c r="G129" s="183"/>
      <c r="H129" s="182"/>
      <c r="I129" s="184"/>
      <c r="J129" s="185"/>
      <c r="K129" s="207"/>
    </row>
    <row r="130" ht="15.75" customHeight="1">
      <c r="B130" s="181"/>
      <c r="E130" s="182"/>
      <c r="F130" s="183"/>
      <c r="G130" s="183"/>
      <c r="H130" s="182"/>
      <c r="I130" s="184"/>
      <c r="J130" s="185"/>
      <c r="K130" s="207"/>
    </row>
    <row r="131" ht="15.75" customHeight="1">
      <c r="B131" s="181"/>
      <c r="E131" s="182"/>
      <c r="F131" s="183"/>
      <c r="G131" s="183"/>
      <c r="H131" s="182"/>
      <c r="I131" s="184"/>
      <c r="J131" s="185"/>
      <c r="K131" s="207"/>
    </row>
    <row r="132" ht="15.75" customHeight="1">
      <c r="B132" s="181"/>
      <c r="E132" s="182"/>
      <c r="F132" s="183"/>
      <c r="G132" s="183"/>
      <c r="H132" s="182"/>
      <c r="I132" s="184"/>
      <c r="J132" s="185"/>
      <c r="K132" s="207"/>
    </row>
    <row r="133" ht="15.75" customHeight="1">
      <c r="B133" s="181"/>
      <c r="E133" s="182"/>
      <c r="F133" s="183"/>
      <c r="G133" s="183"/>
      <c r="H133" s="182"/>
      <c r="I133" s="184"/>
      <c r="J133" s="185"/>
      <c r="K133" s="207"/>
    </row>
    <row r="134" ht="15.75" customHeight="1">
      <c r="B134" s="181"/>
      <c r="E134" s="182"/>
      <c r="F134" s="183"/>
      <c r="G134" s="183"/>
      <c r="H134" s="182"/>
      <c r="I134" s="184"/>
      <c r="J134" s="185"/>
      <c r="K134" s="207"/>
    </row>
    <row r="135" ht="15.75" customHeight="1">
      <c r="B135" s="181"/>
      <c r="E135" s="182"/>
      <c r="F135" s="183"/>
      <c r="G135" s="183"/>
      <c r="H135" s="182"/>
      <c r="I135" s="184"/>
      <c r="J135" s="185"/>
      <c r="K135" s="207"/>
    </row>
    <row r="136" ht="15.75" customHeight="1">
      <c r="B136" s="181"/>
      <c r="E136" s="182"/>
      <c r="F136" s="183"/>
      <c r="G136" s="183"/>
      <c r="H136" s="182"/>
      <c r="I136" s="184"/>
      <c r="J136" s="185"/>
      <c r="K136" s="207"/>
    </row>
    <row r="137" ht="15.75" customHeight="1">
      <c r="B137" s="181"/>
      <c r="E137" s="182"/>
      <c r="F137" s="183"/>
      <c r="G137" s="183"/>
      <c r="H137" s="182"/>
      <c r="I137" s="184"/>
      <c r="J137" s="185"/>
      <c r="K137" s="207"/>
    </row>
    <row r="138" ht="15.75" customHeight="1">
      <c r="B138" s="181"/>
      <c r="E138" s="182"/>
      <c r="F138" s="183"/>
      <c r="G138" s="183"/>
      <c r="H138" s="182"/>
      <c r="I138" s="184"/>
      <c r="J138" s="185"/>
      <c r="K138" s="207"/>
    </row>
    <row r="139" ht="15.75" customHeight="1">
      <c r="B139" s="181"/>
      <c r="E139" s="182"/>
      <c r="F139" s="183"/>
      <c r="G139" s="183"/>
      <c r="H139" s="182"/>
      <c r="I139" s="184"/>
      <c r="J139" s="185"/>
      <c r="K139" s="207"/>
    </row>
    <row r="140" ht="15.75" customHeight="1">
      <c r="B140" s="181"/>
      <c r="E140" s="182"/>
      <c r="F140" s="183"/>
      <c r="G140" s="183"/>
      <c r="H140" s="182"/>
      <c r="I140" s="184"/>
      <c r="J140" s="185"/>
      <c r="K140" s="207"/>
    </row>
    <row r="141" ht="15.75" customHeight="1">
      <c r="B141" s="181"/>
      <c r="E141" s="182"/>
      <c r="F141" s="183"/>
      <c r="G141" s="183"/>
      <c r="H141" s="182"/>
      <c r="I141" s="184"/>
      <c r="J141" s="185"/>
      <c r="K141" s="207"/>
    </row>
    <row r="142" ht="15.75" customHeight="1">
      <c r="B142" s="181"/>
      <c r="E142" s="182"/>
      <c r="F142" s="183"/>
      <c r="G142" s="183"/>
      <c r="H142" s="182"/>
      <c r="I142" s="184"/>
      <c r="J142" s="185"/>
      <c r="K142" s="207"/>
    </row>
    <row r="143" ht="15.75" customHeight="1">
      <c r="B143" s="181"/>
      <c r="E143" s="182"/>
      <c r="F143" s="183"/>
      <c r="G143" s="183"/>
      <c r="H143" s="182"/>
      <c r="I143" s="184"/>
      <c r="J143" s="185"/>
      <c r="K143" s="207"/>
    </row>
    <row r="144" ht="15.75" customHeight="1">
      <c r="B144" s="181"/>
      <c r="E144" s="182"/>
      <c r="F144" s="183"/>
      <c r="G144" s="183"/>
      <c r="H144" s="182"/>
      <c r="I144" s="184"/>
      <c r="J144" s="185"/>
      <c r="K144" s="207"/>
    </row>
    <row r="145" ht="15.75" customHeight="1">
      <c r="B145" s="181"/>
      <c r="E145" s="182"/>
      <c r="F145" s="183"/>
      <c r="G145" s="183"/>
      <c r="H145" s="182"/>
      <c r="I145" s="184"/>
      <c r="J145" s="185"/>
      <c r="K145" s="207"/>
    </row>
    <row r="146" ht="15.75" customHeight="1">
      <c r="B146" s="181"/>
      <c r="E146" s="182"/>
      <c r="F146" s="183"/>
      <c r="G146" s="183"/>
      <c r="H146" s="182"/>
      <c r="I146" s="184"/>
      <c r="J146" s="185"/>
      <c r="K146" s="207"/>
    </row>
    <row r="147" ht="15.75" customHeight="1">
      <c r="B147" s="181"/>
      <c r="E147" s="182"/>
      <c r="F147" s="183"/>
      <c r="G147" s="183"/>
      <c r="H147" s="182"/>
      <c r="I147" s="184"/>
      <c r="J147" s="185"/>
      <c r="K147" s="207"/>
    </row>
    <row r="148" ht="15.75" customHeight="1">
      <c r="B148" s="181"/>
      <c r="E148" s="182"/>
      <c r="F148" s="183"/>
      <c r="G148" s="183"/>
      <c r="H148" s="182"/>
      <c r="I148" s="184"/>
      <c r="J148" s="185"/>
      <c r="K148" s="207"/>
    </row>
    <row r="149" ht="15.75" customHeight="1">
      <c r="B149" s="181"/>
      <c r="E149" s="182"/>
      <c r="F149" s="183"/>
      <c r="G149" s="183"/>
      <c r="H149" s="182"/>
      <c r="I149" s="184"/>
      <c r="J149" s="185"/>
      <c r="K149" s="207"/>
    </row>
    <row r="150" ht="15.75" customHeight="1">
      <c r="B150" s="181"/>
      <c r="E150" s="182"/>
      <c r="F150" s="183"/>
      <c r="G150" s="183"/>
      <c r="H150" s="182"/>
      <c r="I150" s="184"/>
      <c r="J150" s="185"/>
      <c r="K150" s="207"/>
    </row>
    <row r="151" ht="15.75" customHeight="1">
      <c r="B151" s="181"/>
      <c r="E151" s="182"/>
      <c r="F151" s="183"/>
      <c r="G151" s="183"/>
      <c r="H151" s="182"/>
      <c r="I151" s="184"/>
      <c r="J151" s="185"/>
      <c r="K151" s="207"/>
    </row>
    <row r="152" ht="15.75" customHeight="1">
      <c r="B152" s="181"/>
      <c r="E152" s="182"/>
      <c r="F152" s="183"/>
      <c r="G152" s="183"/>
      <c r="H152" s="182"/>
      <c r="I152" s="184"/>
      <c r="J152" s="185"/>
      <c r="K152" s="207"/>
    </row>
    <row r="153" ht="15.75" customHeight="1">
      <c r="B153" s="181"/>
      <c r="E153" s="182"/>
      <c r="F153" s="183"/>
      <c r="G153" s="183"/>
      <c r="H153" s="182"/>
      <c r="I153" s="184"/>
      <c r="J153" s="185"/>
      <c r="K153" s="207"/>
    </row>
    <row r="154" ht="15.75" customHeight="1">
      <c r="B154" s="181"/>
      <c r="E154" s="182"/>
      <c r="F154" s="183"/>
      <c r="G154" s="183"/>
      <c r="H154" s="182"/>
      <c r="I154" s="184"/>
      <c r="J154" s="185"/>
      <c r="K154" s="207"/>
    </row>
    <row r="155" ht="15.75" customHeight="1">
      <c r="B155" s="181"/>
      <c r="E155" s="182"/>
      <c r="F155" s="183"/>
      <c r="G155" s="183"/>
      <c r="H155" s="182"/>
      <c r="I155" s="184"/>
      <c r="J155" s="185"/>
      <c r="K155" s="207"/>
    </row>
    <row r="156" ht="15.75" customHeight="1">
      <c r="B156" s="181"/>
      <c r="E156" s="182"/>
      <c r="F156" s="183"/>
      <c r="G156" s="183"/>
      <c r="H156" s="182"/>
      <c r="I156" s="184"/>
      <c r="J156" s="185"/>
      <c r="K156" s="207"/>
    </row>
    <row r="157" ht="15.75" customHeight="1">
      <c r="B157" s="181"/>
      <c r="E157" s="182"/>
      <c r="F157" s="183"/>
      <c r="G157" s="183"/>
      <c r="H157" s="182"/>
      <c r="I157" s="184"/>
      <c r="J157" s="185"/>
      <c r="K157" s="207"/>
    </row>
    <row r="158" ht="15.75" customHeight="1">
      <c r="B158" s="181"/>
      <c r="E158" s="182"/>
      <c r="F158" s="183"/>
      <c r="G158" s="183"/>
      <c r="H158" s="182"/>
      <c r="I158" s="184"/>
      <c r="J158" s="185"/>
      <c r="K158" s="207"/>
    </row>
    <row r="159" ht="15.75" customHeight="1">
      <c r="B159" s="181"/>
      <c r="E159" s="182"/>
      <c r="F159" s="183"/>
      <c r="G159" s="183"/>
      <c r="H159" s="182"/>
      <c r="I159" s="184"/>
      <c r="J159" s="185"/>
      <c r="K159" s="207"/>
    </row>
    <row r="160" ht="15.75" customHeight="1">
      <c r="B160" s="181"/>
      <c r="E160" s="182"/>
      <c r="F160" s="183"/>
      <c r="G160" s="183"/>
      <c r="H160" s="182"/>
      <c r="I160" s="184"/>
      <c r="J160" s="185"/>
      <c r="K160" s="207"/>
    </row>
    <row r="161" ht="15.75" customHeight="1">
      <c r="B161" s="181"/>
      <c r="E161" s="182"/>
      <c r="F161" s="183"/>
      <c r="G161" s="183"/>
      <c r="H161" s="182"/>
      <c r="I161" s="184"/>
      <c r="J161" s="185"/>
      <c r="K161" s="207"/>
    </row>
    <row r="162" ht="15.75" customHeight="1">
      <c r="B162" s="181"/>
      <c r="E162" s="182"/>
      <c r="F162" s="183"/>
      <c r="G162" s="183"/>
      <c r="H162" s="182"/>
      <c r="I162" s="184"/>
      <c r="J162" s="185"/>
      <c r="K162" s="207"/>
    </row>
    <row r="163" ht="15.75" customHeight="1">
      <c r="B163" s="181"/>
      <c r="E163" s="182"/>
      <c r="F163" s="183"/>
      <c r="G163" s="183"/>
      <c r="H163" s="182"/>
      <c r="I163" s="184"/>
      <c r="J163" s="185"/>
      <c r="K163" s="207"/>
    </row>
    <row r="164" ht="15.75" customHeight="1">
      <c r="B164" s="181"/>
      <c r="E164" s="182"/>
      <c r="F164" s="183"/>
      <c r="G164" s="183"/>
      <c r="H164" s="182"/>
      <c r="I164" s="184"/>
      <c r="J164" s="185"/>
      <c r="K164" s="207"/>
    </row>
    <row r="165" ht="15.75" customHeight="1">
      <c r="B165" s="181"/>
      <c r="E165" s="182"/>
      <c r="F165" s="183"/>
      <c r="G165" s="183"/>
      <c r="H165" s="182"/>
      <c r="I165" s="184"/>
      <c r="J165" s="185"/>
      <c r="K165" s="207"/>
    </row>
    <row r="166" ht="15.75" customHeight="1">
      <c r="B166" s="181"/>
      <c r="E166" s="182"/>
      <c r="F166" s="183"/>
      <c r="G166" s="183"/>
      <c r="H166" s="182"/>
      <c r="I166" s="184"/>
      <c r="J166" s="185"/>
      <c r="K166" s="207"/>
    </row>
    <row r="167" ht="15.75" customHeight="1">
      <c r="B167" s="181"/>
      <c r="E167" s="182"/>
      <c r="F167" s="183"/>
      <c r="G167" s="183"/>
      <c r="H167" s="182"/>
      <c r="I167" s="184"/>
      <c r="J167" s="185"/>
      <c r="K167" s="207"/>
    </row>
    <row r="168" ht="15.75" customHeight="1">
      <c r="B168" s="181"/>
      <c r="E168" s="182"/>
      <c r="F168" s="183"/>
      <c r="G168" s="183"/>
      <c r="H168" s="182"/>
      <c r="I168" s="184"/>
      <c r="J168" s="185"/>
      <c r="K168" s="207"/>
    </row>
    <row r="169" ht="15.75" customHeight="1">
      <c r="B169" s="181"/>
      <c r="E169" s="182"/>
      <c r="F169" s="183"/>
      <c r="G169" s="183"/>
      <c r="H169" s="182"/>
      <c r="I169" s="184"/>
      <c r="J169" s="185"/>
      <c r="K169" s="207"/>
    </row>
    <row r="170" ht="15.75" customHeight="1">
      <c r="B170" s="181"/>
      <c r="E170" s="182"/>
      <c r="F170" s="183"/>
      <c r="G170" s="183"/>
      <c r="H170" s="182"/>
      <c r="I170" s="184"/>
      <c r="J170" s="185"/>
      <c r="K170" s="207"/>
    </row>
    <row r="171" ht="15.75" customHeight="1">
      <c r="B171" s="181"/>
      <c r="E171" s="182"/>
      <c r="F171" s="183"/>
      <c r="G171" s="183"/>
      <c r="H171" s="182"/>
      <c r="I171" s="184"/>
      <c r="J171" s="185"/>
      <c r="K171" s="207"/>
    </row>
    <row r="172" ht="15.75" customHeight="1">
      <c r="B172" s="181"/>
      <c r="E172" s="182"/>
      <c r="F172" s="183"/>
      <c r="G172" s="183"/>
      <c r="H172" s="182"/>
      <c r="I172" s="184"/>
      <c r="J172" s="185"/>
      <c r="K172" s="207"/>
    </row>
    <row r="173" ht="15.75" customHeight="1">
      <c r="B173" s="181"/>
      <c r="E173" s="182"/>
      <c r="F173" s="183"/>
      <c r="G173" s="183"/>
      <c r="H173" s="182"/>
      <c r="I173" s="184"/>
      <c r="J173" s="185"/>
      <c r="K173" s="207"/>
    </row>
    <row r="174" ht="15.75" customHeight="1">
      <c r="B174" s="181"/>
      <c r="E174" s="182"/>
      <c r="F174" s="183"/>
      <c r="G174" s="183"/>
      <c r="H174" s="182"/>
      <c r="I174" s="184"/>
      <c r="J174" s="185"/>
      <c r="K174" s="207"/>
    </row>
    <row r="175" ht="15.75" customHeight="1">
      <c r="B175" s="181"/>
      <c r="E175" s="182"/>
      <c r="F175" s="183"/>
      <c r="G175" s="183"/>
      <c r="H175" s="182"/>
      <c r="I175" s="184"/>
      <c r="J175" s="185"/>
      <c r="K175" s="207"/>
    </row>
    <row r="176" ht="15.75" customHeight="1">
      <c r="B176" s="181"/>
      <c r="E176" s="182"/>
      <c r="F176" s="183"/>
      <c r="G176" s="183"/>
      <c r="H176" s="182"/>
      <c r="I176" s="184"/>
      <c r="J176" s="185"/>
      <c r="K176" s="207"/>
    </row>
    <row r="177" ht="15.75" customHeight="1">
      <c r="B177" s="181"/>
      <c r="E177" s="182"/>
      <c r="F177" s="183"/>
      <c r="G177" s="183"/>
      <c r="H177" s="182"/>
      <c r="I177" s="184"/>
      <c r="J177" s="185"/>
      <c r="K177" s="207"/>
    </row>
    <row r="178" ht="15.75" customHeight="1">
      <c r="B178" s="181"/>
      <c r="E178" s="182"/>
      <c r="F178" s="183"/>
      <c r="G178" s="183"/>
      <c r="H178" s="182"/>
      <c r="I178" s="184"/>
      <c r="J178" s="185"/>
      <c r="K178" s="207"/>
    </row>
    <row r="179" ht="15.75" customHeight="1">
      <c r="B179" s="181"/>
      <c r="E179" s="182"/>
      <c r="F179" s="183"/>
      <c r="G179" s="183"/>
      <c r="H179" s="182"/>
      <c r="I179" s="184"/>
      <c r="J179" s="185"/>
      <c r="K179" s="207"/>
    </row>
    <row r="180" ht="15.75" customHeight="1">
      <c r="B180" s="181"/>
      <c r="E180" s="182"/>
      <c r="F180" s="183"/>
      <c r="G180" s="183"/>
      <c r="H180" s="182"/>
      <c r="I180" s="184"/>
      <c r="J180" s="185"/>
      <c r="K180" s="207"/>
    </row>
    <row r="181" ht="15.75" customHeight="1">
      <c r="B181" s="181"/>
      <c r="E181" s="182"/>
      <c r="F181" s="183"/>
      <c r="G181" s="183"/>
      <c r="H181" s="182"/>
      <c r="I181" s="184"/>
      <c r="J181" s="185"/>
      <c r="K181" s="207"/>
    </row>
    <row r="182" ht="15.75" customHeight="1">
      <c r="B182" s="181"/>
      <c r="E182" s="182"/>
      <c r="F182" s="183"/>
      <c r="G182" s="183"/>
      <c r="H182" s="182"/>
      <c r="I182" s="184"/>
      <c r="J182" s="185"/>
      <c r="K182" s="207"/>
    </row>
    <row r="183" ht="15.75" customHeight="1">
      <c r="B183" s="181"/>
      <c r="E183" s="182"/>
      <c r="F183" s="183"/>
      <c r="G183" s="183"/>
      <c r="H183" s="182"/>
      <c r="I183" s="184"/>
      <c r="J183" s="185"/>
      <c r="K183" s="207"/>
    </row>
    <row r="184" ht="15.75" customHeight="1">
      <c r="B184" s="181"/>
      <c r="E184" s="182"/>
      <c r="F184" s="183"/>
      <c r="G184" s="183"/>
      <c r="H184" s="182"/>
      <c r="I184" s="184"/>
      <c r="J184" s="185"/>
      <c r="K184" s="207"/>
    </row>
    <row r="185" ht="15.75" customHeight="1">
      <c r="B185" s="181"/>
      <c r="E185" s="182"/>
      <c r="F185" s="183"/>
      <c r="G185" s="183"/>
      <c r="H185" s="182"/>
      <c r="I185" s="184"/>
      <c r="J185" s="185"/>
      <c r="K185" s="207"/>
    </row>
    <row r="186" ht="15.75" customHeight="1">
      <c r="B186" s="181"/>
      <c r="E186" s="182"/>
      <c r="F186" s="183"/>
      <c r="G186" s="183"/>
      <c r="H186" s="182"/>
      <c r="I186" s="184"/>
      <c r="J186" s="185"/>
      <c r="K186" s="207"/>
    </row>
    <row r="187" ht="15.75" customHeight="1">
      <c r="B187" s="181"/>
      <c r="E187" s="182"/>
      <c r="F187" s="183"/>
      <c r="G187" s="183"/>
      <c r="H187" s="182"/>
      <c r="I187" s="184"/>
      <c r="J187" s="185"/>
      <c r="K187" s="207"/>
    </row>
    <row r="188" ht="15.75" customHeight="1">
      <c r="B188" s="181"/>
      <c r="E188" s="182"/>
      <c r="F188" s="183"/>
      <c r="G188" s="183"/>
      <c r="H188" s="182"/>
      <c r="I188" s="184"/>
      <c r="J188" s="185"/>
      <c r="K188" s="207"/>
    </row>
    <row r="189" ht="15.75" customHeight="1">
      <c r="B189" s="181"/>
      <c r="E189" s="182"/>
      <c r="F189" s="183"/>
      <c r="G189" s="183"/>
      <c r="H189" s="182"/>
      <c r="I189" s="184"/>
      <c r="J189" s="185"/>
      <c r="K189" s="207"/>
    </row>
    <row r="190" ht="15.75" customHeight="1">
      <c r="B190" s="181"/>
      <c r="E190" s="182"/>
      <c r="F190" s="183"/>
      <c r="G190" s="183"/>
      <c r="H190" s="182"/>
      <c r="I190" s="184"/>
      <c r="J190" s="185"/>
      <c r="K190" s="207"/>
    </row>
    <row r="191" ht="15.75" customHeight="1">
      <c r="B191" s="181"/>
      <c r="E191" s="182"/>
      <c r="F191" s="183"/>
      <c r="G191" s="183"/>
      <c r="H191" s="182"/>
      <c r="I191" s="184"/>
      <c r="J191" s="185"/>
      <c r="K191" s="207"/>
    </row>
    <row r="192" ht="15.75" customHeight="1">
      <c r="B192" s="181"/>
      <c r="E192" s="182"/>
      <c r="F192" s="183"/>
      <c r="G192" s="183"/>
      <c r="H192" s="182"/>
      <c r="I192" s="184"/>
      <c r="J192" s="185"/>
      <c r="K192" s="207"/>
    </row>
    <row r="193" ht="15.75" customHeight="1">
      <c r="B193" s="181"/>
      <c r="E193" s="182"/>
      <c r="F193" s="183"/>
      <c r="G193" s="183"/>
      <c r="H193" s="182"/>
      <c r="I193" s="184"/>
      <c r="J193" s="185"/>
      <c r="K193" s="207"/>
    </row>
    <row r="194" ht="15.75" customHeight="1">
      <c r="B194" s="181"/>
      <c r="E194" s="182"/>
      <c r="F194" s="183"/>
      <c r="G194" s="183"/>
      <c r="H194" s="182"/>
      <c r="I194" s="184"/>
      <c r="J194" s="185"/>
      <c r="K194" s="207"/>
    </row>
    <row r="195" ht="15.75" customHeight="1">
      <c r="B195" s="181"/>
      <c r="E195" s="182"/>
      <c r="F195" s="183"/>
      <c r="G195" s="183"/>
      <c r="H195" s="182"/>
      <c r="I195" s="184"/>
      <c r="J195" s="185"/>
      <c r="K195" s="207"/>
    </row>
    <row r="196" ht="15.75" customHeight="1">
      <c r="B196" s="181"/>
      <c r="E196" s="182"/>
      <c r="F196" s="183"/>
      <c r="G196" s="183"/>
      <c r="H196" s="182"/>
      <c r="I196" s="184"/>
      <c r="J196" s="185"/>
      <c r="K196" s="207"/>
    </row>
    <row r="197" ht="15.75" customHeight="1">
      <c r="B197" s="181"/>
      <c r="E197" s="182"/>
      <c r="F197" s="183"/>
      <c r="G197" s="183"/>
      <c r="H197" s="182"/>
      <c r="I197" s="184"/>
      <c r="J197" s="185"/>
      <c r="K197" s="207"/>
    </row>
    <row r="198" ht="15.75" customHeight="1">
      <c r="B198" s="181"/>
      <c r="E198" s="182"/>
      <c r="F198" s="183"/>
      <c r="G198" s="183"/>
      <c r="H198" s="182"/>
      <c r="I198" s="184"/>
      <c r="J198" s="185"/>
      <c r="K198" s="207"/>
    </row>
    <row r="199" ht="15.75" customHeight="1">
      <c r="B199" s="181"/>
      <c r="E199" s="182"/>
      <c r="F199" s="183"/>
      <c r="G199" s="183"/>
      <c r="H199" s="182"/>
      <c r="I199" s="184"/>
      <c r="J199" s="185"/>
      <c r="K199" s="207"/>
    </row>
    <row r="200" ht="15.75" customHeight="1">
      <c r="B200" s="181"/>
      <c r="E200" s="182"/>
      <c r="F200" s="183"/>
      <c r="G200" s="183"/>
      <c r="H200" s="182"/>
      <c r="I200" s="184"/>
      <c r="J200" s="185"/>
      <c r="K200" s="207"/>
    </row>
    <row r="201" ht="15.75" customHeight="1">
      <c r="B201" s="181"/>
      <c r="E201" s="182"/>
      <c r="F201" s="183"/>
      <c r="G201" s="183"/>
      <c r="H201" s="182"/>
      <c r="I201" s="184"/>
      <c r="J201" s="185"/>
      <c r="K201" s="207"/>
    </row>
    <row r="202" ht="15.75" customHeight="1">
      <c r="B202" s="181"/>
      <c r="E202" s="182"/>
      <c r="F202" s="183"/>
      <c r="G202" s="183"/>
      <c r="H202" s="182"/>
      <c r="I202" s="184"/>
      <c r="J202" s="185"/>
      <c r="K202" s="207"/>
    </row>
    <row r="203" ht="15.75" customHeight="1">
      <c r="B203" s="181"/>
      <c r="E203" s="182"/>
      <c r="F203" s="183"/>
      <c r="G203" s="183"/>
      <c r="H203" s="182"/>
      <c r="I203" s="184"/>
      <c r="J203" s="185"/>
      <c r="K203" s="207"/>
    </row>
    <row r="204" ht="15.75" customHeight="1">
      <c r="B204" s="181"/>
      <c r="E204" s="182"/>
      <c r="F204" s="183"/>
      <c r="G204" s="183"/>
      <c r="H204" s="182"/>
      <c r="I204" s="184"/>
      <c r="J204" s="185"/>
      <c r="K204" s="207"/>
    </row>
    <row r="205" ht="15.75" customHeight="1">
      <c r="B205" s="181"/>
      <c r="E205" s="182"/>
      <c r="F205" s="183"/>
      <c r="G205" s="183"/>
      <c r="H205" s="182"/>
      <c r="I205" s="184"/>
      <c r="J205" s="185"/>
      <c r="K205" s="207"/>
    </row>
    <row r="206" ht="15.75" customHeight="1">
      <c r="B206" s="181"/>
      <c r="E206" s="182"/>
      <c r="F206" s="183"/>
      <c r="G206" s="183"/>
      <c r="H206" s="182"/>
      <c r="I206" s="184"/>
      <c r="J206" s="185"/>
      <c r="K206" s="207"/>
    </row>
    <row r="207" ht="15.75" customHeight="1">
      <c r="B207" s="181"/>
      <c r="E207" s="182"/>
      <c r="F207" s="183"/>
      <c r="G207" s="183"/>
      <c r="H207" s="182"/>
      <c r="I207" s="184"/>
      <c r="J207" s="185"/>
      <c r="K207" s="207"/>
    </row>
    <row r="208" ht="15.75" customHeight="1">
      <c r="B208" s="181"/>
      <c r="E208" s="182"/>
      <c r="F208" s="183"/>
      <c r="G208" s="183"/>
      <c r="H208" s="182"/>
      <c r="I208" s="184"/>
      <c r="J208" s="185"/>
      <c r="K208" s="207"/>
    </row>
    <row r="209" ht="15.75" customHeight="1">
      <c r="B209" s="181"/>
      <c r="E209" s="182"/>
      <c r="F209" s="183"/>
      <c r="G209" s="183"/>
      <c r="H209" s="182"/>
      <c r="I209" s="184"/>
      <c r="J209" s="185"/>
      <c r="K209" s="207"/>
    </row>
    <row r="210" ht="15.75" customHeight="1">
      <c r="B210" s="181"/>
      <c r="E210" s="182"/>
      <c r="F210" s="183"/>
      <c r="G210" s="183"/>
      <c r="H210" s="182"/>
      <c r="I210" s="184"/>
      <c r="J210" s="185"/>
      <c r="K210" s="207"/>
    </row>
    <row r="211" ht="15.75" customHeight="1">
      <c r="B211" s="181"/>
      <c r="E211" s="182"/>
      <c r="F211" s="183"/>
      <c r="G211" s="183"/>
      <c r="H211" s="182"/>
      <c r="I211" s="184"/>
      <c r="J211" s="185"/>
      <c r="K211" s="207"/>
    </row>
    <row r="212" ht="15.75" customHeight="1">
      <c r="B212" s="181"/>
      <c r="E212" s="182"/>
      <c r="F212" s="183"/>
      <c r="G212" s="183"/>
      <c r="H212" s="182"/>
      <c r="I212" s="184"/>
      <c r="J212" s="185"/>
      <c r="K212" s="207"/>
    </row>
    <row r="213" ht="15.75" customHeight="1">
      <c r="B213" s="181"/>
      <c r="E213" s="182"/>
      <c r="F213" s="183"/>
      <c r="G213" s="183"/>
      <c r="H213" s="182"/>
      <c r="I213" s="184"/>
      <c r="J213" s="185"/>
      <c r="K213" s="207"/>
    </row>
    <row r="214" ht="15.75" customHeight="1">
      <c r="B214" s="181"/>
      <c r="E214" s="182"/>
      <c r="F214" s="183"/>
      <c r="G214" s="183"/>
      <c r="H214" s="182"/>
      <c r="I214" s="184"/>
      <c r="J214" s="185"/>
      <c r="K214" s="207"/>
    </row>
    <row r="215" ht="15.75" customHeight="1">
      <c r="B215" s="181"/>
      <c r="E215" s="182"/>
      <c r="F215" s="183"/>
      <c r="G215" s="183"/>
      <c r="H215" s="182"/>
      <c r="I215" s="184"/>
      <c r="J215" s="185"/>
      <c r="K215" s="207"/>
    </row>
    <row r="216" ht="15.75" customHeight="1">
      <c r="B216" s="181"/>
      <c r="E216" s="182"/>
      <c r="F216" s="183"/>
      <c r="G216" s="183"/>
      <c r="H216" s="182"/>
      <c r="I216" s="184"/>
      <c r="J216" s="185"/>
      <c r="K216" s="207"/>
    </row>
    <row r="217" ht="15.75" customHeight="1">
      <c r="B217" s="181"/>
      <c r="E217" s="182"/>
      <c r="F217" s="183"/>
      <c r="G217" s="183"/>
      <c r="H217" s="182"/>
      <c r="I217" s="184"/>
      <c r="J217" s="185"/>
      <c r="K217" s="207"/>
    </row>
    <row r="218" ht="15.75" customHeight="1">
      <c r="B218" s="181"/>
      <c r="E218" s="182"/>
      <c r="F218" s="183"/>
      <c r="G218" s="183"/>
      <c r="H218" s="182"/>
      <c r="I218" s="184"/>
      <c r="J218" s="185"/>
      <c r="K218" s="207"/>
    </row>
    <row r="219" ht="15.75" customHeight="1">
      <c r="B219" s="181"/>
      <c r="E219" s="182"/>
      <c r="F219" s="183"/>
      <c r="G219" s="183"/>
      <c r="H219" s="182"/>
      <c r="I219" s="184"/>
      <c r="J219" s="185"/>
      <c r="K219" s="207"/>
    </row>
    <row r="220" ht="15.75" customHeight="1">
      <c r="B220" s="181"/>
      <c r="E220" s="182"/>
      <c r="F220" s="183"/>
      <c r="G220" s="183"/>
      <c r="H220" s="182"/>
      <c r="I220" s="184"/>
      <c r="J220" s="185"/>
      <c r="K220" s="207"/>
    </row>
    <row r="221" ht="15.75" customHeight="1">
      <c r="B221" s="181"/>
      <c r="E221" s="182"/>
      <c r="F221" s="183"/>
      <c r="G221" s="183"/>
      <c r="H221" s="182"/>
      <c r="I221" s="184"/>
      <c r="J221" s="185"/>
      <c r="K221" s="207"/>
    </row>
    <row r="222" ht="15.75" customHeight="1">
      <c r="B222" s="181"/>
      <c r="E222" s="182"/>
      <c r="F222" s="183"/>
      <c r="G222" s="183"/>
      <c r="H222" s="182"/>
      <c r="I222" s="184"/>
      <c r="J222" s="185"/>
      <c r="K222" s="207"/>
    </row>
    <row r="223" ht="15.75" customHeight="1">
      <c r="B223" s="181"/>
      <c r="E223" s="182"/>
      <c r="F223" s="183"/>
      <c r="G223" s="183"/>
      <c r="H223" s="182"/>
      <c r="I223" s="184"/>
      <c r="J223" s="185"/>
      <c r="K223" s="207"/>
    </row>
    <row r="224" ht="15.75" customHeight="1">
      <c r="B224" s="181"/>
      <c r="E224" s="182"/>
      <c r="F224" s="183"/>
      <c r="G224" s="183"/>
      <c r="H224" s="182"/>
      <c r="I224" s="184"/>
      <c r="J224" s="185"/>
      <c r="K224" s="207"/>
    </row>
    <row r="225" ht="15.75" customHeight="1">
      <c r="B225" s="181"/>
      <c r="E225" s="182"/>
      <c r="F225" s="183"/>
      <c r="G225" s="183"/>
      <c r="H225" s="182"/>
      <c r="I225" s="184"/>
      <c r="J225" s="185"/>
      <c r="K225" s="207"/>
    </row>
    <row r="226" ht="15.75" customHeight="1">
      <c r="B226" s="181"/>
      <c r="E226" s="182"/>
      <c r="F226" s="183"/>
      <c r="G226" s="183"/>
      <c r="H226" s="182"/>
      <c r="I226" s="184"/>
      <c r="J226" s="185"/>
      <c r="K226" s="207"/>
    </row>
    <row r="227" ht="15.75" customHeight="1">
      <c r="B227" s="181"/>
      <c r="E227" s="182"/>
      <c r="F227" s="183"/>
      <c r="G227" s="183"/>
      <c r="H227" s="182"/>
      <c r="I227" s="184"/>
      <c r="J227" s="185"/>
      <c r="K227" s="207"/>
    </row>
    <row r="228" ht="15.75" customHeight="1">
      <c r="B228" s="181"/>
      <c r="E228" s="182"/>
      <c r="F228" s="183"/>
      <c r="G228" s="183"/>
      <c r="H228" s="182"/>
      <c r="I228" s="184"/>
      <c r="J228" s="185"/>
      <c r="K228" s="207"/>
    </row>
    <row r="229" ht="15.75" customHeight="1">
      <c r="B229" s="181"/>
      <c r="E229" s="182"/>
      <c r="F229" s="183"/>
      <c r="G229" s="183"/>
      <c r="H229" s="182"/>
      <c r="I229" s="184"/>
      <c r="J229" s="185"/>
      <c r="K229" s="207"/>
    </row>
    <row r="230" ht="15.75" customHeight="1">
      <c r="B230" s="181"/>
      <c r="E230" s="182"/>
      <c r="F230" s="183"/>
      <c r="G230" s="183"/>
      <c r="H230" s="182"/>
      <c r="I230" s="184"/>
      <c r="J230" s="185"/>
      <c r="K230" s="207"/>
    </row>
    <row r="231" ht="15.75" customHeight="1">
      <c r="B231" s="181"/>
      <c r="E231" s="182"/>
      <c r="F231" s="183"/>
      <c r="G231" s="183"/>
      <c r="H231" s="182"/>
      <c r="I231" s="184"/>
      <c r="J231" s="185"/>
      <c r="K231" s="207"/>
    </row>
    <row r="232" ht="15.75" customHeight="1">
      <c r="B232" s="181"/>
      <c r="E232" s="182"/>
      <c r="F232" s="183"/>
      <c r="G232" s="183"/>
      <c r="H232" s="182"/>
      <c r="I232" s="184"/>
      <c r="J232" s="185"/>
      <c r="K232" s="207"/>
    </row>
    <row r="233" ht="15.75" customHeight="1">
      <c r="B233" s="181"/>
      <c r="E233" s="182"/>
      <c r="F233" s="183"/>
      <c r="G233" s="183"/>
      <c r="H233" s="182"/>
      <c r="I233" s="184"/>
      <c r="J233" s="185"/>
      <c r="K233" s="207"/>
    </row>
    <row r="234" ht="15.75" customHeight="1">
      <c r="B234" s="181"/>
      <c r="E234" s="182"/>
      <c r="F234" s="183"/>
      <c r="G234" s="183"/>
      <c r="H234" s="182"/>
      <c r="I234" s="184"/>
      <c r="J234" s="185"/>
      <c r="K234" s="207"/>
    </row>
    <row r="235" ht="15.75" customHeight="1">
      <c r="B235" s="181"/>
      <c r="E235" s="182"/>
      <c r="F235" s="183"/>
      <c r="G235" s="183"/>
      <c r="H235" s="182"/>
      <c r="I235" s="184"/>
      <c r="J235" s="185"/>
      <c r="K235" s="207"/>
    </row>
    <row r="236" ht="15.75" customHeight="1">
      <c r="B236" s="181"/>
      <c r="E236" s="182"/>
      <c r="F236" s="183"/>
      <c r="G236" s="183"/>
      <c r="H236" s="182"/>
      <c r="I236" s="184"/>
      <c r="J236" s="185"/>
      <c r="K236" s="207"/>
    </row>
    <row r="237" ht="15.75" customHeight="1">
      <c r="B237" s="181"/>
      <c r="E237" s="182"/>
      <c r="F237" s="183"/>
      <c r="G237" s="183"/>
      <c r="H237" s="182"/>
      <c r="I237" s="184"/>
      <c r="J237" s="185"/>
      <c r="K237" s="207"/>
    </row>
    <row r="238" ht="15.75" customHeight="1">
      <c r="B238" s="181"/>
      <c r="E238" s="182"/>
      <c r="F238" s="183"/>
      <c r="G238" s="183"/>
      <c r="H238" s="182"/>
      <c r="I238" s="184"/>
      <c r="J238" s="185"/>
      <c r="K238" s="207"/>
    </row>
    <row r="239" ht="15.75" customHeight="1">
      <c r="B239" s="181"/>
      <c r="E239" s="182"/>
      <c r="F239" s="183"/>
      <c r="G239" s="183"/>
      <c r="H239" s="182"/>
      <c r="I239" s="184"/>
      <c r="J239" s="185"/>
      <c r="K239" s="207"/>
    </row>
    <row r="240" ht="15.75" customHeight="1">
      <c r="B240" s="181"/>
      <c r="E240" s="182"/>
      <c r="F240" s="183"/>
      <c r="G240" s="183"/>
      <c r="H240" s="182"/>
      <c r="I240" s="184"/>
      <c r="J240" s="185"/>
      <c r="K240" s="207"/>
    </row>
    <row r="241" ht="15.75" customHeight="1">
      <c r="B241" s="181"/>
      <c r="E241" s="182"/>
      <c r="F241" s="183"/>
      <c r="G241" s="183"/>
      <c r="H241" s="182"/>
      <c r="I241" s="184"/>
      <c r="J241" s="185"/>
      <c r="K241" s="207"/>
    </row>
    <row r="242" ht="15.75" customHeight="1">
      <c r="B242" s="181"/>
      <c r="E242" s="182"/>
      <c r="F242" s="183"/>
      <c r="G242" s="183"/>
      <c r="H242" s="182"/>
      <c r="I242" s="184"/>
      <c r="J242" s="185"/>
      <c r="K242" s="207"/>
    </row>
    <row r="243" ht="15.75" customHeight="1">
      <c r="B243" s="181"/>
      <c r="E243" s="182"/>
      <c r="F243" s="183"/>
      <c r="G243" s="183"/>
      <c r="H243" s="182"/>
      <c r="I243" s="184"/>
      <c r="J243" s="185"/>
      <c r="K243" s="207"/>
    </row>
    <row r="244" ht="15.75" customHeight="1">
      <c r="B244" s="181"/>
      <c r="E244" s="182"/>
      <c r="F244" s="183"/>
      <c r="G244" s="183"/>
      <c r="H244" s="182"/>
      <c r="I244" s="184"/>
      <c r="J244" s="185"/>
      <c r="K244" s="207"/>
    </row>
    <row r="245" ht="15.75" customHeight="1">
      <c r="B245" s="181"/>
      <c r="E245" s="182"/>
      <c r="F245" s="183"/>
      <c r="G245" s="183"/>
      <c r="H245" s="182"/>
      <c r="I245" s="184"/>
      <c r="J245" s="185"/>
      <c r="K245" s="207"/>
    </row>
    <row r="246" ht="15.75" customHeight="1">
      <c r="B246" s="181"/>
      <c r="E246" s="182"/>
      <c r="F246" s="183"/>
      <c r="G246" s="183"/>
      <c r="H246" s="182"/>
      <c r="I246" s="184"/>
      <c r="J246" s="185"/>
      <c r="K246" s="207"/>
    </row>
    <row r="247" ht="15.75" customHeight="1">
      <c r="B247" s="181"/>
      <c r="E247" s="182"/>
      <c r="F247" s="183"/>
      <c r="G247" s="183"/>
      <c r="H247" s="182"/>
      <c r="I247" s="184"/>
      <c r="J247" s="185"/>
      <c r="K247" s="207"/>
    </row>
    <row r="248" ht="15.75" customHeight="1">
      <c r="B248" s="181"/>
      <c r="E248" s="182"/>
      <c r="F248" s="183"/>
      <c r="G248" s="183"/>
      <c r="H248" s="182"/>
      <c r="I248" s="184"/>
      <c r="J248" s="185"/>
      <c r="K248" s="207"/>
    </row>
    <row r="249" ht="15.75" customHeight="1">
      <c r="B249" s="181"/>
      <c r="E249" s="182"/>
      <c r="F249" s="183"/>
      <c r="G249" s="183"/>
      <c r="H249" s="182"/>
      <c r="I249" s="184"/>
      <c r="J249" s="185"/>
      <c r="K249" s="207"/>
    </row>
    <row r="250" ht="15.75" customHeight="1">
      <c r="B250" s="181"/>
      <c r="E250" s="182"/>
      <c r="F250" s="183"/>
      <c r="G250" s="183"/>
      <c r="H250" s="182"/>
      <c r="I250" s="184"/>
      <c r="J250" s="185"/>
      <c r="K250" s="207"/>
    </row>
    <row r="251" ht="15.75" customHeight="1">
      <c r="B251" s="181"/>
      <c r="E251" s="182"/>
      <c r="F251" s="183"/>
      <c r="G251" s="183"/>
      <c r="H251" s="182"/>
      <c r="I251" s="184"/>
      <c r="J251" s="185"/>
      <c r="K251" s="207"/>
    </row>
    <row r="252" ht="15.75" customHeight="1">
      <c r="B252" s="181"/>
      <c r="E252" s="182"/>
      <c r="F252" s="183"/>
      <c r="G252" s="183"/>
      <c r="H252" s="182"/>
      <c r="I252" s="184"/>
      <c r="J252" s="185"/>
      <c r="K252" s="207"/>
    </row>
    <row r="253" ht="15.75" customHeight="1">
      <c r="B253" s="181"/>
      <c r="E253" s="182"/>
      <c r="F253" s="183"/>
      <c r="G253" s="183"/>
      <c r="H253" s="182"/>
      <c r="I253" s="184"/>
      <c r="J253" s="185"/>
      <c r="K253" s="207"/>
    </row>
    <row r="254" ht="15.75" customHeight="1">
      <c r="B254" s="181"/>
      <c r="E254" s="182"/>
      <c r="F254" s="183"/>
      <c r="G254" s="183"/>
      <c r="H254" s="182"/>
      <c r="I254" s="184"/>
      <c r="J254" s="185"/>
      <c r="K254" s="207"/>
    </row>
    <row r="255" ht="15.75" customHeight="1">
      <c r="B255" s="181"/>
      <c r="E255" s="182"/>
      <c r="F255" s="183"/>
      <c r="G255" s="183"/>
      <c r="H255" s="182"/>
      <c r="I255" s="184"/>
      <c r="J255" s="185"/>
      <c r="K255" s="207"/>
    </row>
    <row r="256" ht="15.75" customHeight="1">
      <c r="B256" s="181"/>
      <c r="E256" s="182"/>
      <c r="F256" s="183"/>
      <c r="G256" s="183"/>
      <c r="H256" s="182"/>
      <c r="I256" s="184"/>
      <c r="J256" s="185"/>
      <c r="K256" s="207"/>
    </row>
    <row r="257" ht="15.75" customHeight="1">
      <c r="B257" s="181"/>
      <c r="E257" s="182"/>
      <c r="F257" s="183"/>
      <c r="G257" s="183"/>
      <c r="H257" s="182"/>
      <c r="I257" s="184"/>
      <c r="J257" s="185"/>
      <c r="K257" s="207"/>
    </row>
    <row r="258" ht="15.75" customHeight="1">
      <c r="B258" s="181"/>
      <c r="E258" s="182"/>
      <c r="F258" s="183"/>
      <c r="G258" s="183"/>
      <c r="H258" s="182"/>
      <c r="I258" s="184"/>
      <c r="J258" s="185"/>
      <c r="K258" s="207"/>
    </row>
    <row r="259" ht="15.75" customHeight="1">
      <c r="B259" s="181"/>
      <c r="E259" s="182"/>
      <c r="F259" s="183"/>
      <c r="G259" s="183"/>
      <c r="H259" s="182"/>
      <c r="I259" s="184"/>
      <c r="J259" s="185"/>
      <c r="K259" s="207"/>
    </row>
    <row r="260" ht="15.75" customHeight="1">
      <c r="B260" s="181"/>
      <c r="E260" s="182"/>
      <c r="F260" s="183"/>
      <c r="G260" s="183"/>
      <c r="H260" s="182"/>
      <c r="I260" s="184"/>
      <c r="J260" s="185"/>
      <c r="K260" s="207"/>
    </row>
    <row r="261" ht="15.75" customHeight="1">
      <c r="B261" s="181"/>
      <c r="E261" s="182"/>
      <c r="F261" s="183"/>
      <c r="G261" s="183"/>
      <c r="H261" s="182"/>
      <c r="I261" s="184"/>
      <c r="J261" s="185"/>
      <c r="K261" s="207"/>
    </row>
    <row r="262" ht="15.75" customHeight="1">
      <c r="B262" s="181"/>
      <c r="E262" s="182"/>
      <c r="F262" s="183"/>
      <c r="G262" s="183"/>
      <c r="H262" s="182"/>
      <c r="I262" s="184"/>
      <c r="J262" s="185"/>
      <c r="K262" s="207"/>
    </row>
    <row r="263" ht="15.75" customHeight="1">
      <c r="B263" s="181"/>
      <c r="E263" s="182"/>
      <c r="F263" s="183"/>
      <c r="G263" s="183"/>
      <c r="H263" s="182"/>
      <c r="I263" s="184"/>
      <c r="J263" s="185"/>
      <c r="K263" s="207"/>
    </row>
    <row r="264" ht="15.75" customHeight="1">
      <c r="B264" s="181"/>
      <c r="E264" s="182"/>
      <c r="F264" s="183"/>
      <c r="G264" s="183"/>
      <c r="H264" s="182"/>
      <c r="I264" s="184"/>
      <c r="J264" s="185"/>
      <c r="K264" s="207"/>
    </row>
    <row r="265" ht="15.75" customHeight="1">
      <c r="B265" s="181"/>
      <c r="E265" s="182"/>
      <c r="F265" s="183"/>
      <c r="G265" s="183"/>
      <c r="H265" s="182"/>
      <c r="I265" s="184"/>
      <c r="J265" s="185"/>
      <c r="K265" s="207"/>
    </row>
    <row r="266" ht="15.75" customHeight="1">
      <c r="B266" s="181"/>
      <c r="E266" s="182"/>
      <c r="F266" s="183"/>
      <c r="G266" s="183"/>
      <c r="H266" s="182"/>
      <c r="I266" s="184"/>
      <c r="J266" s="185"/>
      <c r="K266" s="207"/>
    </row>
    <row r="267" ht="15.75" customHeight="1">
      <c r="B267" s="181"/>
      <c r="E267" s="182"/>
      <c r="F267" s="183"/>
      <c r="G267" s="183"/>
      <c r="H267" s="182"/>
      <c r="I267" s="184"/>
      <c r="J267" s="185"/>
      <c r="K267" s="207"/>
    </row>
    <row r="268" ht="15.75" customHeight="1">
      <c r="B268" s="181"/>
      <c r="E268" s="182"/>
      <c r="F268" s="183"/>
      <c r="G268" s="183"/>
      <c r="H268" s="182"/>
      <c r="I268" s="184"/>
      <c r="J268" s="185"/>
      <c r="K268" s="207"/>
    </row>
    <row r="269" ht="15.75" customHeight="1">
      <c r="B269" s="181"/>
      <c r="E269" s="182"/>
      <c r="F269" s="183"/>
      <c r="G269" s="183"/>
      <c r="H269" s="182"/>
      <c r="I269" s="184"/>
      <c r="J269" s="185"/>
      <c r="K269" s="207"/>
    </row>
    <row r="270" ht="15.75" customHeight="1">
      <c r="B270" s="181"/>
      <c r="E270" s="182"/>
      <c r="F270" s="183"/>
      <c r="G270" s="183"/>
      <c r="H270" s="182"/>
      <c r="I270" s="184"/>
      <c r="J270" s="185"/>
      <c r="K270" s="207"/>
    </row>
    <row r="271" ht="15.75" customHeight="1">
      <c r="B271" s="181"/>
      <c r="E271" s="182"/>
      <c r="F271" s="183"/>
      <c r="G271" s="183"/>
      <c r="H271" s="182"/>
      <c r="I271" s="184"/>
      <c r="J271" s="185"/>
      <c r="K271" s="207"/>
    </row>
    <row r="272" ht="15.75" customHeight="1">
      <c r="B272" s="181"/>
      <c r="E272" s="182"/>
      <c r="F272" s="183"/>
      <c r="G272" s="183"/>
      <c r="H272" s="182"/>
      <c r="I272" s="184"/>
      <c r="J272" s="185"/>
      <c r="K272" s="207"/>
    </row>
    <row r="273" ht="15.75" customHeight="1">
      <c r="B273" s="181"/>
      <c r="E273" s="182"/>
      <c r="F273" s="183"/>
      <c r="G273" s="183"/>
      <c r="H273" s="182"/>
      <c r="I273" s="184"/>
      <c r="J273" s="185"/>
      <c r="K273" s="207"/>
    </row>
    <row r="274" ht="15.75" customHeight="1">
      <c r="B274" s="181"/>
      <c r="E274" s="182"/>
      <c r="F274" s="183"/>
      <c r="G274" s="183"/>
      <c r="H274" s="182"/>
      <c r="I274" s="184"/>
      <c r="J274" s="185"/>
      <c r="K274" s="207"/>
    </row>
    <row r="275" ht="15.75" customHeight="1">
      <c r="B275" s="181"/>
      <c r="E275" s="182"/>
      <c r="F275" s="183"/>
      <c r="G275" s="183"/>
      <c r="H275" s="182"/>
      <c r="I275" s="184"/>
      <c r="J275" s="185"/>
      <c r="K275" s="207"/>
    </row>
    <row r="276" ht="15.75" customHeight="1">
      <c r="B276" s="181"/>
      <c r="E276" s="182"/>
      <c r="F276" s="183"/>
      <c r="G276" s="183"/>
      <c r="H276" s="182"/>
      <c r="I276" s="184"/>
      <c r="J276" s="185"/>
      <c r="K276" s="207"/>
    </row>
    <row r="277" ht="15.75" customHeight="1">
      <c r="B277" s="181"/>
      <c r="E277" s="182"/>
      <c r="F277" s="183"/>
      <c r="G277" s="183"/>
      <c r="H277" s="182"/>
      <c r="I277" s="184"/>
      <c r="J277" s="185"/>
      <c r="K277" s="207"/>
    </row>
    <row r="278" ht="15.75" customHeight="1">
      <c r="B278" s="181"/>
      <c r="E278" s="182"/>
      <c r="F278" s="183"/>
      <c r="G278" s="183"/>
      <c r="H278" s="182"/>
      <c r="I278" s="184"/>
      <c r="J278" s="185"/>
      <c r="K278" s="207"/>
    </row>
    <row r="279" ht="15.75" customHeight="1">
      <c r="B279" s="181"/>
      <c r="E279" s="182"/>
      <c r="F279" s="183"/>
      <c r="G279" s="183"/>
      <c r="H279" s="182"/>
      <c r="I279" s="184"/>
      <c r="J279" s="185"/>
      <c r="K279" s="207"/>
    </row>
    <row r="280" ht="15.75" customHeight="1">
      <c r="B280" s="181"/>
      <c r="E280" s="182"/>
      <c r="F280" s="183"/>
      <c r="G280" s="183"/>
      <c r="H280" s="182"/>
      <c r="I280" s="184"/>
      <c r="J280" s="185"/>
      <c r="K280" s="207"/>
    </row>
    <row r="281" ht="15.75" customHeight="1">
      <c r="B281" s="181"/>
      <c r="E281" s="182"/>
      <c r="F281" s="183"/>
      <c r="G281" s="183"/>
      <c r="H281" s="182"/>
      <c r="I281" s="184"/>
      <c r="J281" s="185"/>
      <c r="K281" s="207"/>
    </row>
    <row r="282" ht="15.75" customHeight="1">
      <c r="B282" s="181"/>
      <c r="E282" s="182"/>
      <c r="F282" s="183"/>
      <c r="G282" s="183"/>
      <c r="H282" s="182"/>
      <c r="I282" s="184"/>
      <c r="J282" s="185"/>
      <c r="K282" s="207"/>
    </row>
    <row r="283" ht="15.75" customHeight="1">
      <c r="B283" s="181"/>
      <c r="E283" s="182"/>
      <c r="F283" s="183"/>
      <c r="G283" s="183"/>
      <c r="H283" s="182"/>
      <c r="I283" s="184"/>
      <c r="J283" s="185"/>
      <c r="K283" s="207"/>
    </row>
    <row r="284" ht="15.75" customHeight="1">
      <c r="B284" s="181"/>
      <c r="E284" s="182"/>
      <c r="F284" s="183"/>
      <c r="G284" s="183"/>
      <c r="H284" s="182"/>
      <c r="I284" s="184"/>
      <c r="J284" s="185"/>
      <c r="K284" s="207"/>
    </row>
    <row r="285" ht="15.75" customHeight="1">
      <c r="B285" s="181"/>
      <c r="E285" s="182"/>
      <c r="F285" s="183"/>
      <c r="G285" s="183"/>
      <c r="H285" s="182"/>
      <c r="I285" s="184"/>
      <c r="J285" s="185"/>
      <c r="K285" s="207"/>
    </row>
    <row r="286" ht="15.75" customHeight="1">
      <c r="B286" s="181"/>
      <c r="E286" s="182"/>
      <c r="F286" s="183"/>
      <c r="G286" s="183"/>
      <c r="H286" s="182"/>
      <c r="I286" s="184"/>
      <c r="J286" s="185"/>
      <c r="K286" s="207"/>
    </row>
    <row r="287" ht="15.75" customHeight="1">
      <c r="B287" s="181"/>
      <c r="E287" s="182"/>
      <c r="F287" s="183"/>
      <c r="G287" s="183"/>
      <c r="H287" s="182"/>
      <c r="I287" s="184"/>
      <c r="J287" s="185"/>
      <c r="K287" s="207"/>
    </row>
    <row r="288" ht="15.75" customHeight="1">
      <c r="B288" s="181"/>
      <c r="E288" s="182"/>
      <c r="F288" s="183"/>
      <c r="G288" s="183"/>
      <c r="H288" s="182"/>
      <c r="I288" s="184"/>
      <c r="J288" s="185"/>
      <c r="K288" s="207"/>
    </row>
    <row r="289" ht="15.75" customHeight="1">
      <c r="B289" s="181"/>
      <c r="E289" s="182"/>
      <c r="F289" s="183"/>
      <c r="G289" s="183"/>
      <c r="H289" s="182"/>
      <c r="I289" s="184"/>
      <c r="J289" s="185"/>
      <c r="K289" s="207"/>
    </row>
    <row r="290" ht="15.75" customHeight="1">
      <c r="B290" s="181"/>
      <c r="E290" s="182"/>
      <c r="F290" s="183"/>
      <c r="G290" s="183"/>
      <c r="H290" s="182"/>
      <c r="I290" s="184"/>
      <c r="J290" s="185"/>
      <c r="K290" s="207"/>
    </row>
    <row r="291" ht="15.75" customHeight="1">
      <c r="B291" s="181"/>
      <c r="E291" s="182"/>
      <c r="F291" s="183"/>
      <c r="G291" s="183"/>
      <c r="H291" s="182"/>
      <c r="I291" s="184"/>
      <c r="J291" s="185"/>
      <c r="K291" s="207"/>
    </row>
    <row r="292" ht="15.75" customHeight="1">
      <c r="B292" s="181"/>
      <c r="E292" s="182"/>
      <c r="F292" s="183"/>
      <c r="G292" s="183"/>
      <c r="H292" s="182"/>
      <c r="I292" s="184"/>
      <c r="J292" s="185"/>
      <c r="K292" s="207"/>
    </row>
    <row r="293" ht="15.75" customHeight="1">
      <c r="B293" s="181"/>
      <c r="E293" s="182"/>
      <c r="F293" s="183"/>
      <c r="G293" s="183"/>
      <c r="H293" s="182"/>
      <c r="I293" s="184"/>
      <c r="J293" s="185"/>
      <c r="K293" s="207"/>
    </row>
    <row r="294" ht="15.75" customHeight="1">
      <c r="B294" s="181"/>
      <c r="E294" s="182"/>
      <c r="F294" s="183"/>
      <c r="G294" s="183"/>
      <c r="H294" s="182"/>
      <c r="I294" s="184"/>
      <c r="J294" s="185"/>
      <c r="K294" s="207"/>
    </row>
    <row r="295" ht="15.75" customHeight="1">
      <c r="B295" s="181"/>
      <c r="E295" s="182"/>
      <c r="F295" s="183"/>
      <c r="G295" s="183"/>
      <c r="H295" s="182"/>
      <c r="I295" s="184"/>
      <c r="J295" s="185"/>
      <c r="K295" s="207"/>
    </row>
    <row r="296" ht="15.75" customHeight="1">
      <c r="B296" s="181"/>
      <c r="E296" s="182"/>
      <c r="F296" s="183"/>
      <c r="G296" s="183"/>
      <c r="H296" s="182"/>
      <c r="I296" s="184"/>
      <c r="J296" s="185"/>
      <c r="K296" s="207"/>
    </row>
    <row r="297" ht="15.75" customHeight="1">
      <c r="B297" s="181"/>
      <c r="E297" s="182"/>
      <c r="F297" s="183"/>
      <c r="G297" s="183"/>
      <c r="H297" s="182"/>
      <c r="I297" s="184"/>
      <c r="J297" s="185"/>
      <c r="K297" s="207"/>
    </row>
    <row r="298" ht="15.75" customHeight="1">
      <c r="B298" s="181"/>
      <c r="E298" s="182"/>
      <c r="F298" s="183"/>
      <c r="G298" s="183"/>
      <c r="H298" s="182"/>
      <c r="I298" s="184"/>
      <c r="J298" s="185"/>
      <c r="K298" s="207"/>
    </row>
    <row r="299" ht="15.75" customHeight="1">
      <c r="B299" s="181"/>
      <c r="E299" s="182"/>
      <c r="F299" s="183"/>
      <c r="G299" s="183"/>
      <c r="H299" s="182"/>
      <c r="I299" s="184"/>
      <c r="J299" s="185"/>
      <c r="K299" s="207"/>
    </row>
    <row r="300" ht="15.75" customHeight="1">
      <c r="B300" s="181"/>
      <c r="E300" s="182"/>
      <c r="F300" s="183"/>
      <c r="G300" s="183"/>
      <c r="H300" s="182"/>
      <c r="I300" s="184"/>
      <c r="J300" s="185"/>
      <c r="K300" s="207"/>
    </row>
    <row r="301" ht="15.75" customHeight="1">
      <c r="B301" s="181"/>
      <c r="E301" s="182"/>
      <c r="F301" s="183"/>
      <c r="G301" s="183"/>
      <c r="H301" s="182"/>
      <c r="I301" s="184"/>
      <c r="J301" s="185"/>
      <c r="K301" s="207"/>
    </row>
    <row r="302" ht="15.75" customHeight="1">
      <c r="B302" s="181"/>
      <c r="E302" s="182"/>
      <c r="F302" s="183"/>
      <c r="G302" s="183"/>
      <c r="H302" s="182"/>
      <c r="I302" s="184"/>
      <c r="J302" s="185"/>
      <c r="K302" s="207"/>
    </row>
    <row r="303" ht="15.75" customHeight="1">
      <c r="B303" s="181"/>
      <c r="E303" s="182"/>
      <c r="F303" s="183"/>
      <c r="G303" s="183"/>
      <c r="H303" s="182"/>
      <c r="I303" s="184"/>
      <c r="J303" s="185"/>
      <c r="K303" s="207"/>
    </row>
    <row r="304" ht="15.75" customHeight="1">
      <c r="B304" s="181"/>
      <c r="E304" s="182"/>
      <c r="F304" s="183"/>
      <c r="G304" s="183"/>
      <c r="H304" s="182"/>
      <c r="I304" s="184"/>
      <c r="J304" s="185"/>
      <c r="K304" s="207"/>
    </row>
    <row r="305" ht="15.75" customHeight="1">
      <c r="B305" s="181"/>
      <c r="E305" s="182"/>
      <c r="F305" s="183"/>
      <c r="G305" s="183"/>
      <c r="H305" s="182"/>
      <c r="I305" s="184"/>
      <c r="J305" s="185"/>
      <c r="K305" s="207"/>
    </row>
    <row r="306" ht="15.75" customHeight="1">
      <c r="B306" s="181"/>
      <c r="E306" s="182"/>
      <c r="F306" s="183"/>
      <c r="G306" s="183"/>
      <c r="H306" s="182"/>
      <c r="I306" s="184"/>
      <c r="J306" s="185"/>
      <c r="K306" s="207"/>
    </row>
    <row r="307" ht="15.75" customHeight="1">
      <c r="B307" s="181"/>
      <c r="E307" s="182"/>
      <c r="F307" s="183"/>
      <c r="G307" s="183"/>
      <c r="H307" s="182"/>
      <c r="I307" s="184"/>
      <c r="J307" s="185"/>
      <c r="K307" s="207"/>
    </row>
    <row r="308" ht="15.75" customHeight="1">
      <c r="B308" s="181"/>
      <c r="E308" s="182"/>
      <c r="F308" s="183"/>
      <c r="G308" s="183"/>
      <c r="H308" s="182"/>
      <c r="I308" s="184"/>
      <c r="J308" s="185"/>
      <c r="K308" s="207"/>
    </row>
    <row r="309" ht="15.75" customHeight="1">
      <c r="B309" s="181"/>
      <c r="E309" s="182"/>
      <c r="F309" s="183"/>
      <c r="G309" s="183"/>
      <c r="H309" s="182"/>
      <c r="I309" s="184"/>
      <c r="J309" s="185"/>
      <c r="K309" s="207"/>
    </row>
    <row r="310" ht="15.75" customHeight="1">
      <c r="B310" s="181"/>
      <c r="E310" s="182"/>
      <c r="F310" s="183"/>
      <c r="G310" s="183"/>
      <c r="H310" s="182"/>
      <c r="I310" s="184"/>
      <c r="J310" s="185"/>
      <c r="K310" s="207"/>
    </row>
    <row r="311" ht="15.75" customHeight="1">
      <c r="B311" s="181"/>
      <c r="E311" s="182"/>
      <c r="F311" s="183"/>
      <c r="G311" s="183"/>
      <c r="H311" s="182"/>
      <c r="I311" s="184"/>
      <c r="J311" s="185"/>
      <c r="K311" s="207"/>
    </row>
    <row r="312" ht="15.75" customHeight="1">
      <c r="B312" s="181"/>
      <c r="E312" s="182"/>
      <c r="F312" s="183"/>
      <c r="G312" s="183"/>
      <c r="H312" s="182"/>
      <c r="I312" s="184"/>
      <c r="J312" s="185"/>
      <c r="K312" s="207"/>
    </row>
    <row r="313" ht="15.75" customHeight="1">
      <c r="B313" s="181"/>
      <c r="E313" s="182"/>
      <c r="F313" s="183"/>
      <c r="G313" s="183"/>
      <c r="H313" s="182"/>
      <c r="I313" s="184"/>
      <c r="J313" s="185"/>
      <c r="K313" s="207"/>
    </row>
    <row r="314" ht="15.75" customHeight="1">
      <c r="B314" s="181"/>
      <c r="E314" s="182"/>
      <c r="F314" s="183"/>
      <c r="G314" s="183"/>
      <c r="H314" s="182"/>
      <c r="I314" s="184"/>
      <c r="J314" s="185"/>
      <c r="K314" s="207"/>
    </row>
    <row r="315" ht="15.75" customHeight="1">
      <c r="B315" s="181"/>
      <c r="E315" s="182"/>
      <c r="F315" s="183"/>
      <c r="G315" s="183"/>
      <c r="H315" s="182"/>
      <c r="I315" s="184"/>
      <c r="J315" s="185"/>
      <c r="K315" s="207"/>
    </row>
    <row r="316" ht="15.75" customHeight="1">
      <c r="B316" s="181"/>
      <c r="E316" s="182"/>
      <c r="F316" s="183"/>
      <c r="G316" s="183"/>
      <c r="H316" s="182"/>
      <c r="I316" s="184"/>
      <c r="J316" s="185"/>
      <c r="K316" s="207"/>
    </row>
    <row r="317" ht="15.75" customHeight="1">
      <c r="B317" s="181"/>
      <c r="E317" s="182"/>
      <c r="F317" s="183"/>
      <c r="G317" s="183"/>
      <c r="H317" s="182"/>
      <c r="I317" s="184"/>
      <c r="J317" s="185"/>
      <c r="K317" s="207"/>
    </row>
    <row r="318" ht="15.75" customHeight="1">
      <c r="B318" s="181"/>
      <c r="E318" s="182"/>
      <c r="F318" s="183"/>
      <c r="G318" s="183"/>
      <c r="H318" s="182"/>
      <c r="I318" s="184"/>
      <c r="J318" s="185"/>
      <c r="K318" s="207"/>
    </row>
    <row r="319" ht="15.75" customHeight="1">
      <c r="B319" s="181"/>
      <c r="E319" s="182"/>
      <c r="F319" s="183"/>
      <c r="G319" s="183"/>
      <c r="H319" s="182"/>
      <c r="I319" s="184"/>
      <c r="J319" s="185"/>
      <c r="K319" s="207"/>
    </row>
    <row r="320" ht="15.75" customHeight="1">
      <c r="B320" s="181"/>
      <c r="E320" s="182"/>
      <c r="F320" s="183"/>
      <c r="G320" s="183"/>
      <c r="H320" s="182"/>
      <c r="I320" s="184"/>
      <c r="J320" s="185"/>
      <c r="K320" s="207"/>
    </row>
    <row r="321" ht="15.75" customHeight="1">
      <c r="B321" s="181"/>
      <c r="E321" s="182"/>
      <c r="F321" s="183"/>
      <c r="G321" s="183"/>
      <c r="H321" s="182"/>
      <c r="I321" s="184"/>
      <c r="J321" s="185"/>
      <c r="K321" s="207"/>
    </row>
    <row r="322" ht="15.75" customHeight="1">
      <c r="B322" s="181"/>
      <c r="E322" s="182"/>
      <c r="F322" s="183"/>
      <c r="G322" s="183"/>
      <c r="H322" s="182"/>
      <c r="I322" s="184"/>
      <c r="J322" s="185"/>
      <c r="K322" s="207"/>
    </row>
    <row r="323" ht="15.75" customHeight="1">
      <c r="B323" s="181"/>
      <c r="E323" s="182"/>
      <c r="F323" s="183"/>
      <c r="G323" s="183"/>
      <c r="H323" s="182"/>
      <c r="I323" s="184"/>
      <c r="J323" s="185"/>
      <c r="K323" s="207"/>
    </row>
    <row r="324" ht="15.75" customHeight="1">
      <c r="B324" s="181"/>
      <c r="E324" s="182"/>
      <c r="F324" s="183"/>
      <c r="G324" s="183"/>
      <c r="H324" s="182"/>
      <c r="I324" s="184"/>
      <c r="J324" s="185"/>
      <c r="K324" s="207"/>
    </row>
    <row r="325" ht="15.75" customHeight="1">
      <c r="B325" s="181"/>
      <c r="E325" s="182"/>
      <c r="F325" s="183"/>
      <c r="G325" s="183"/>
      <c r="H325" s="182"/>
      <c r="I325" s="184"/>
      <c r="J325" s="185"/>
      <c r="K325" s="207"/>
    </row>
    <row r="326" ht="15.75" customHeight="1">
      <c r="B326" s="181"/>
      <c r="E326" s="182"/>
      <c r="F326" s="183"/>
      <c r="G326" s="183"/>
      <c r="H326" s="182"/>
      <c r="I326" s="184"/>
      <c r="J326" s="185"/>
      <c r="K326" s="207"/>
    </row>
    <row r="327" ht="15.75" customHeight="1">
      <c r="B327" s="181"/>
      <c r="E327" s="182"/>
      <c r="F327" s="183"/>
      <c r="G327" s="183"/>
      <c r="H327" s="182"/>
      <c r="I327" s="184"/>
      <c r="J327" s="185"/>
      <c r="K327" s="207"/>
    </row>
    <row r="328" ht="15.75" customHeight="1">
      <c r="B328" s="181"/>
      <c r="E328" s="182"/>
      <c r="F328" s="183"/>
      <c r="G328" s="183"/>
      <c r="H328" s="182"/>
      <c r="I328" s="184"/>
      <c r="J328" s="185"/>
      <c r="K328" s="207"/>
    </row>
    <row r="329" ht="15.75" customHeight="1">
      <c r="B329" s="181"/>
      <c r="E329" s="182"/>
      <c r="F329" s="183"/>
      <c r="G329" s="183"/>
      <c r="H329" s="182"/>
      <c r="I329" s="184"/>
      <c r="J329" s="185"/>
      <c r="K329" s="207"/>
    </row>
    <row r="330" ht="15.75" customHeight="1">
      <c r="B330" s="181"/>
      <c r="E330" s="182"/>
      <c r="F330" s="183"/>
      <c r="G330" s="183"/>
      <c r="H330" s="182"/>
      <c r="I330" s="184"/>
      <c r="J330" s="185"/>
      <c r="K330" s="207"/>
    </row>
    <row r="331" ht="15.75" customHeight="1">
      <c r="B331" s="181"/>
      <c r="E331" s="182"/>
      <c r="F331" s="183"/>
      <c r="G331" s="183"/>
      <c r="H331" s="182"/>
      <c r="I331" s="184"/>
      <c r="J331" s="185"/>
      <c r="K331" s="207"/>
    </row>
    <row r="332" ht="15.75" customHeight="1">
      <c r="B332" s="181"/>
      <c r="E332" s="182"/>
      <c r="F332" s="183"/>
      <c r="G332" s="183"/>
      <c r="H332" s="182"/>
      <c r="I332" s="184"/>
      <c r="J332" s="185"/>
      <c r="K332" s="207"/>
    </row>
    <row r="333" ht="15.75" customHeight="1">
      <c r="B333" s="181"/>
      <c r="E333" s="182"/>
      <c r="F333" s="183"/>
      <c r="G333" s="183"/>
      <c r="H333" s="182"/>
      <c r="I333" s="184"/>
      <c r="J333" s="185"/>
      <c r="K333" s="207"/>
    </row>
    <row r="334" ht="15.75" customHeight="1">
      <c r="B334" s="181"/>
      <c r="E334" s="182"/>
      <c r="F334" s="183"/>
      <c r="G334" s="183"/>
      <c r="H334" s="182"/>
      <c r="I334" s="184"/>
      <c r="J334" s="185"/>
      <c r="K334" s="207"/>
    </row>
    <row r="335" ht="15.75" customHeight="1">
      <c r="B335" s="181"/>
      <c r="E335" s="182"/>
      <c r="F335" s="183"/>
      <c r="G335" s="183"/>
      <c r="H335" s="182"/>
      <c r="I335" s="184"/>
      <c r="J335" s="185"/>
      <c r="K335" s="207"/>
    </row>
    <row r="336" ht="15.75" customHeight="1">
      <c r="B336" s="181"/>
      <c r="E336" s="182"/>
      <c r="F336" s="183"/>
      <c r="G336" s="183"/>
      <c r="H336" s="182"/>
      <c r="I336" s="184"/>
      <c r="J336" s="185"/>
      <c r="K336" s="207"/>
    </row>
    <row r="337" ht="15.75" customHeight="1">
      <c r="B337" s="181"/>
      <c r="E337" s="182"/>
      <c r="F337" s="183"/>
      <c r="G337" s="183"/>
      <c r="H337" s="182"/>
      <c r="I337" s="184"/>
      <c r="J337" s="185"/>
      <c r="K337" s="207"/>
    </row>
    <row r="338" ht="15.75" customHeight="1">
      <c r="B338" s="181"/>
      <c r="E338" s="182"/>
      <c r="F338" s="183"/>
      <c r="G338" s="183"/>
      <c r="H338" s="182"/>
      <c r="I338" s="184"/>
      <c r="J338" s="185"/>
      <c r="K338" s="207"/>
    </row>
    <row r="339" ht="15.75" customHeight="1">
      <c r="B339" s="181"/>
      <c r="E339" s="182"/>
      <c r="F339" s="183"/>
      <c r="G339" s="183"/>
      <c r="H339" s="182"/>
      <c r="I339" s="184"/>
      <c r="J339" s="185"/>
      <c r="K339" s="207"/>
    </row>
    <row r="340" ht="15.75" customHeight="1">
      <c r="B340" s="181"/>
      <c r="E340" s="182"/>
      <c r="F340" s="183"/>
      <c r="G340" s="183"/>
      <c r="H340" s="182"/>
      <c r="I340" s="184"/>
      <c r="J340" s="185"/>
      <c r="K340" s="207"/>
    </row>
    <row r="341" ht="15.75" customHeight="1">
      <c r="B341" s="181"/>
      <c r="E341" s="182"/>
      <c r="F341" s="183"/>
      <c r="G341" s="183"/>
      <c r="H341" s="182"/>
      <c r="I341" s="184"/>
      <c r="J341" s="185"/>
      <c r="K341" s="207"/>
    </row>
    <row r="342" ht="15.75" customHeight="1">
      <c r="B342" s="181"/>
      <c r="E342" s="182"/>
      <c r="F342" s="183"/>
      <c r="G342" s="183"/>
      <c r="H342" s="182"/>
      <c r="I342" s="184"/>
      <c r="J342" s="185"/>
      <c r="K342" s="207"/>
    </row>
    <row r="343" ht="15.75" customHeight="1">
      <c r="B343" s="181"/>
      <c r="E343" s="182"/>
      <c r="F343" s="183"/>
      <c r="G343" s="183"/>
      <c r="H343" s="182"/>
      <c r="I343" s="184"/>
      <c r="J343" s="185"/>
      <c r="K343" s="207"/>
    </row>
    <row r="344" ht="15.75" customHeight="1">
      <c r="B344" s="181"/>
      <c r="E344" s="182"/>
      <c r="F344" s="183"/>
      <c r="G344" s="183"/>
      <c r="H344" s="182"/>
      <c r="I344" s="184"/>
      <c r="J344" s="185"/>
      <c r="K344" s="207"/>
    </row>
    <row r="345" ht="15.75" customHeight="1">
      <c r="B345" s="181"/>
      <c r="E345" s="182"/>
      <c r="F345" s="183"/>
      <c r="G345" s="183"/>
      <c r="H345" s="182"/>
      <c r="I345" s="184"/>
      <c r="J345" s="185"/>
      <c r="K345" s="207"/>
    </row>
    <row r="346" ht="15.75" customHeight="1">
      <c r="B346" s="181"/>
      <c r="E346" s="182"/>
      <c r="F346" s="183"/>
      <c r="G346" s="183"/>
      <c r="H346" s="182"/>
      <c r="I346" s="184"/>
      <c r="J346" s="185"/>
      <c r="K346" s="207"/>
    </row>
    <row r="347" ht="15.75" customHeight="1">
      <c r="B347" s="181"/>
      <c r="E347" s="182"/>
      <c r="F347" s="183"/>
      <c r="G347" s="183"/>
      <c r="H347" s="182"/>
      <c r="I347" s="184"/>
      <c r="J347" s="185"/>
      <c r="K347" s="207"/>
    </row>
    <row r="348" ht="15.75" customHeight="1">
      <c r="B348" s="181"/>
      <c r="E348" s="182"/>
      <c r="F348" s="183"/>
      <c r="G348" s="183"/>
      <c r="H348" s="182"/>
      <c r="I348" s="184"/>
      <c r="J348" s="185"/>
      <c r="K348" s="207"/>
    </row>
    <row r="349" ht="15.75" customHeight="1">
      <c r="B349" s="181"/>
      <c r="E349" s="182"/>
      <c r="F349" s="183"/>
      <c r="G349" s="183"/>
      <c r="H349" s="182"/>
      <c r="I349" s="184"/>
      <c r="J349" s="185"/>
      <c r="K349" s="207"/>
    </row>
    <row r="350" ht="15.75" customHeight="1">
      <c r="B350" s="181"/>
      <c r="E350" s="182"/>
      <c r="F350" s="183"/>
      <c r="G350" s="183"/>
      <c r="H350" s="182"/>
      <c r="I350" s="184"/>
      <c r="J350" s="185"/>
      <c r="K350" s="207"/>
    </row>
    <row r="351" ht="15.75" customHeight="1">
      <c r="B351" s="181"/>
      <c r="E351" s="182"/>
      <c r="F351" s="183"/>
      <c r="G351" s="183"/>
      <c r="H351" s="182"/>
      <c r="I351" s="184"/>
      <c r="J351" s="185"/>
      <c r="K351" s="207"/>
    </row>
    <row r="352" ht="15.75" customHeight="1">
      <c r="B352" s="181"/>
      <c r="E352" s="182"/>
      <c r="F352" s="183"/>
      <c r="G352" s="183"/>
      <c r="H352" s="182"/>
      <c r="I352" s="184"/>
      <c r="J352" s="185"/>
      <c r="K352" s="207"/>
    </row>
    <row r="353" ht="15.75" customHeight="1">
      <c r="B353" s="181"/>
      <c r="E353" s="182"/>
      <c r="F353" s="183"/>
      <c r="G353" s="183"/>
      <c r="H353" s="182"/>
      <c r="I353" s="184"/>
      <c r="J353" s="185"/>
      <c r="K353" s="207"/>
    </row>
    <row r="354" ht="15.75" customHeight="1">
      <c r="B354" s="181"/>
      <c r="E354" s="182"/>
      <c r="F354" s="183"/>
      <c r="G354" s="183"/>
      <c r="H354" s="182"/>
      <c r="I354" s="184"/>
      <c r="J354" s="185"/>
      <c r="K354" s="207"/>
    </row>
    <row r="355" ht="15.75" customHeight="1">
      <c r="B355" s="181"/>
      <c r="E355" s="182"/>
      <c r="F355" s="183"/>
      <c r="G355" s="183"/>
      <c r="H355" s="182"/>
      <c r="I355" s="184"/>
      <c r="J355" s="185"/>
      <c r="K355" s="207"/>
    </row>
    <row r="356" ht="15.75" customHeight="1">
      <c r="B356" s="181"/>
      <c r="E356" s="182"/>
      <c r="F356" s="183"/>
      <c r="G356" s="183"/>
      <c r="H356" s="182"/>
      <c r="I356" s="184"/>
      <c r="J356" s="185"/>
      <c r="K356" s="207"/>
    </row>
    <row r="357" ht="15.75" customHeight="1">
      <c r="B357" s="181"/>
      <c r="E357" s="182"/>
      <c r="F357" s="183"/>
      <c r="G357" s="183"/>
      <c r="H357" s="182"/>
      <c r="I357" s="184"/>
      <c r="J357" s="185"/>
      <c r="K357" s="207"/>
    </row>
    <row r="358" ht="15.75" customHeight="1">
      <c r="B358" s="181"/>
      <c r="E358" s="182"/>
      <c r="F358" s="183"/>
      <c r="G358" s="183"/>
      <c r="H358" s="182"/>
      <c r="I358" s="184"/>
      <c r="J358" s="185"/>
      <c r="K358" s="207"/>
    </row>
    <row r="359" ht="15.75" customHeight="1">
      <c r="B359" s="181"/>
      <c r="E359" s="182"/>
      <c r="F359" s="183"/>
      <c r="G359" s="183"/>
      <c r="H359" s="182"/>
      <c r="I359" s="184"/>
      <c r="J359" s="185"/>
      <c r="K359" s="207"/>
    </row>
    <row r="360" ht="15.75" customHeight="1">
      <c r="B360" s="181"/>
      <c r="E360" s="182"/>
      <c r="F360" s="183"/>
      <c r="G360" s="183"/>
      <c r="H360" s="182"/>
      <c r="I360" s="184"/>
      <c r="J360" s="185"/>
      <c r="K360" s="207"/>
    </row>
    <row r="361" ht="15.75" customHeight="1">
      <c r="B361" s="181"/>
      <c r="E361" s="182"/>
      <c r="F361" s="183"/>
      <c r="G361" s="183"/>
      <c r="H361" s="182"/>
      <c r="I361" s="184"/>
      <c r="J361" s="185"/>
      <c r="K361" s="207"/>
    </row>
    <row r="362" ht="15.75" customHeight="1">
      <c r="B362" s="181"/>
      <c r="E362" s="182"/>
      <c r="F362" s="183"/>
      <c r="G362" s="183"/>
      <c r="H362" s="182"/>
      <c r="I362" s="184"/>
      <c r="J362" s="185"/>
      <c r="K362" s="207"/>
    </row>
    <row r="363" ht="15.75" customHeight="1">
      <c r="B363" s="181"/>
      <c r="E363" s="182"/>
      <c r="F363" s="183"/>
      <c r="G363" s="183"/>
      <c r="H363" s="182"/>
      <c r="I363" s="184"/>
      <c r="J363" s="185"/>
      <c r="K363" s="207"/>
    </row>
    <row r="364" ht="15.75" customHeight="1">
      <c r="B364" s="181"/>
      <c r="E364" s="182"/>
      <c r="F364" s="183"/>
      <c r="G364" s="183"/>
      <c r="H364" s="182"/>
      <c r="I364" s="184"/>
      <c r="J364" s="185"/>
      <c r="K364" s="207"/>
    </row>
    <row r="365" ht="15.75" customHeight="1">
      <c r="B365" s="181"/>
      <c r="E365" s="182"/>
      <c r="F365" s="183"/>
      <c r="G365" s="183"/>
      <c r="H365" s="182"/>
      <c r="I365" s="184"/>
      <c r="J365" s="185"/>
      <c r="K365" s="207"/>
    </row>
    <row r="366" ht="15.75" customHeight="1">
      <c r="B366" s="181"/>
      <c r="E366" s="182"/>
      <c r="F366" s="183"/>
      <c r="G366" s="183"/>
      <c r="H366" s="182"/>
      <c r="I366" s="184"/>
      <c r="J366" s="185"/>
      <c r="K366" s="207"/>
    </row>
    <row r="367" ht="15.75" customHeight="1">
      <c r="B367" s="181"/>
      <c r="E367" s="182"/>
      <c r="F367" s="183"/>
      <c r="G367" s="183"/>
      <c r="H367" s="182"/>
      <c r="I367" s="184"/>
      <c r="J367" s="185"/>
      <c r="K367" s="207"/>
    </row>
    <row r="368" ht="15.75" customHeight="1">
      <c r="B368" s="181"/>
      <c r="E368" s="182"/>
      <c r="F368" s="183"/>
      <c r="G368" s="183"/>
      <c r="H368" s="182"/>
      <c r="I368" s="184"/>
      <c r="J368" s="185"/>
      <c r="K368" s="207"/>
    </row>
    <row r="369" ht="15.75" customHeight="1">
      <c r="B369" s="181"/>
      <c r="E369" s="182"/>
      <c r="F369" s="183"/>
      <c r="G369" s="183"/>
      <c r="H369" s="182"/>
      <c r="I369" s="184"/>
      <c r="J369" s="185"/>
      <c r="K369" s="207"/>
    </row>
    <row r="370" ht="15.75" customHeight="1">
      <c r="B370" s="181"/>
      <c r="E370" s="182"/>
      <c r="F370" s="183"/>
      <c r="G370" s="183"/>
      <c r="H370" s="182"/>
      <c r="I370" s="184"/>
      <c r="J370" s="185"/>
      <c r="K370" s="207"/>
    </row>
    <row r="371" ht="15.75" customHeight="1">
      <c r="B371" s="181"/>
      <c r="E371" s="182"/>
      <c r="F371" s="183"/>
      <c r="G371" s="183"/>
      <c r="H371" s="182"/>
      <c r="I371" s="184"/>
      <c r="J371" s="185"/>
      <c r="K371" s="207"/>
    </row>
    <row r="372" ht="15.75" customHeight="1">
      <c r="B372" s="181"/>
      <c r="E372" s="182"/>
      <c r="F372" s="183"/>
      <c r="G372" s="183"/>
      <c r="H372" s="182"/>
      <c r="I372" s="184"/>
      <c r="J372" s="185"/>
      <c r="K372" s="207"/>
    </row>
    <row r="373" ht="15.75" customHeight="1">
      <c r="B373" s="181"/>
      <c r="E373" s="182"/>
      <c r="F373" s="183"/>
      <c r="G373" s="183"/>
      <c r="H373" s="182"/>
      <c r="I373" s="184"/>
      <c r="J373" s="185"/>
      <c r="K373" s="207"/>
    </row>
    <row r="374" ht="15.75" customHeight="1">
      <c r="B374" s="181"/>
      <c r="E374" s="182"/>
      <c r="F374" s="183"/>
      <c r="G374" s="183"/>
      <c r="H374" s="182"/>
      <c r="I374" s="184"/>
      <c r="J374" s="185"/>
      <c r="K374" s="207"/>
    </row>
    <row r="375" ht="15.75" customHeight="1">
      <c r="B375" s="181"/>
      <c r="E375" s="182"/>
      <c r="F375" s="183"/>
      <c r="G375" s="183"/>
      <c r="H375" s="182"/>
      <c r="I375" s="184"/>
      <c r="J375" s="185"/>
      <c r="K375" s="207"/>
    </row>
    <row r="376" ht="15.75" customHeight="1">
      <c r="B376" s="181"/>
      <c r="E376" s="182"/>
      <c r="F376" s="183"/>
      <c r="G376" s="183"/>
      <c r="H376" s="182"/>
      <c r="I376" s="184"/>
      <c r="J376" s="185"/>
      <c r="K376" s="207"/>
    </row>
    <row r="377" ht="15.75" customHeight="1">
      <c r="B377" s="181"/>
      <c r="E377" s="182"/>
      <c r="F377" s="183"/>
      <c r="G377" s="183"/>
      <c r="H377" s="182"/>
      <c r="I377" s="184"/>
      <c r="J377" s="185"/>
      <c r="K377" s="207"/>
    </row>
    <row r="378" ht="15.75" customHeight="1">
      <c r="B378" s="181"/>
      <c r="E378" s="182"/>
      <c r="F378" s="183"/>
      <c r="G378" s="183"/>
      <c r="H378" s="182"/>
      <c r="I378" s="184"/>
      <c r="J378" s="185"/>
      <c r="K378" s="207"/>
    </row>
    <row r="379" ht="15.75" customHeight="1">
      <c r="B379" s="181"/>
      <c r="E379" s="182"/>
      <c r="F379" s="183"/>
      <c r="G379" s="183"/>
      <c r="H379" s="182"/>
      <c r="I379" s="184"/>
      <c r="J379" s="185"/>
      <c r="K379" s="207"/>
    </row>
    <row r="380" ht="15.75" customHeight="1">
      <c r="B380" s="181"/>
      <c r="E380" s="182"/>
      <c r="F380" s="183"/>
      <c r="G380" s="183"/>
      <c r="H380" s="182"/>
      <c r="I380" s="184"/>
      <c r="J380" s="185"/>
      <c r="K380" s="207"/>
    </row>
    <row r="381" ht="15.75" customHeight="1">
      <c r="B381" s="181"/>
      <c r="E381" s="182"/>
      <c r="F381" s="183"/>
      <c r="G381" s="183"/>
      <c r="H381" s="182"/>
      <c r="I381" s="184"/>
      <c r="J381" s="185"/>
      <c r="K381" s="207"/>
    </row>
    <row r="382" ht="15.75" customHeight="1">
      <c r="B382" s="181"/>
      <c r="E382" s="182"/>
      <c r="F382" s="183"/>
      <c r="G382" s="183"/>
      <c r="H382" s="182"/>
      <c r="I382" s="184"/>
      <c r="J382" s="185"/>
      <c r="K382" s="207"/>
    </row>
    <row r="383" ht="15.75" customHeight="1">
      <c r="B383" s="181"/>
      <c r="E383" s="182"/>
      <c r="F383" s="183"/>
      <c r="G383" s="183"/>
      <c r="H383" s="182"/>
      <c r="I383" s="184"/>
      <c r="J383" s="185"/>
      <c r="K383" s="207"/>
    </row>
    <row r="384" ht="15.75" customHeight="1">
      <c r="B384" s="181"/>
      <c r="E384" s="182"/>
      <c r="F384" s="183"/>
      <c r="G384" s="183"/>
      <c r="H384" s="182"/>
      <c r="I384" s="184"/>
      <c r="J384" s="185"/>
      <c r="K384" s="207"/>
    </row>
    <row r="385" ht="15.75" customHeight="1">
      <c r="B385" s="181"/>
      <c r="E385" s="182"/>
      <c r="F385" s="183"/>
      <c r="G385" s="183"/>
      <c r="H385" s="182"/>
      <c r="I385" s="184"/>
      <c r="J385" s="185"/>
      <c r="K385" s="207"/>
    </row>
    <row r="386" ht="15.75" customHeight="1">
      <c r="B386" s="181"/>
      <c r="E386" s="182"/>
      <c r="F386" s="183"/>
      <c r="G386" s="183"/>
      <c r="H386" s="182"/>
      <c r="I386" s="184"/>
      <c r="J386" s="185"/>
      <c r="K386" s="207"/>
    </row>
    <row r="387" ht="15.75" customHeight="1">
      <c r="B387" s="181"/>
      <c r="E387" s="182"/>
      <c r="F387" s="183"/>
      <c r="G387" s="183"/>
      <c r="H387" s="182"/>
      <c r="I387" s="184"/>
      <c r="J387" s="185"/>
      <c r="K387" s="207"/>
    </row>
    <row r="388" ht="15.75" customHeight="1">
      <c r="B388" s="181"/>
      <c r="E388" s="182"/>
      <c r="F388" s="183"/>
      <c r="G388" s="183"/>
      <c r="H388" s="182"/>
      <c r="I388" s="184"/>
      <c r="J388" s="185"/>
      <c r="K388" s="207"/>
    </row>
    <row r="389" ht="15.75" customHeight="1">
      <c r="B389" s="181"/>
      <c r="E389" s="182"/>
      <c r="F389" s="183"/>
      <c r="G389" s="183"/>
      <c r="H389" s="182"/>
      <c r="I389" s="184"/>
      <c r="J389" s="185"/>
      <c r="K389" s="207"/>
    </row>
    <row r="390" ht="15.75" customHeight="1">
      <c r="B390" s="181"/>
      <c r="E390" s="182"/>
      <c r="F390" s="183"/>
      <c r="G390" s="183"/>
      <c r="H390" s="182"/>
      <c r="I390" s="184"/>
      <c r="J390" s="185"/>
      <c r="K390" s="207"/>
    </row>
    <row r="391" ht="15.75" customHeight="1">
      <c r="B391" s="181"/>
      <c r="E391" s="182"/>
      <c r="F391" s="183"/>
      <c r="G391" s="183"/>
      <c r="H391" s="182"/>
      <c r="I391" s="184"/>
      <c r="J391" s="185"/>
      <c r="K391" s="207"/>
    </row>
    <row r="392" ht="15.75" customHeight="1">
      <c r="B392" s="181"/>
      <c r="E392" s="182"/>
      <c r="F392" s="183"/>
      <c r="G392" s="183"/>
      <c r="H392" s="182"/>
      <c r="I392" s="184"/>
      <c r="J392" s="185"/>
      <c r="K392" s="207"/>
    </row>
    <row r="393" ht="15.75" customHeight="1">
      <c r="B393" s="181"/>
      <c r="E393" s="182"/>
      <c r="F393" s="183"/>
      <c r="G393" s="183"/>
      <c r="H393" s="182"/>
      <c r="I393" s="184"/>
      <c r="J393" s="185"/>
      <c r="K393" s="207"/>
    </row>
    <row r="394" ht="15.75" customHeight="1">
      <c r="B394" s="181"/>
      <c r="E394" s="182"/>
      <c r="F394" s="183"/>
      <c r="G394" s="183"/>
      <c r="H394" s="182"/>
      <c r="I394" s="184"/>
      <c r="J394" s="185"/>
      <c r="K394" s="207"/>
    </row>
    <row r="395" ht="15.75" customHeight="1">
      <c r="B395" s="181"/>
      <c r="E395" s="182"/>
      <c r="F395" s="183"/>
      <c r="G395" s="183"/>
      <c r="H395" s="182"/>
      <c r="I395" s="184"/>
      <c r="J395" s="185"/>
      <c r="K395" s="207"/>
    </row>
    <row r="396" ht="15.75" customHeight="1">
      <c r="B396" s="181"/>
      <c r="E396" s="182"/>
      <c r="F396" s="183"/>
      <c r="G396" s="183"/>
      <c r="H396" s="182"/>
      <c r="I396" s="184"/>
      <c r="J396" s="185"/>
      <c r="K396" s="207"/>
    </row>
    <row r="397" ht="15.75" customHeight="1">
      <c r="B397" s="181"/>
      <c r="E397" s="182"/>
      <c r="F397" s="183"/>
      <c r="G397" s="183"/>
      <c r="H397" s="182"/>
      <c r="I397" s="184"/>
      <c r="J397" s="185"/>
      <c r="K397" s="207"/>
    </row>
    <row r="398" ht="15.75" customHeight="1">
      <c r="B398" s="181"/>
      <c r="E398" s="182"/>
      <c r="F398" s="183"/>
      <c r="G398" s="183"/>
      <c r="H398" s="182"/>
      <c r="I398" s="184"/>
      <c r="J398" s="185"/>
      <c r="K398" s="207"/>
    </row>
    <row r="399" ht="15.75" customHeight="1">
      <c r="B399" s="181"/>
      <c r="E399" s="182"/>
      <c r="F399" s="183"/>
      <c r="G399" s="183"/>
      <c r="H399" s="182"/>
      <c r="I399" s="184"/>
      <c r="J399" s="185"/>
      <c r="K399" s="207"/>
    </row>
    <row r="400" ht="15.75" customHeight="1">
      <c r="B400" s="181"/>
      <c r="E400" s="182"/>
      <c r="F400" s="183"/>
      <c r="G400" s="183"/>
      <c r="H400" s="182"/>
      <c r="I400" s="184"/>
      <c r="J400" s="185"/>
      <c r="K400" s="207"/>
    </row>
    <row r="401" ht="15.75" customHeight="1">
      <c r="B401" s="181"/>
      <c r="E401" s="182"/>
      <c r="F401" s="183"/>
      <c r="G401" s="183"/>
      <c r="H401" s="182"/>
      <c r="I401" s="184"/>
      <c r="J401" s="185"/>
      <c r="K401" s="207"/>
    </row>
    <row r="402" ht="15.75" customHeight="1">
      <c r="B402" s="181"/>
      <c r="E402" s="182"/>
      <c r="F402" s="183"/>
      <c r="G402" s="183"/>
      <c r="H402" s="182"/>
      <c r="I402" s="184"/>
      <c r="J402" s="185"/>
      <c r="K402" s="207"/>
    </row>
    <row r="403" ht="15.75" customHeight="1">
      <c r="B403" s="181"/>
      <c r="E403" s="182"/>
      <c r="F403" s="183"/>
      <c r="G403" s="183"/>
      <c r="H403" s="182"/>
      <c r="I403" s="184"/>
      <c r="J403" s="185"/>
      <c r="K403" s="207"/>
    </row>
    <row r="404" ht="15.75" customHeight="1">
      <c r="B404" s="181"/>
      <c r="E404" s="182"/>
      <c r="F404" s="183"/>
      <c r="G404" s="183"/>
      <c r="H404" s="182"/>
      <c r="I404" s="184"/>
      <c r="J404" s="185"/>
      <c r="K404" s="207"/>
    </row>
    <row r="405" ht="15.75" customHeight="1">
      <c r="B405" s="181"/>
      <c r="E405" s="182"/>
      <c r="F405" s="183"/>
      <c r="G405" s="183"/>
      <c r="H405" s="182"/>
      <c r="I405" s="184"/>
      <c r="J405" s="185"/>
      <c r="K405" s="207"/>
    </row>
    <row r="406" ht="15.75" customHeight="1">
      <c r="B406" s="181"/>
      <c r="E406" s="182"/>
      <c r="F406" s="183"/>
      <c r="G406" s="183"/>
      <c r="H406" s="182"/>
      <c r="I406" s="184"/>
      <c r="J406" s="185"/>
      <c r="K406" s="207"/>
    </row>
    <row r="407" ht="15.75" customHeight="1">
      <c r="B407" s="181"/>
      <c r="E407" s="182"/>
      <c r="F407" s="183"/>
      <c r="G407" s="183"/>
      <c r="H407" s="182"/>
      <c r="I407" s="184"/>
      <c r="J407" s="185"/>
      <c r="K407" s="207"/>
    </row>
    <row r="408" ht="15.75" customHeight="1">
      <c r="B408" s="181"/>
      <c r="E408" s="182"/>
      <c r="F408" s="183"/>
      <c r="G408" s="183"/>
      <c r="H408" s="182"/>
      <c r="I408" s="184"/>
      <c r="J408" s="185"/>
      <c r="K408" s="207"/>
    </row>
    <row r="409" ht="15.75" customHeight="1">
      <c r="B409" s="181"/>
      <c r="E409" s="182"/>
      <c r="F409" s="183"/>
      <c r="G409" s="183"/>
      <c r="H409" s="182"/>
      <c r="I409" s="184"/>
      <c r="J409" s="185"/>
      <c r="K409" s="207"/>
    </row>
    <row r="410" ht="15.75" customHeight="1">
      <c r="B410" s="181"/>
      <c r="E410" s="182"/>
      <c r="F410" s="183"/>
      <c r="G410" s="183"/>
      <c r="H410" s="182"/>
      <c r="I410" s="184"/>
      <c r="J410" s="185"/>
      <c r="K410" s="207"/>
    </row>
    <row r="411" ht="15.75" customHeight="1">
      <c r="B411" s="181"/>
      <c r="E411" s="182"/>
      <c r="F411" s="183"/>
      <c r="G411" s="183"/>
      <c r="H411" s="182"/>
      <c r="I411" s="184"/>
      <c r="J411" s="185"/>
      <c r="K411" s="207"/>
    </row>
    <row r="412" ht="15.75" customHeight="1">
      <c r="B412" s="181"/>
      <c r="E412" s="182"/>
      <c r="F412" s="183"/>
      <c r="G412" s="183"/>
      <c r="H412" s="182"/>
      <c r="I412" s="184"/>
      <c r="J412" s="185"/>
      <c r="K412" s="207"/>
    </row>
    <row r="413" ht="15.75" customHeight="1">
      <c r="B413" s="181"/>
      <c r="E413" s="182"/>
      <c r="F413" s="183"/>
      <c r="G413" s="183"/>
      <c r="H413" s="182"/>
      <c r="I413" s="184"/>
      <c r="J413" s="185"/>
      <c r="K413" s="207"/>
    </row>
    <row r="414" ht="15.75" customHeight="1">
      <c r="B414" s="181"/>
      <c r="E414" s="182"/>
      <c r="F414" s="183"/>
      <c r="G414" s="183"/>
      <c r="H414" s="182"/>
      <c r="I414" s="184"/>
      <c r="J414" s="185"/>
      <c r="K414" s="207"/>
    </row>
    <row r="415" ht="15.75" customHeight="1">
      <c r="B415" s="181"/>
      <c r="E415" s="182"/>
      <c r="F415" s="183"/>
      <c r="G415" s="183"/>
      <c r="H415" s="182"/>
      <c r="I415" s="184"/>
      <c r="J415" s="185"/>
      <c r="K415" s="207"/>
    </row>
    <row r="416" ht="15.75" customHeight="1">
      <c r="B416" s="181"/>
      <c r="E416" s="182"/>
      <c r="F416" s="183"/>
      <c r="G416" s="183"/>
      <c r="H416" s="182"/>
      <c r="I416" s="184"/>
      <c r="J416" s="185"/>
      <c r="K416" s="207"/>
    </row>
    <row r="417" ht="15.75" customHeight="1">
      <c r="B417" s="181"/>
      <c r="E417" s="182"/>
      <c r="F417" s="183"/>
      <c r="G417" s="183"/>
      <c r="H417" s="182"/>
      <c r="I417" s="184"/>
      <c r="J417" s="185"/>
      <c r="K417" s="207"/>
    </row>
    <row r="418" ht="15.75" customHeight="1">
      <c r="B418" s="181"/>
      <c r="E418" s="182"/>
      <c r="F418" s="183"/>
      <c r="G418" s="183"/>
      <c r="H418" s="182"/>
      <c r="I418" s="184"/>
      <c r="J418" s="185"/>
      <c r="K418" s="207"/>
    </row>
    <row r="419" ht="15.75" customHeight="1">
      <c r="B419" s="181"/>
      <c r="E419" s="182"/>
      <c r="F419" s="183"/>
      <c r="G419" s="183"/>
      <c r="H419" s="182"/>
      <c r="I419" s="184"/>
      <c r="J419" s="185"/>
      <c r="K419" s="207"/>
    </row>
    <row r="420" ht="15.75" customHeight="1">
      <c r="B420" s="181"/>
      <c r="E420" s="182"/>
      <c r="F420" s="183"/>
      <c r="G420" s="183"/>
      <c r="H420" s="182"/>
      <c r="I420" s="184"/>
      <c r="J420" s="185"/>
      <c r="K420" s="207"/>
    </row>
    <row r="421" ht="15.75" customHeight="1">
      <c r="B421" s="181"/>
      <c r="E421" s="182"/>
      <c r="F421" s="183"/>
      <c r="G421" s="183"/>
      <c r="H421" s="182"/>
      <c r="I421" s="184"/>
      <c r="J421" s="185"/>
      <c r="K421" s="207"/>
    </row>
    <row r="422" ht="15.75" customHeight="1">
      <c r="B422" s="181"/>
      <c r="E422" s="182"/>
      <c r="F422" s="183"/>
      <c r="G422" s="183"/>
      <c r="H422" s="182"/>
      <c r="I422" s="184"/>
      <c r="J422" s="185"/>
      <c r="K422" s="207"/>
    </row>
    <row r="423" ht="15.75" customHeight="1">
      <c r="B423" s="181"/>
      <c r="E423" s="182"/>
      <c r="F423" s="183"/>
      <c r="G423" s="183"/>
      <c r="H423" s="182"/>
      <c r="I423" s="184"/>
      <c r="J423" s="185"/>
      <c r="K423" s="207"/>
    </row>
    <row r="424" ht="15.75" customHeight="1">
      <c r="B424" s="181"/>
      <c r="E424" s="182"/>
      <c r="F424" s="183"/>
      <c r="G424" s="183"/>
      <c r="H424" s="182"/>
      <c r="I424" s="184"/>
      <c r="J424" s="185"/>
      <c r="K424" s="207"/>
    </row>
    <row r="425" ht="15.75" customHeight="1">
      <c r="B425" s="181"/>
      <c r="E425" s="182"/>
      <c r="F425" s="183"/>
      <c r="G425" s="183"/>
      <c r="H425" s="182"/>
      <c r="I425" s="184"/>
      <c r="J425" s="185"/>
      <c r="K425" s="207"/>
    </row>
    <row r="426" ht="15.75" customHeight="1">
      <c r="B426" s="181"/>
      <c r="E426" s="182"/>
      <c r="F426" s="183"/>
      <c r="G426" s="183"/>
      <c r="H426" s="182"/>
      <c r="I426" s="184"/>
      <c r="J426" s="185"/>
      <c r="K426" s="207"/>
    </row>
    <row r="427" ht="15.75" customHeight="1">
      <c r="B427" s="181"/>
      <c r="E427" s="182"/>
      <c r="F427" s="183"/>
      <c r="G427" s="183"/>
      <c r="H427" s="182"/>
      <c r="I427" s="184"/>
      <c r="J427" s="185"/>
      <c r="K427" s="207"/>
    </row>
    <row r="428" ht="15.75" customHeight="1">
      <c r="B428" s="181"/>
      <c r="E428" s="182"/>
      <c r="F428" s="183"/>
      <c r="G428" s="183"/>
      <c r="H428" s="182"/>
      <c r="I428" s="184"/>
      <c r="J428" s="185"/>
      <c r="K428" s="207"/>
    </row>
    <row r="429" ht="15.75" customHeight="1">
      <c r="B429" s="181"/>
      <c r="E429" s="182"/>
      <c r="F429" s="183"/>
      <c r="G429" s="183"/>
      <c r="H429" s="182"/>
      <c r="I429" s="184"/>
      <c r="J429" s="185"/>
      <c r="K429" s="207"/>
    </row>
    <row r="430" ht="15.75" customHeight="1">
      <c r="B430" s="181"/>
      <c r="E430" s="182"/>
      <c r="F430" s="183"/>
      <c r="G430" s="183"/>
      <c r="H430" s="182"/>
      <c r="I430" s="184"/>
      <c r="J430" s="185"/>
      <c r="K430" s="207"/>
    </row>
    <row r="431" ht="15.75" customHeight="1">
      <c r="B431" s="181"/>
      <c r="E431" s="182"/>
      <c r="F431" s="183"/>
      <c r="G431" s="183"/>
      <c r="H431" s="182"/>
      <c r="I431" s="184"/>
      <c r="J431" s="185"/>
      <c r="K431" s="207"/>
    </row>
    <row r="432" ht="15.75" customHeight="1">
      <c r="B432" s="181"/>
      <c r="E432" s="182"/>
      <c r="F432" s="183"/>
      <c r="G432" s="183"/>
      <c r="H432" s="182"/>
      <c r="I432" s="184"/>
      <c r="J432" s="185"/>
      <c r="K432" s="207"/>
    </row>
    <row r="433" ht="15.75" customHeight="1">
      <c r="B433" s="181"/>
      <c r="E433" s="182"/>
      <c r="F433" s="183"/>
      <c r="G433" s="183"/>
      <c r="H433" s="182"/>
      <c r="I433" s="184"/>
      <c r="J433" s="185"/>
      <c r="K433" s="207"/>
    </row>
    <row r="434" ht="15.75" customHeight="1">
      <c r="B434" s="181"/>
      <c r="E434" s="182"/>
      <c r="F434" s="183"/>
      <c r="G434" s="183"/>
      <c r="H434" s="182"/>
      <c r="I434" s="184"/>
      <c r="J434" s="185"/>
      <c r="K434" s="207"/>
    </row>
    <row r="435" ht="15.75" customHeight="1">
      <c r="B435" s="181"/>
      <c r="E435" s="182"/>
      <c r="F435" s="183"/>
      <c r="G435" s="183"/>
      <c r="H435" s="182"/>
      <c r="I435" s="184"/>
      <c r="J435" s="185"/>
      <c r="K435" s="207"/>
    </row>
    <row r="436" ht="15.75" customHeight="1">
      <c r="B436" s="181"/>
      <c r="E436" s="182"/>
      <c r="F436" s="183"/>
      <c r="G436" s="183"/>
      <c r="H436" s="182"/>
      <c r="I436" s="184"/>
      <c r="J436" s="185"/>
      <c r="K436" s="207"/>
    </row>
    <row r="437" ht="15.75" customHeight="1">
      <c r="B437" s="181"/>
      <c r="E437" s="182"/>
      <c r="F437" s="183"/>
      <c r="G437" s="183"/>
      <c r="H437" s="182"/>
      <c r="I437" s="184"/>
      <c r="J437" s="185"/>
      <c r="K437" s="207"/>
    </row>
    <row r="438" ht="15.75" customHeight="1">
      <c r="B438" s="181"/>
      <c r="E438" s="182"/>
      <c r="F438" s="183"/>
      <c r="G438" s="183"/>
      <c r="H438" s="182"/>
      <c r="I438" s="184"/>
      <c r="J438" s="185"/>
      <c r="K438" s="207"/>
    </row>
    <row r="439" ht="15.75" customHeight="1">
      <c r="B439" s="181"/>
      <c r="E439" s="182"/>
      <c r="F439" s="183"/>
      <c r="G439" s="183"/>
      <c r="H439" s="182"/>
      <c r="I439" s="184"/>
      <c r="J439" s="185"/>
      <c r="K439" s="207"/>
    </row>
    <row r="440" ht="15.75" customHeight="1">
      <c r="B440" s="181"/>
      <c r="E440" s="182"/>
      <c r="F440" s="183"/>
      <c r="G440" s="183"/>
      <c r="H440" s="182"/>
      <c r="I440" s="184"/>
      <c r="J440" s="185"/>
      <c r="K440" s="207"/>
    </row>
    <row r="441" ht="15.75" customHeight="1">
      <c r="B441" s="181"/>
      <c r="E441" s="182"/>
      <c r="F441" s="183"/>
      <c r="G441" s="183"/>
      <c r="H441" s="182"/>
      <c r="I441" s="184"/>
      <c r="J441" s="185"/>
      <c r="K441" s="207"/>
    </row>
    <row r="442" ht="15.75" customHeight="1">
      <c r="B442" s="181"/>
      <c r="E442" s="182"/>
      <c r="F442" s="183"/>
      <c r="G442" s="183"/>
      <c r="H442" s="182"/>
      <c r="I442" s="184"/>
      <c r="J442" s="185"/>
      <c r="K442" s="207"/>
    </row>
    <row r="443" ht="15.75" customHeight="1">
      <c r="B443" s="181"/>
      <c r="E443" s="182"/>
      <c r="F443" s="183"/>
      <c r="G443" s="183"/>
      <c r="H443" s="182"/>
      <c r="I443" s="184"/>
      <c r="J443" s="185"/>
      <c r="K443" s="207"/>
    </row>
    <row r="444" ht="15.75" customHeight="1">
      <c r="B444" s="181"/>
      <c r="E444" s="182"/>
      <c r="F444" s="183"/>
      <c r="G444" s="183"/>
      <c r="H444" s="182"/>
      <c r="I444" s="184"/>
      <c r="J444" s="185"/>
      <c r="K444" s="207"/>
    </row>
    <row r="445" ht="15.75" customHeight="1">
      <c r="B445" s="181"/>
      <c r="E445" s="182"/>
      <c r="F445" s="183"/>
      <c r="G445" s="183"/>
      <c r="H445" s="182"/>
      <c r="I445" s="184"/>
      <c r="J445" s="185"/>
      <c r="K445" s="207"/>
    </row>
    <row r="446" ht="15.75" customHeight="1">
      <c r="B446" s="181"/>
      <c r="E446" s="182"/>
      <c r="F446" s="183"/>
      <c r="G446" s="183"/>
      <c r="H446" s="182"/>
      <c r="I446" s="184"/>
      <c r="J446" s="185"/>
      <c r="K446" s="207"/>
    </row>
    <row r="447" ht="15.75" customHeight="1">
      <c r="B447" s="181"/>
      <c r="E447" s="182"/>
      <c r="F447" s="183"/>
      <c r="G447" s="183"/>
      <c r="H447" s="182"/>
      <c r="I447" s="184"/>
      <c r="J447" s="185"/>
      <c r="K447" s="207"/>
    </row>
    <row r="448" ht="15.75" customHeight="1">
      <c r="B448" s="181"/>
      <c r="E448" s="182"/>
      <c r="F448" s="183"/>
      <c r="G448" s="183"/>
      <c r="H448" s="182"/>
      <c r="I448" s="184"/>
      <c r="J448" s="185"/>
      <c r="K448" s="207"/>
    </row>
    <row r="449" ht="15.75" customHeight="1">
      <c r="B449" s="181"/>
      <c r="E449" s="182"/>
      <c r="F449" s="183"/>
      <c r="G449" s="183"/>
      <c r="H449" s="182"/>
      <c r="I449" s="184"/>
      <c r="J449" s="185"/>
      <c r="K449" s="207"/>
    </row>
    <row r="450" ht="15.75" customHeight="1">
      <c r="B450" s="181"/>
      <c r="E450" s="182"/>
      <c r="F450" s="183"/>
      <c r="G450" s="183"/>
      <c r="H450" s="182"/>
      <c r="I450" s="184"/>
      <c r="J450" s="185"/>
      <c r="K450" s="207"/>
    </row>
    <row r="451" ht="15.75" customHeight="1">
      <c r="B451" s="181"/>
      <c r="E451" s="182"/>
      <c r="F451" s="183"/>
      <c r="G451" s="183"/>
      <c r="H451" s="182"/>
      <c r="I451" s="184"/>
      <c r="J451" s="185"/>
      <c r="K451" s="207"/>
    </row>
    <row r="452" ht="15.75" customHeight="1">
      <c r="B452" s="181"/>
      <c r="E452" s="182"/>
      <c r="F452" s="183"/>
      <c r="G452" s="183"/>
      <c r="H452" s="182"/>
      <c r="I452" s="184"/>
      <c r="J452" s="185"/>
      <c r="K452" s="207"/>
    </row>
    <row r="453" ht="15.75" customHeight="1">
      <c r="B453" s="181"/>
      <c r="E453" s="182"/>
      <c r="F453" s="183"/>
      <c r="G453" s="183"/>
      <c r="H453" s="182"/>
      <c r="I453" s="184"/>
      <c r="J453" s="185"/>
      <c r="K453" s="207"/>
    </row>
    <row r="454" ht="15.75" customHeight="1">
      <c r="B454" s="181"/>
      <c r="E454" s="182"/>
      <c r="F454" s="183"/>
      <c r="G454" s="183"/>
      <c r="H454" s="182"/>
      <c r="I454" s="184"/>
      <c r="J454" s="185"/>
      <c r="K454" s="207"/>
    </row>
    <row r="455" ht="15.75" customHeight="1">
      <c r="B455" s="181"/>
      <c r="E455" s="182"/>
      <c r="F455" s="183"/>
      <c r="G455" s="183"/>
      <c r="H455" s="182"/>
      <c r="I455" s="184"/>
      <c r="J455" s="185"/>
      <c r="K455" s="207"/>
    </row>
    <row r="456" ht="15.75" customHeight="1">
      <c r="B456" s="181"/>
      <c r="E456" s="182"/>
      <c r="F456" s="183"/>
      <c r="G456" s="183"/>
      <c r="H456" s="182"/>
      <c r="I456" s="184"/>
      <c r="J456" s="185"/>
      <c r="K456" s="207"/>
    </row>
    <row r="457" ht="15.75" customHeight="1">
      <c r="B457" s="181"/>
      <c r="E457" s="182"/>
      <c r="F457" s="183"/>
      <c r="G457" s="183"/>
      <c r="H457" s="182"/>
      <c r="I457" s="184"/>
      <c r="J457" s="185"/>
      <c r="K457" s="207"/>
    </row>
    <row r="458" ht="15.75" customHeight="1">
      <c r="B458" s="181"/>
      <c r="E458" s="182"/>
      <c r="F458" s="183"/>
      <c r="G458" s="183"/>
      <c r="H458" s="182"/>
      <c r="I458" s="184"/>
      <c r="J458" s="185"/>
      <c r="K458" s="207"/>
    </row>
    <row r="459" ht="15.75" customHeight="1">
      <c r="B459" s="181"/>
      <c r="E459" s="182"/>
      <c r="F459" s="183"/>
      <c r="G459" s="183"/>
      <c r="H459" s="182"/>
      <c r="I459" s="184"/>
      <c r="J459" s="185"/>
      <c r="K459" s="207"/>
    </row>
    <row r="460" ht="15.75" customHeight="1">
      <c r="B460" s="181"/>
      <c r="E460" s="182"/>
      <c r="F460" s="183"/>
      <c r="G460" s="183"/>
      <c r="H460" s="182"/>
      <c r="I460" s="184"/>
      <c r="J460" s="185"/>
      <c r="K460" s="207"/>
    </row>
    <row r="461" ht="15.75" customHeight="1">
      <c r="B461" s="181"/>
      <c r="E461" s="182"/>
      <c r="F461" s="183"/>
      <c r="G461" s="183"/>
      <c r="H461" s="182"/>
      <c r="I461" s="184"/>
      <c r="J461" s="185"/>
      <c r="K461" s="207"/>
    </row>
    <row r="462" ht="15.75" customHeight="1">
      <c r="B462" s="181"/>
      <c r="E462" s="182"/>
      <c r="F462" s="183"/>
      <c r="G462" s="183"/>
      <c r="H462" s="182"/>
      <c r="I462" s="184"/>
      <c r="J462" s="185"/>
      <c r="K462" s="207"/>
    </row>
    <row r="463" ht="15.75" customHeight="1">
      <c r="B463" s="181"/>
      <c r="E463" s="182"/>
      <c r="F463" s="183"/>
      <c r="G463" s="183"/>
      <c r="H463" s="182"/>
      <c r="I463" s="184"/>
      <c r="J463" s="185"/>
      <c r="K463" s="207"/>
    </row>
    <row r="464" ht="15.75" customHeight="1">
      <c r="B464" s="181"/>
      <c r="E464" s="182"/>
      <c r="F464" s="183"/>
      <c r="G464" s="183"/>
      <c r="H464" s="182"/>
      <c r="I464" s="184"/>
      <c r="J464" s="185"/>
      <c r="K464" s="207"/>
    </row>
    <row r="465" ht="15.75" customHeight="1">
      <c r="B465" s="181"/>
      <c r="E465" s="182"/>
      <c r="F465" s="183"/>
      <c r="G465" s="183"/>
      <c r="H465" s="182"/>
      <c r="I465" s="184"/>
      <c r="J465" s="185"/>
      <c r="K465" s="207"/>
    </row>
    <row r="466" ht="15.75" customHeight="1">
      <c r="B466" s="181"/>
      <c r="E466" s="182"/>
      <c r="F466" s="183"/>
      <c r="G466" s="183"/>
      <c r="H466" s="182"/>
      <c r="I466" s="184"/>
      <c r="J466" s="185"/>
      <c r="K466" s="207"/>
    </row>
    <row r="467" ht="15.75" customHeight="1">
      <c r="B467" s="181"/>
      <c r="E467" s="182"/>
      <c r="F467" s="183"/>
      <c r="G467" s="183"/>
      <c r="H467" s="182"/>
      <c r="I467" s="184"/>
      <c r="J467" s="185"/>
      <c r="K467" s="207"/>
    </row>
    <row r="468" ht="15.75" customHeight="1">
      <c r="B468" s="181"/>
      <c r="E468" s="182"/>
      <c r="F468" s="183"/>
      <c r="G468" s="183"/>
      <c r="H468" s="182"/>
      <c r="I468" s="184"/>
      <c r="J468" s="185"/>
      <c r="K468" s="207"/>
    </row>
    <row r="469" ht="15.75" customHeight="1">
      <c r="B469" s="181"/>
      <c r="E469" s="182"/>
      <c r="F469" s="183"/>
      <c r="G469" s="183"/>
      <c r="H469" s="182"/>
      <c r="I469" s="184"/>
      <c r="J469" s="185"/>
      <c r="K469" s="207"/>
    </row>
    <row r="470" ht="15.75" customHeight="1">
      <c r="B470" s="181"/>
      <c r="E470" s="182"/>
      <c r="F470" s="183"/>
      <c r="G470" s="183"/>
      <c r="H470" s="182"/>
      <c r="I470" s="184"/>
      <c r="J470" s="185"/>
      <c r="K470" s="207"/>
    </row>
    <row r="471" ht="15.75" customHeight="1">
      <c r="B471" s="181"/>
      <c r="E471" s="182"/>
      <c r="F471" s="183"/>
      <c r="G471" s="183"/>
      <c r="H471" s="182"/>
      <c r="I471" s="184"/>
      <c r="J471" s="185"/>
      <c r="K471" s="207"/>
    </row>
    <row r="472" ht="15.75" customHeight="1">
      <c r="B472" s="181"/>
      <c r="E472" s="182"/>
      <c r="F472" s="183"/>
      <c r="G472" s="183"/>
      <c r="H472" s="182"/>
      <c r="I472" s="184"/>
      <c r="J472" s="185"/>
      <c r="K472" s="207"/>
    </row>
    <row r="473" ht="15.75" customHeight="1">
      <c r="B473" s="181"/>
      <c r="E473" s="182"/>
      <c r="F473" s="183"/>
      <c r="G473" s="183"/>
      <c r="H473" s="182"/>
      <c r="I473" s="184"/>
      <c r="J473" s="185"/>
      <c r="K473" s="207"/>
    </row>
    <row r="474" ht="15.75" customHeight="1">
      <c r="B474" s="181"/>
      <c r="E474" s="182"/>
      <c r="F474" s="183"/>
      <c r="G474" s="183"/>
      <c r="H474" s="182"/>
      <c r="I474" s="184"/>
      <c r="J474" s="185"/>
      <c r="K474" s="207"/>
    </row>
    <row r="475" ht="15.75" customHeight="1">
      <c r="B475" s="181"/>
      <c r="E475" s="182"/>
      <c r="F475" s="183"/>
      <c r="G475" s="183"/>
      <c r="H475" s="182"/>
      <c r="I475" s="184"/>
      <c r="J475" s="185"/>
      <c r="K475" s="207"/>
    </row>
    <row r="476" ht="15.75" customHeight="1">
      <c r="B476" s="181"/>
      <c r="E476" s="182"/>
      <c r="F476" s="183"/>
      <c r="G476" s="183"/>
      <c r="H476" s="182"/>
      <c r="I476" s="184"/>
      <c r="J476" s="185"/>
      <c r="K476" s="207"/>
    </row>
    <row r="477" ht="15.75" customHeight="1">
      <c r="B477" s="181"/>
      <c r="E477" s="182"/>
      <c r="F477" s="183"/>
      <c r="G477" s="183"/>
      <c r="H477" s="182"/>
      <c r="I477" s="184"/>
      <c r="J477" s="185"/>
      <c r="K477" s="207"/>
    </row>
    <row r="478" ht="15.75" customHeight="1">
      <c r="B478" s="181"/>
      <c r="E478" s="182"/>
      <c r="F478" s="183"/>
      <c r="G478" s="183"/>
      <c r="H478" s="182"/>
      <c r="I478" s="184"/>
      <c r="J478" s="185"/>
      <c r="K478" s="207"/>
    </row>
    <row r="479" ht="15.75" customHeight="1">
      <c r="B479" s="181"/>
      <c r="E479" s="182"/>
      <c r="F479" s="183"/>
      <c r="G479" s="183"/>
      <c r="H479" s="182"/>
      <c r="I479" s="184"/>
      <c r="J479" s="185"/>
      <c r="K479" s="207"/>
    </row>
    <row r="480" ht="15.75" customHeight="1">
      <c r="B480" s="181"/>
      <c r="E480" s="182"/>
      <c r="F480" s="183"/>
      <c r="G480" s="183"/>
      <c r="H480" s="182"/>
      <c r="I480" s="184"/>
      <c r="J480" s="185"/>
      <c r="K480" s="207"/>
    </row>
    <row r="481" ht="15.75" customHeight="1">
      <c r="B481" s="181"/>
      <c r="E481" s="182"/>
      <c r="F481" s="183"/>
      <c r="G481" s="183"/>
      <c r="H481" s="182"/>
      <c r="I481" s="184"/>
      <c r="J481" s="185"/>
      <c r="K481" s="207"/>
    </row>
    <row r="482" ht="15.75" customHeight="1">
      <c r="B482" s="181"/>
      <c r="E482" s="182"/>
      <c r="F482" s="183"/>
      <c r="G482" s="183"/>
      <c r="H482" s="182"/>
      <c r="I482" s="184"/>
      <c r="J482" s="185"/>
      <c r="K482" s="207"/>
    </row>
    <row r="483" ht="15.75" customHeight="1">
      <c r="B483" s="181"/>
      <c r="E483" s="182"/>
      <c r="F483" s="183"/>
      <c r="G483" s="183"/>
      <c r="H483" s="182"/>
      <c r="I483" s="184"/>
      <c r="J483" s="185"/>
      <c r="K483" s="207"/>
    </row>
    <row r="484" ht="15.75" customHeight="1">
      <c r="B484" s="181"/>
      <c r="E484" s="182"/>
      <c r="F484" s="183"/>
      <c r="G484" s="183"/>
      <c r="H484" s="182"/>
      <c r="I484" s="184"/>
      <c r="J484" s="185"/>
      <c r="K484" s="207"/>
    </row>
    <row r="485" ht="15.75" customHeight="1">
      <c r="B485" s="181"/>
      <c r="E485" s="182"/>
      <c r="F485" s="183"/>
      <c r="G485" s="183"/>
      <c r="H485" s="182"/>
      <c r="I485" s="184"/>
      <c r="J485" s="185"/>
      <c r="K485" s="207"/>
    </row>
    <row r="486" ht="15.75" customHeight="1">
      <c r="B486" s="181"/>
      <c r="E486" s="182"/>
      <c r="F486" s="183"/>
      <c r="G486" s="183"/>
      <c r="H486" s="182"/>
      <c r="I486" s="184"/>
      <c r="J486" s="185"/>
      <c r="K486" s="207"/>
    </row>
    <row r="487" ht="15.75" customHeight="1">
      <c r="B487" s="181"/>
      <c r="E487" s="182"/>
      <c r="F487" s="183"/>
      <c r="G487" s="183"/>
      <c r="H487" s="182"/>
      <c r="I487" s="184"/>
      <c r="J487" s="185"/>
      <c r="K487" s="207"/>
    </row>
    <row r="488" ht="15.75" customHeight="1">
      <c r="B488" s="181"/>
      <c r="E488" s="182"/>
      <c r="F488" s="183"/>
      <c r="G488" s="183"/>
      <c r="H488" s="182"/>
      <c r="I488" s="184"/>
      <c r="J488" s="185"/>
      <c r="K488" s="207"/>
    </row>
    <row r="489" ht="15.75" customHeight="1">
      <c r="B489" s="181"/>
      <c r="E489" s="182"/>
      <c r="F489" s="183"/>
      <c r="G489" s="183"/>
      <c r="H489" s="182"/>
      <c r="I489" s="184"/>
      <c r="J489" s="185"/>
      <c r="K489" s="207"/>
    </row>
    <row r="490" ht="15.75" customHeight="1">
      <c r="B490" s="181"/>
      <c r="E490" s="182"/>
      <c r="F490" s="183"/>
      <c r="G490" s="183"/>
      <c r="H490" s="182"/>
      <c r="I490" s="184"/>
      <c r="J490" s="185"/>
      <c r="K490" s="207"/>
    </row>
    <row r="491" ht="15.75" customHeight="1">
      <c r="B491" s="181"/>
      <c r="E491" s="182"/>
      <c r="F491" s="183"/>
      <c r="G491" s="183"/>
      <c r="H491" s="182"/>
      <c r="I491" s="184"/>
      <c r="J491" s="185"/>
      <c r="K491" s="207"/>
    </row>
    <row r="492" ht="15.75" customHeight="1">
      <c r="B492" s="181"/>
      <c r="E492" s="182"/>
      <c r="F492" s="183"/>
      <c r="G492" s="183"/>
      <c r="H492" s="182"/>
      <c r="I492" s="184"/>
      <c r="J492" s="185"/>
      <c r="K492" s="207"/>
    </row>
    <row r="493" ht="15.75" customHeight="1">
      <c r="B493" s="181"/>
      <c r="E493" s="182"/>
      <c r="F493" s="183"/>
      <c r="G493" s="183"/>
      <c r="H493" s="182"/>
      <c r="I493" s="184"/>
      <c r="J493" s="185"/>
      <c r="K493" s="207"/>
    </row>
    <row r="494" ht="15.75" customHeight="1">
      <c r="B494" s="181"/>
      <c r="E494" s="182"/>
      <c r="F494" s="183"/>
      <c r="G494" s="183"/>
      <c r="H494" s="182"/>
      <c r="I494" s="184"/>
      <c r="J494" s="185"/>
      <c r="K494" s="207"/>
    </row>
    <row r="495" ht="15.75" customHeight="1">
      <c r="B495" s="181"/>
      <c r="E495" s="182"/>
      <c r="F495" s="183"/>
      <c r="G495" s="183"/>
      <c r="H495" s="182"/>
      <c r="I495" s="184"/>
      <c r="J495" s="185"/>
      <c r="K495" s="207"/>
    </row>
    <row r="496" ht="15.75" customHeight="1">
      <c r="B496" s="181"/>
      <c r="E496" s="182"/>
      <c r="F496" s="183"/>
      <c r="G496" s="183"/>
      <c r="H496" s="182"/>
      <c r="I496" s="184"/>
      <c r="J496" s="185"/>
      <c r="K496" s="207"/>
    </row>
    <row r="497" ht="15.75" customHeight="1">
      <c r="B497" s="181"/>
      <c r="E497" s="182"/>
      <c r="F497" s="183"/>
      <c r="G497" s="183"/>
      <c r="H497" s="182"/>
      <c r="I497" s="184"/>
      <c r="J497" s="185"/>
      <c r="K497" s="207"/>
    </row>
    <row r="498" ht="15.75" customHeight="1">
      <c r="B498" s="181"/>
      <c r="E498" s="182"/>
      <c r="F498" s="183"/>
      <c r="G498" s="183"/>
      <c r="H498" s="182"/>
      <c r="I498" s="184"/>
      <c r="J498" s="185"/>
      <c r="K498" s="207"/>
    </row>
    <row r="499" ht="15.75" customHeight="1">
      <c r="B499" s="181"/>
      <c r="E499" s="182"/>
      <c r="F499" s="183"/>
      <c r="G499" s="183"/>
      <c r="H499" s="182"/>
      <c r="I499" s="184"/>
      <c r="J499" s="185"/>
      <c r="K499" s="207"/>
    </row>
    <row r="500" ht="15.75" customHeight="1">
      <c r="B500" s="181"/>
      <c r="E500" s="182"/>
      <c r="F500" s="183"/>
      <c r="G500" s="183"/>
      <c r="H500" s="182"/>
      <c r="I500" s="184"/>
      <c r="J500" s="185"/>
      <c r="K500" s="207"/>
    </row>
    <row r="501" ht="15.75" customHeight="1">
      <c r="B501" s="181"/>
      <c r="E501" s="182"/>
      <c r="F501" s="183"/>
      <c r="G501" s="183"/>
      <c r="H501" s="182"/>
      <c r="I501" s="184"/>
      <c r="J501" s="185"/>
      <c r="K501" s="207"/>
    </row>
    <row r="502" ht="15.75" customHeight="1">
      <c r="B502" s="181"/>
      <c r="E502" s="182"/>
      <c r="F502" s="183"/>
      <c r="G502" s="183"/>
      <c r="H502" s="182"/>
      <c r="I502" s="184"/>
      <c r="J502" s="185"/>
      <c r="K502" s="207"/>
    </row>
    <row r="503" ht="15.75" customHeight="1">
      <c r="B503" s="181"/>
      <c r="E503" s="182"/>
      <c r="F503" s="183"/>
      <c r="G503" s="183"/>
      <c r="H503" s="182"/>
      <c r="I503" s="184"/>
      <c r="J503" s="185"/>
      <c r="K503" s="207"/>
    </row>
    <row r="504" ht="15.75" customHeight="1">
      <c r="B504" s="181"/>
      <c r="E504" s="182"/>
      <c r="F504" s="183"/>
      <c r="G504" s="183"/>
      <c r="H504" s="182"/>
      <c r="I504" s="184"/>
      <c r="J504" s="185"/>
      <c r="K504" s="207"/>
    </row>
    <row r="505" ht="15.75" customHeight="1">
      <c r="B505" s="181"/>
      <c r="E505" s="182"/>
      <c r="F505" s="183"/>
      <c r="G505" s="183"/>
      <c r="H505" s="182"/>
      <c r="I505" s="184"/>
      <c r="J505" s="185"/>
      <c r="K505" s="207"/>
    </row>
    <row r="506" ht="15.75" customHeight="1">
      <c r="B506" s="181"/>
      <c r="E506" s="182"/>
      <c r="F506" s="183"/>
      <c r="G506" s="183"/>
      <c r="H506" s="182"/>
      <c r="I506" s="184"/>
      <c r="J506" s="185"/>
      <c r="K506" s="207"/>
    </row>
    <row r="507" ht="15.75" customHeight="1">
      <c r="B507" s="181"/>
      <c r="E507" s="182"/>
      <c r="F507" s="183"/>
      <c r="G507" s="183"/>
      <c r="H507" s="182"/>
      <c r="I507" s="184"/>
      <c r="J507" s="185"/>
      <c r="K507" s="207"/>
    </row>
    <row r="508" ht="15.75" customHeight="1">
      <c r="B508" s="181"/>
      <c r="E508" s="182"/>
      <c r="F508" s="183"/>
      <c r="G508" s="183"/>
      <c r="H508" s="182"/>
      <c r="I508" s="184"/>
      <c r="J508" s="185"/>
      <c r="K508" s="207"/>
    </row>
    <row r="509" ht="15.75" customHeight="1">
      <c r="B509" s="181"/>
      <c r="E509" s="182"/>
      <c r="F509" s="183"/>
      <c r="G509" s="183"/>
      <c r="H509" s="182"/>
      <c r="I509" s="184"/>
      <c r="J509" s="185"/>
      <c r="K509" s="207"/>
    </row>
    <row r="510" ht="15.75" customHeight="1">
      <c r="B510" s="181"/>
      <c r="E510" s="182"/>
      <c r="F510" s="183"/>
      <c r="G510" s="183"/>
      <c r="H510" s="182"/>
      <c r="I510" s="184"/>
      <c r="J510" s="185"/>
      <c r="K510" s="207"/>
    </row>
    <row r="511" ht="15.75" customHeight="1">
      <c r="B511" s="181"/>
      <c r="E511" s="182"/>
      <c r="F511" s="183"/>
      <c r="G511" s="183"/>
      <c r="H511" s="182"/>
      <c r="I511" s="184"/>
      <c r="J511" s="185"/>
      <c r="K511" s="207"/>
    </row>
    <row r="512" ht="15.75" customHeight="1">
      <c r="B512" s="181"/>
      <c r="E512" s="182"/>
      <c r="F512" s="183"/>
      <c r="G512" s="183"/>
      <c r="H512" s="182"/>
      <c r="I512" s="184"/>
      <c r="J512" s="185"/>
      <c r="K512" s="207"/>
    </row>
    <row r="513" ht="15.75" customHeight="1">
      <c r="B513" s="181"/>
      <c r="E513" s="182"/>
      <c r="F513" s="183"/>
      <c r="G513" s="183"/>
      <c r="H513" s="182"/>
      <c r="I513" s="184"/>
      <c r="J513" s="185"/>
      <c r="K513" s="207"/>
    </row>
    <row r="514" ht="15.75" customHeight="1">
      <c r="B514" s="181"/>
      <c r="E514" s="182"/>
      <c r="F514" s="183"/>
      <c r="G514" s="183"/>
      <c r="H514" s="182"/>
      <c r="I514" s="184"/>
      <c r="J514" s="185"/>
      <c r="K514" s="207"/>
    </row>
    <row r="515" ht="15.75" customHeight="1">
      <c r="B515" s="181"/>
      <c r="E515" s="182"/>
      <c r="F515" s="183"/>
      <c r="G515" s="183"/>
      <c r="H515" s="182"/>
      <c r="I515" s="184"/>
      <c r="J515" s="185"/>
      <c r="K515" s="207"/>
    </row>
    <row r="516" ht="15.75" customHeight="1">
      <c r="B516" s="181"/>
      <c r="E516" s="182"/>
      <c r="F516" s="183"/>
      <c r="G516" s="183"/>
      <c r="H516" s="182"/>
      <c r="I516" s="184"/>
      <c r="J516" s="185"/>
      <c r="K516" s="207"/>
    </row>
    <row r="517" ht="15.75" customHeight="1">
      <c r="B517" s="181"/>
      <c r="E517" s="182"/>
      <c r="F517" s="183"/>
      <c r="G517" s="183"/>
      <c r="H517" s="182"/>
      <c r="I517" s="184"/>
      <c r="J517" s="185"/>
      <c r="K517" s="207"/>
    </row>
    <row r="518" ht="15.75" customHeight="1">
      <c r="B518" s="181"/>
      <c r="E518" s="182"/>
      <c r="F518" s="183"/>
      <c r="G518" s="183"/>
      <c r="H518" s="182"/>
      <c r="I518" s="184"/>
      <c r="J518" s="185"/>
      <c r="K518" s="207"/>
    </row>
    <row r="519" ht="15.75" customHeight="1">
      <c r="B519" s="181"/>
      <c r="E519" s="182"/>
      <c r="F519" s="183"/>
      <c r="G519" s="183"/>
      <c r="H519" s="182"/>
      <c r="I519" s="184"/>
      <c r="J519" s="185"/>
      <c r="K519" s="207"/>
    </row>
    <row r="520" ht="15.75" customHeight="1">
      <c r="B520" s="181"/>
      <c r="E520" s="182"/>
      <c r="F520" s="183"/>
      <c r="G520" s="183"/>
      <c r="H520" s="182"/>
      <c r="I520" s="184"/>
      <c r="J520" s="185"/>
      <c r="K520" s="207"/>
    </row>
    <row r="521" ht="15.75" customHeight="1">
      <c r="B521" s="181"/>
      <c r="E521" s="182"/>
      <c r="F521" s="183"/>
      <c r="G521" s="183"/>
      <c r="H521" s="182"/>
      <c r="I521" s="184"/>
      <c r="J521" s="185"/>
      <c r="K521" s="207"/>
    </row>
    <row r="522" ht="15.75" customHeight="1">
      <c r="B522" s="181"/>
      <c r="E522" s="182"/>
      <c r="F522" s="183"/>
      <c r="G522" s="183"/>
      <c r="H522" s="182"/>
      <c r="I522" s="184"/>
      <c r="J522" s="185"/>
      <c r="K522" s="207"/>
    </row>
    <row r="523" ht="15.75" customHeight="1">
      <c r="B523" s="181"/>
      <c r="E523" s="182"/>
      <c r="F523" s="183"/>
      <c r="G523" s="183"/>
      <c r="H523" s="182"/>
      <c r="I523" s="184"/>
      <c r="J523" s="185"/>
      <c r="K523" s="207"/>
    </row>
    <row r="524" ht="15.75" customHeight="1">
      <c r="B524" s="181"/>
      <c r="E524" s="182"/>
      <c r="F524" s="183"/>
      <c r="G524" s="183"/>
      <c r="H524" s="182"/>
      <c r="I524" s="184"/>
      <c r="J524" s="185"/>
      <c r="K524" s="207"/>
    </row>
    <row r="525" ht="15.75" customHeight="1">
      <c r="B525" s="181"/>
      <c r="E525" s="182"/>
      <c r="F525" s="183"/>
      <c r="G525" s="183"/>
      <c r="H525" s="182"/>
      <c r="I525" s="184"/>
      <c r="J525" s="185"/>
      <c r="K525" s="207"/>
    </row>
    <row r="526" ht="15.75" customHeight="1">
      <c r="B526" s="181"/>
      <c r="E526" s="182"/>
      <c r="F526" s="183"/>
      <c r="G526" s="183"/>
      <c r="H526" s="182"/>
      <c r="I526" s="184"/>
      <c r="J526" s="185"/>
      <c r="K526" s="207"/>
    </row>
    <row r="527" ht="15.75" customHeight="1">
      <c r="B527" s="181"/>
      <c r="E527" s="182"/>
      <c r="F527" s="183"/>
      <c r="G527" s="183"/>
      <c r="H527" s="182"/>
      <c r="I527" s="184"/>
      <c r="J527" s="185"/>
      <c r="K527" s="207"/>
    </row>
    <row r="528" ht="15.75" customHeight="1">
      <c r="B528" s="181"/>
      <c r="E528" s="182"/>
      <c r="F528" s="183"/>
      <c r="G528" s="183"/>
      <c r="H528" s="182"/>
      <c r="I528" s="184"/>
      <c r="J528" s="185"/>
      <c r="K528" s="207"/>
    </row>
    <row r="529" ht="15.75" customHeight="1">
      <c r="B529" s="181"/>
      <c r="E529" s="182"/>
      <c r="F529" s="183"/>
      <c r="G529" s="183"/>
      <c r="H529" s="182"/>
      <c r="I529" s="184"/>
      <c r="J529" s="185"/>
      <c r="K529" s="207"/>
    </row>
    <row r="530" ht="15.75" customHeight="1">
      <c r="B530" s="181"/>
      <c r="E530" s="182"/>
      <c r="F530" s="183"/>
      <c r="G530" s="183"/>
      <c r="H530" s="182"/>
      <c r="I530" s="184"/>
      <c r="J530" s="185"/>
      <c r="K530" s="207"/>
    </row>
    <row r="531" ht="15.75" customHeight="1">
      <c r="B531" s="181"/>
      <c r="E531" s="182"/>
      <c r="F531" s="183"/>
      <c r="G531" s="183"/>
      <c r="H531" s="182"/>
      <c r="I531" s="184"/>
      <c r="J531" s="185"/>
      <c r="K531" s="207"/>
    </row>
    <row r="532" ht="15.75" customHeight="1">
      <c r="B532" s="181"/>
      <c r="E532" s="182"/>
      <c r="F532" s="183"/>
      <c r="G532" s="183"/>
      <c r="H532" s="182"/>
      <c r="I532" s="184"/>
      <c r="J532" s="185"/>
      <c r="K532" s="207"/>
    </row>
    <row r="533" ht="15.75" customHeight="1">
      <c r="B533" s="181"/>
      <c r="E533" s="182"/>
      <c r="F533" s="183"/>
      <c r="G533" s="183"/>
      <c r="H533" s="182"/>
      <c r="I533" s="184"/>
      <c r="J533" s="185"/>
      <c r="K533" s="207"/>
    </row>
    <row r="534" ht="15.75" customHeight="1">
      <c r="B534" s="181"/>
      <c r="E534" s="182"/>
      <c r="F534" s="183"/>
      <c r="G534" s="183"/>
      <c r="H534" s="182"/>
      <c r="I534" s="184"/>
      <c r="J534" s="185"/>
      <c r="K534" s="207"/>
    </row>
    <row r="535" ht="15.75" customHeight="1">
      <c r="B535" s="181"/>
      <c r="E535" s="182"/>
      <c r="F535" s="183"/>
      <c r="G535" s="183"/>
      <c r="H535" s="182"/>
      <c r="I535" s="184"/>
      <c r="J535" s="185"/>
      <c r="K535" s="207"/>
    </row>
    <row r="536" ht="15.75" customHeight="1">
      <c r="B536" s="181"/>
      <c r="E536" s="182"/>
      <c r="F536" s="183"/>
      <c r="G536" s="183"/>
      <c r="H536" s="182"/>
      <c r="I536" s="184"/>
      <c r="J536" s="185"/>
      <c r="K536" s="207"/>
    </row>
    <row r="537" ht="15.75" customHeight="1">
      <c r="B537" s="181"/>
      <c r="E537" s="182"/>
      <c r="F537" s="183"/>
      <c r="G537" s="183"/>
      <c r="H537" s="182"/>
      <c r="I537" s="184"/>
      <c r="J537" s="185"/>
      <c r="K537" s="207"/>
    </row>
    <row r="538" ht="15.75" customHeight="1">
      <c r="B538" s="181"/>
      <c r="E538" s="182"/>
      <c r="F538" s="183"/>
      <c r="G538" s="183"/>
      <c r="H538" s="182"/>
      <c r="I538" s="184"/>
      <c r="J538" s="185"/>
      <c r="K538" s="207"/>
    </row>
    <row r="539" ht="15.75" customHeight="1">
      <c r="B539" s="181"/>
      <c r="E539" s="182"/>
      <c r="F539" s="183"/>
      <c r="G539" s="183"/>
      <c r="H539" s="182"/>
      <c r="I539" s="184"/>
      <c r="J539" s="185"/>
      <c r="K539" s="207"/>
    </row>
    <row r="540" ht="15.75" customHeight="1">
      <c r="B540" s="181"/>
      <c r="E540" s="182"/>
      <c r="F540" s="183"/>
      <c r="G540" s="183"/>
      <c r="H540" s="182"/>
      <c r="I540" s="184"/>
      <c r="J540" s="185"/>
      <c r="K540" s="207"/>
    </row>
    <row r="541" ht="15.75" customHeight="1">
      <c r="B541" s="181"/>
      <c r="E541" s="182"/>
      <c r="F541" s="183"/>
      <c r="G541" s="183"/>
      <c r="H541" s="182"/>
      <c r="I541" s="184"/>
      <c r="J541" s="185"/>
      <c r="K541" s="207"/>
    </row>
    <row r="542" ht="15.75" customHeight="1">
      <c r="B542" s="181"/>
      <c r="E542" s="182"/>
      <c r="F542" s="183"/>
      <c r="G542" s="183"/>
      <c r="H542" s="182"/>
      <c r="I542" s="184"/>
      <c r="J542" s="185"/>
      <c r="K542" s="207"/>
    </row>
    <row r="543" ht="15.75" customHeight="1">
      <c r="B543" s="181"/>
      <c r="E543" s="182"/>
      <c r="F543" s="183"/>
      <c r="G543" s="183"/>
      <c r="H543" s="182"/>
      <c r="I543" s="184"/>
      <c r="J543" s="185"/>
      <c r="K543" s="207"/>
    </row>
    <row r="544" ht="15.75" customHeight="1">
      <c r="B544" s="181"/>
      <c r="E544" s="182"/>
      <c r="F544" s="183"/>
      <c r="G544" s="183"/>
      <c r="H544" s="182"/>
      <c r="I544" s="184"/>
      <c r="J544" s="185"/>
      <c r="K544" s="207"/>
    </row>
    <row r="545" ht="15.75" customHeight="1">
      <c r="B545" s="181"/>
      <c r="E545" s="182"/>
      <c r="F545" s="183"/>
      <c r="G545" s="183"/>
      <c r="H545" s="182"/>
      <c r="I545" s="184"/>
      <c r="J545" s="185"/>
      <c r="K545" s="207"/>
    </row>
    <row r="546" ht="15.75" customHeight="1">
      <c r="B546" s="181"/>
      <c r="E546" s="182"/>
      <c r="F546" s="183"/>
      <c r="G546" s="183"/>
      <c r="H546" s="182"/>
      <c r="I546" s="184"/>
      <c r="J546" s="185"/>
      <c r="K546" s="207"/>
    </row>
    <row r="547" ht="15.75" customHeight="1">
      <c r="B547" s="181"/>
      <c r="E547" s="182"/>
      <c r="F547" s="183"/>
      <c r="G547" s="183"/>
      <c r="H547" s="182"/>
      <c r="I547" s="184"/>
      <c r="J547" s="185"/>
      <c r="K547" s="207"/>
    </row>
    <row r="548" ht="15.75" customHeight="1">
      <c r="B548" s="181"/>
      <c r="E548" s="182"/>
      <c r="F548" s="183"/>
      <c r="G548" s="183"/>
      <c r="H548" s="182"/>
      <c r="I548" s="184"/>
      <c r="J548" s="185"/>
      <c r="K548" s="207"/>
    </row>
    <row r="549" ht="15.75" customHeight="1">
      <c r="B549" s="181"/>
      <c r="E549" s="182"/>
      <c r="F549" s="183"/>
      <c r="G549" s="183"/>
      <c r="H549" s="182"/>
      <c r="I549" s="184"/>
      <c r="J549" s="185"/>
      <c r="K549" s="207"/>
    </row>
    <row r="550" ht="15.75" customHeight="1">
      <c r="B550" s="181"/>
      <c r="E550" s="182"/>
      <c r="F550" s="183"/>
      <c r="G550" s="183"/>
      <c r="H550" s="182"/>
      <c r="I550" s="184"/>
      <c r="J550" s="185"/>
      <c r="K550" s="207"/>
    </row>
    <row r="551" ht="15.75" customHeight="1">
      <c r="B551" s="181"/>
      <c r="E551" s="182"/>
      <c r="F551" s="183"/>
      <c r="G551" s="183"/>
      <c r="H551" s="182"/>
      <c r="I551" s="184"/>
      <c r="J551" s="185"/>
      <c r="K551" s="207"/>
    </row>
    <row r="552" ht="15.75" customHeight="1">
      <c r="B552" s="181"/>
      <c r="E552" s="182"/>
      <c r="F552" s="183"/>
      <c r="G552" s="183"/>
      <c r="H552" s="182"/>
      <c r="I552" s="184"/>
      <c r="J552" s="185"/>
      <c r="K552" s="207"/>
    </row>
    <row r="553" ht="15.75" customHeight="1">
      <c r="B553" s="181"/>
      <c r="E553" s="182"/>
      <c r="F553" s="183"/>
      <c r="G553" s="183"/>
      <c r="H553" s="182"/>
      <c r="I553" s="184"/>
      <c r="J553" s="185"/>
      <c r="K553" s="207"/>
    </row>
    <row r="554" ht="15.75" customHeight="1">
      <c r="B554" s="181"/>
      <c r="E554" s="182"/>
      <c r="F554" s="183"/>
      <c r="G554" s="183"/>
      <c r="H554" s="182"/>
      <c r="I554" s="184"/>
      <c r="J554" s="185"/>
      <c r="K554" s="207"/>
    </row>
    <row r="555" ht="15.75" customHeight="1">
      <c r="B555" s="181"/>
      <c r="E555" s="182"/>
      <c r="F555" s="183"/>
      <c r="G555" s="183"/>
      <c r="H555" s="182"/>
      <c r="I555" s="184"/>
      <c r="J555" s="185"/>
      <c r="K555" s="207"/>
    </row>
    <row r="556" ht="15.75" customHeight="1">
      <c r="B556" s="181"/>
      <c r="E556" s="182"/>
      <c r="F556" s="183"/>
      <c r="G556" s="183"/>
      <c r="H556" s="182"/>
      <c r="I556" s="184"/>
      <c r="J556" s="185"/>
      <c r="K556" s="207"/>
    </row>
    <row r="557" ht="15.75" customHeight="1">
      <c r="B557" s="181"/>
      <c r="E557" s="182"/>
      <c r="F557" s="183"/>
      <c r="G557" s="183"/>
      <c r="H557" s="182"/>
      <c r="I557" s="184"/>
      <c r="J557" s="185"/>
      <c r="K557" s="207"/>
    </row>
    <row r="558" ht="15.75" customHeight="1">
      <c r="B558" s="181"/>
      <c r="E558" s="182"/>
      <c r="F558" s="183"/>
      <c r="G558" s="183"/>
      <c r="H558" s="182"/>
      <c r="I558" s="184"/>
      <c r="J558" s="185"/>
      <c r="K558" s="207"/>
    </row>
    <row r="559" ht="15.75" customHeight="1">
      <c r="B559" s="181"/>
      <c r="E559" s="182"/>
      <c r="F559" s="183"/>
      <c r="G559" s="183"/>
      <c r="H559" s="182"/>
      <c r="I559" s="184"/>
      <c r="J559" s="185"/>
      <c r="K559" s="207"/>
    </row>
    <row r="560" ht="15.75" customHeight="1">
      <c r="B560" s="181"/>
      <c r="E560" s="182"/>
      <c r="F560" s="183"/>
      <c r="G560" s="183"/>
      <c r="H560" s="182"/>
      <c r="I560" s="184"/>
      <c r="J560" s="185"/>
      <c r="K560" s="207"/>
    </row>
    <row r="561" ht="15.75" customHeight="1">
      <c r="B561" s="181"/>
      <c r="E561" s="182"/>
      <c r="F561" s="183"/>
      <c r="G561" s="183"/>
      <c r="H561" s="182"/>
      <c r="I561" s="184"/>
      <c r="J561" s="185"/>
      <c r="K561" s="207"/>
    </row>
    <row r="562" ht="15.75" customHeight="1">
      <c r="B562" s="181"/>
      <c r="E562" s="182"/>
      <c r="F562" s="183"/>
      <c r="G562" s="183"/>
      <c r="H562" s="182"/>
      <c r="I562" s="184"/>
      <c r="J562" s="185"/>
      <c r="K562" s="207"/>
    </row>
    <row r="563" ht="15.75" customHeight="1">
      <c r="B563" s="181"/>
      <c r="E563" s="182"/>
      <c r="F563" s="183"/>
      <c r="G563" s="183"/>
      <c r="H563" s="182"/>
      <c r="I563" s="184"/>
      <c r="J563" s="185"/>
      <c r="K563" s="207"/>
    </row>
    <row r="564" ht="15.75" customHeight="1">
      <c r="B564" s="181"/>
      <c r="E564" s="182"/>
      <c r="F564" s="183"/>
      <c r="G564" s="183"/>
      <c r="H564" s="182"/>
      <c r="I564" s="184"/>
      <c r="J564" s="185"/>
      <c r="K564" s="207"/>
    </row>
    <row r="565" ht="15.75" customHeight="1">
      <c r="B565" s="181"/>
      <c r="E565" s="182"/>
      <c r="F565" s="183"/>
      <c r="G565" s="183"/>
      <c r="H565" s="182"/>
      <c r="I565" s="184"/>
      <c r="J565" s="185"/>
      <c r="K565" s="207"/>
    </row>
    <row r="566" ht="15.75" customHeight="1">
      <c r="B566" s="181"/>
      <c r="E566" s="182"/>
      <c r="F566" s="183"/>
      <c r="G566" s="183"/>
      <c r="H566" s="182"/>
      <c r="I566" s="184"/>
      <c r="J566" s="185"/>
      <c r="K566" s="207"/>
    </row>
    <row r="567" ht="15.75" customHeight="1">
      <c r="B567" s="181"/>
      <c r="E567" s="182"/>
      <c r="F567" s="183"/>
      <c r="G567" s="183"/>
      <c r="H567" s="182"/>
      <c r="I567" s="184"/>
      <c r="J567" s="185"/>
      <c r="K567" s="207"/>
    </row>
    <row r="568" ht="15.75" customHeight="1">
      <c r="B568" s="181"/>
      <c r="E568" s="182"/>
      <c r="F568" s="183"/>
      <c r="G568" s="183"/>
      <c r="H568" s="182"/>
      <c r="I568" s="184"/>
      <c r="J568" s="185"/>
      <c r="K568" s="207"/>
    </row>
    <row r="569" ht="15.75" customHeight="1">
      <c r="B569" s="181"/>
      <c r="E569" s="182"/>
      <c r="F569" s="183"/>
      <c r="G569" s="183"/>
      <c r="H569" s="182"/>
      <c r="I569" s="184"/>
      <c r="J569" s="185"/>
      <c r="K569" s="207"/>
    </row>
    <row r="570" ht="15.75" customHeight="1">
      <c r="B570" s="181"/>
      <c r="E570" s="182"/>
      <c r="F570" s="183"/>
      <c r="G570" s="183"/>
      <c r="H570" s="182"/>
      <c r="I570" s="184"/>
      <c r="J570" s="185"/>
      <c r="K570" s="207"/>
    </row>
    <row r="571" ht="15.75" customHeight="1">
      <c r="B571" s="181"/>
      <c r="E571" s="182"/>
      <c r="F571" s="183"/>
      <c r="G571" s="183"/>
      <c r="H571" s="182"/>
      <c r="I571" s="184"/>
      <c r="J571" s="185"/>
      <c r="K571" s="207"/>
    </row>
    <row r="572" ht="15.75" customHeight="1">
      <c r="B572" s="181"/>
      <c r="E572" s="182"/>
      <c r="F572" s="183"/>
      <c r="G572" s="183"/>
      <c r="H572" s="182"/>
      <c r="I572" s="184"/>
      <c r="J572" s="185"/>
      <c r="K572" s="207"/>
    </row>
    <row r="573" ht="15.75" customHeight="1">
      <c r="B573" s="181"/>
      <c r="E573" s="182"/>
      <c r="F573" s="183"/>
      <c r="G573" s="183"/>
      <c r="H573" s="182"/>
      <c r="I573" s="184"/>
      <c r="J573" s="185"/>
      <c r="K573" s="207"/>
    </row>
    <row r="574" ht="15.75" customHeight="1">
      <c r="B574" s="181"/>
      <c r="E574" s="182"/>
      <c r="F574" s="183"/>
      <c r="G574" s="183"/>
      <c r="H574" s="182"/>
      <c r="I574" s="184"/>
      <c r="J574" s="185"/>
      <c r="K574" s="207"/>
    </row>
    <row r="575" ht="15.75" customHeight="1">
      <c r="B575" s="181"/>
      <c r="E575" s="182"/>
      <c r="F575" s="183"/>
      <c r="G575" s="183"/>
      <c r="H575" s="182"/>
      <c r="I575" s="184"/>
      <c r="J575" s="185"/>
      <c r="K575" s="207"/>
    </row>
    <row r="576" ht="15.75" customHeight="1">
      <c r="B576" s="181"/>
      <c r="E576" s="182"/>
      <c r="F576" s="183"/>
      <c r="G576" s="183"/>
      <c r="H576" s="182"/>
      <c r="I576" s="184"/>
      <c r="J576" s="185"/>
      <c r="K576" s="207"/>
    </row>
    <row r="577" ht="15.75" customHeight="1">
      <c r="B577" s="181"/>
      <c r="E577" s="182"/>
      <c r="F577" s="183"/>
      <c r="G577" s="183"/>
      <c r="H577" s="182"/>
      <c r="I577" s="184"/>
      <c r="J577" s="185"/>
      <c r="K577" s="207"/>
    </row>
    <row r="578" ht="15.75" customHeight="1">
      <c r="B578" s="181"/>
      <c r="E578" s="182"/>
      <c r="F578" s="183"/>
      <c r="G578" s="183"/>
      <c r="H578" s="182"/>
      <c r="I578" s="184"/>
      <c r="J578" s="185"/>
      <c r="K578" s="207"/>
    </row>
    <row r="579" ht="15.75" customHeight="1">
      <c r="B579" s="181"/>
      <c r="E579" s="182"/>
      <c r="F579" s="183"/>
      <c r="G579" s="183"/>
      <c r="H579" s="182"/>
      <c r="I579" s="184"/>
      <c r="J579" s="185"/>
      <c r="K579" s="207"/>
    </row>
    <row r="580" ht="15.75" customHeight="1">
      <c r="B580" s="181"/>
      <c r="E580" s="182"/>
      <c r="F580" s="183"/>
      <c r="G580" s="183"/>
      <c r="H580" s="182"/>
      <c r="I580" s="184"/>
      <c r="J580" s="185"/>
      <c r="K580" s="207"/>
    </row>
    <row r="581" ht="15.75" customHeight="1">
      <c r="B581" s="181"/>
      <c r="E581" s="182"/>
      <c r="F581" s="183"/>
      <c r="G581" s="183"/>
      <c r="H581" s="182"/>
      <c r="I581" s="184"/>
      <c r="J581" s="185"/>
      <c r="K581" s="207"/>
    </row>
    <row r="582" ht="15.75" customHeight="1">
      <c r="B582" s="181"/>
      <c r="E582" s="182"/>
      <c r="F582" s="183"/>
      <c r="G582" s="183"/>
      <c r="H582" s="182"/>
      <c r="I582" s="184"/>
      <c r="J582" s="185"/>
      <c r="K582" s="207"/>
    </row>
    <row r="583" ht="15.75" customHeight="1">
      <c r="B583" s="181"/>
      <c r="E583" s="182"/>
      <c r="F583" s="183"/>
      <c r="G583" s="183"/>
      <c r="H583" s="182"/>
      <c r="I583" s="184"/>
      <c r="J583" s="185"/>
      <c r="K583" s="207"/>
    </row>
    <row r="584" ht="15.75" customHeight="1">
      <c r="B584" s="181"/>
      <c r="E584" s="182"/>
      <c r="F584" s="183"/>
      <c r="G584" s="183"/>
      <c r="H584" s="182"/>
      <c r="I584" s="184"/>
      <c r="J584" s="185"/>
      <c r="K584" s="207"/>
    </row>
    <row r="585" ht="15.75" customHeight="1">
      <c r="B585" s="181"/>
      <c r="E585" s="182"/>
      <c r="F585" s="183"/>
      <c r="G585" s="183"/>
      <c r="H585" s="182"/>
      <c r="I585" s="184"/>
      <c r="J585" s="185"/>
      <c r="K585" s="207"/>
    </row>
    <row r="586" ht="15.75" customHeight="1">
      <c r="B586" s="181"/>
      <c r="E586" s="182"/>
      <c r="F586" s="183"/>
      <c r="G586" s="183"/>
      <c r="H586" s="182"/>
      <c r="I586" s="184"/>
      <c r="J586" s="185"/>
      <c r="K586" s="207"/>
    </row>
    <row r="587" ht="15.75" customHeight="1">
      <c r="B587" s="181"/>
      <c r="E587" s="182"/>
      <c r="F587" s="183"/>
      <c r="G587" s="183"/>
      <c r="H587" s="182"/>
      <c r="I587" s="184"/>
      <c r="J587" s="185"/>
      <c r="K587" s="207"/>
    </row>
    <row r="588" ht="15.75" customHeight="1">
      <c r="B588" s="181"/>
      <c r="E588" s="182"/>
      <c r="F588" s="183"/>
      <c r="G588" s="183"/>
      <c r="H588" s="182"/>
      <c r="I588" s="184"/>
      <c r="J588" s="185"/>
      <c r="K588" s="207"/>
    </row>
    <row r="589" ht="15.75" customHeight="1">
      <c r="B589" s="181"/>
      <c r="E589" s="182"/>
      <c r="F589" s="183"/>
      <c r="G589" s="183"/>
      <c r="H589" s="182"/>
      <c r="I589" s="184"/>
      <c r="J589" s="185"/>
      <c r="K589" s="207"/>
    </row>
    <row r="590" ht="15.75" customHeight="1">
      <c r="B590" s="181"/>
      <c r="E590" s="182"/>
      <c r="F590" s="183"/>
      <c r="G590" s="183"/>
      <c r="H590" s="182"/>
      <c r="I590" s="184"/>
      <c r="J590" s="185"/>
      <c r="K590" s="207"/>
    </row>
    <row r="591" ht="15.75" customHeight="1">
      <c r="B591" s="181"/>
      <c r="E591" s="182"/>
      <c r="F591" s="183"/>
      <c r="G591" s="183"/>
      <c r="H591" s="182"/>
      <c r="I591" s="184"/>
      <c r="J591" s="185"/>
      <c r="K591" s="207"/>
    </row>
    <row r="592" ht="15.75" customHeight="1">
      <c r="B592" s="181"/>
      <c r="E592" s="182"/>
      <c r="F592" s="183"/>
      <c r="G592" s="183"/>
      <c r="H592" s="182"/>
      <c r="I592" s="184"/>
      <c r="J592" s="185"/>
      <c r="K592" s="207"/>
    </row>
    <row r="593" ht="15.75" customHeight="1">
      <c r="B593" s="181"/>
      <c r="E593" s="182"/>
      <c r="F593" s="183"/>
      <c r="G593" s="183"/>
      <c r="H593" s="182"/>
      <c r="I593" s="184"/>
      <c r="J593" s="185"/>
      <c r="K593" s="207"/>
    </row>
    <row r="594" ht="15.75" customHeight="1">
      <c r="B594" s="181"/>
      <c r="E594" s="182"/>
      <c r="F594" s="183"/>
      <c r="G594" s="183"/>
      <c r="H594" s="182"/>
      <c r="I594" s="184"/>
      <c r="J594" s="185"/>
      <c r="K594" s="207"/>
    </row>
    <row r="595" ht="15.75" customHeight="1">
      <c r="B595" s="181"/>
      <c r="E595" s="182"/>
      <c r="F595" s="183"/>
      <c r="G595" s="183"/>
      <c r="H595" s="182"/>
      <c r="I595" s="184"/>
      <c r="J595" s="185"/>
      <c r="K595" s="207"/>
    </row>
    <row r="596" ht="15.75" customHeight="1">
      <c r="B596" s="181"/>
      <c r="E596" s="182"/>
      <c r="F596" s="183"/>
      <c r="G596" s="183"/>
      <c r="H596" s="182"/>
      <c r="I596" s="184"/>
      <c r="J596" s="185"/>
      <c r="K596" s="207"/>
    </row>
    <row r="597" ht="15.75" customHeight="1">
      <c r="B597" s="181"/>
      <c r="E597" s="182"/>
      <c r="F597" s="183"/>
      <c r="G597" s="183"/>
      <c r="H597" s="182"/>
      <c r="I597" s="184"/>
      <c r="J597" s="185"/>
      <c r="K597" s="207"/>
    </row>
    <row r="598" ht="15.75" customHeight="1">
      <c r="B598" s="181"/>
      <c r="E598" s="182"/>
      <c r="F598" s="183"/>
      <c r="G598" s="183"/>
      <c r="H598" s="182"/>
      <c r="I598" s="184"/>
      <c r="J598" s="185"/>
      <c r="K598" s="207"/>
    </row>
    <row r="599" ht="15.75" customHeight="1">
      <c r="B599" s="181"/>
      <c r="E599" s="182"/>
      <c r="F599" s="183"/>
      <c r="G599" s="183"/>
      <c r="H599" s="182"/>
      <c r="I599" s="184"/>
      <c r="J599" s="185"/>
      <c r="K599" s="207"/>
    </row>
    <row r="600" ht="15.75" customHeight="1">
      <c r="B600" s="181"/>
      <c r="E600" s="182"/>
      <c r="F600" s="183"/>
      <c r="G600" s="183"/>
      <c r="H600" s="182"/>
      <c r="I600" s="184"/>
      <c r="J600" s="185"/>
      <c r="K600" s="207"/>
    </row>
    <row r="601" ht="15.75" customHeight="1">
      <c r="B601" s="181"/>
      <c r="E601" s="182"/>
      <c r="F601" s="183"/>
      <c r="G601" s="183"/>
      <c r="H601" s="182"/>
      <c r="I601" s="184"/>
      <c r="J601" s="185"/>
      <c r="K601" s="207"/>
    </row>
    <row r="602" ht="15.75" customHeight="1">
      <c r="B602" s="181"/>
      <c r="E602" s="182"/>
      <c r="F602" s="183"/>
      <c r="G602" s="183"/>
      <c r="H602" s="182"/>
      <c r="I602" s="184"/>
      <c r="J602" s="185"/>
      <c r="K602" s="207"/>
    </row>
    <row r="603" ht="15.75" customHeight="1">
      <c r="B603" s="181"/>
      <c r="E603" s="182"/>
      <c r="F603" s="183"/>
      <c r="G603" s="183"/>
      <c r="H603" s="182"/>
      <c r="I603" s="184"/>
      <c r="J603" s="185"/>
      <c r="K603" s="207"/>
    </row>
    <row r="604" ht="15.75" customHeight="1">
      <c r="B604" s="181"/>
      <c r="E604" s="182"/>
      <c r="F604" s="183"/>
      <c r="G604" s="183"/>
      <c r="H604" s="182"/>
      <c r="I604" s="184"/>
      <c r="J604" s="185"/>
      <c r="K604" s="207"/>
    </row>
    <row r="605" ht="15.75" customHeight="1">
      <c r="B605" s="181"/>
      <c r="E605" s="182"/>
      <c r="F605" s="183"/>
      <c r="G605" s="183"/>
      <c r="H605" s="182"/>
      <c r="I605" s="184"/>
      <c r="J605" s="185"/>
      <c r="K605" s="207"/>
    </row>
    <row r="606" ht="15.75" customHeight="1">
      <c r="B606" s="181"/>
      <c r="E606" s="182"/>
      <c r="F606" s="183"/>
      <c r="G606" s="183"/>
      <c r="H606" s="182"/>
      <c r="I606" s="184"/>
      <c r="J606" s="185"/>
      <c r="K606" s="207"/>
    </row>
    <row r="607" ht="15.75" customHeight="1">
      <c r="B607" s="181"/>
      <c r="E607" s="182"/>
      <c r="F607" s="183"/>
      <c r="G607" s="183"/>
      <c r="H607" s="182"/>
      <c r="I607" s="184"/>
      <c r="J607" s="185"/>
      <c r="K607" s="207"/>
    </row>
    <row r="608" ht="15.75" customHeight="1">
      <c r="B608" s="181"/>
      <c r="E608" s="182"/>
      <c r="F608" s="183"/>
      <c r="G608" s="183"/>
      <c r="H608" s="182"/>
      <c r="I608" s="184"/>
      <c r="J608" s="185"/>
      <c r="K608" s="207"/>
    </row>
    <row r="609" ht="15.75" customHeight="1">
      <c r="B609" s="181"/>
      <c r="E609" s="182"/>
      <c r="F609" s="183"/>
      <c r="G609" s="183"/>
      <c r="H609" s="182"/>
      <c r="I609" s="184"/>
      <c r="J609" s="185"/>
      <c r="K609" s="207"/>
    </row>
    <row r="610" ht="15.75" customHeight="1">
      <c r="B610" s="181"/>
      <c r="E610" s="182"/>
      <c r="F610" s="183"/>
      <c r="G610" s="183"/>
      <c r="H610" s="182"/>
      <c r="I610" s="184"/>
      <c r="J610" s="185"/>
      <c r="K610" s="207"/>
    </row>
    <row r="611" ht="15.75" customHeight="1">
      <c r="B611" s="181"/>
      <c r="E611" s="182"/>
      <c r="F611" s="183"/>
      <c r="G611" s="183"/>
      <c r="H611" s="182"/>
      <c r="I611" s="184"/>
      <c r="J611" s="185"/>
      <c r="K611" s="207"/>
    </row>
    <row r="612" ht="15.75" customHeight="1">
      <c r="B612" s="181"/>
      <c r="E612" s="182"/>
      <c r="F612" s="183"/>
      <c r="G612" s="183"/>
      <c r="H612" s="182"/>
      <c r="I612" s="184"/>
      <c r="J612" s="185"/>
      <c r="K612" s="207"/>
    </row>
    <row r="613" ht="15.75" customHeight="1">
      <c r="B613" s="181"/>
      <c r="E613" s="182"/>
      <c r="F613" s="183"/>
      <c r="G613" s="183"/>
      <c r="H613" s="182"/>
      <c r="I613" s="184"/>
      <c r="J613" s="185"/>
      <c r="K613" s="207"/>
    </row>
    <row r="614" ht="15.75" customHeight="1">
      <c r="B614" s="181"/>
      <c r="E614" s="182"/>
      <c r="F614" s="183"/>
      <c r="G614" s="183"/>
      <c r="H614" s="182"/>
      <c r="I614" s="184"/>
      <c r="J614" s="185"/>
      <c r="K614" s="207"/>
    </row>
    <row r="615" ht="15.75" customHeight="1">
      <c r="B615" s="181"/>
      <c r="E615" s="182"/>
      <c r="F615" s="183"/>
      <c r="G615" s="183"/>
      <c r="H615" s="182"/>
      <c r="I615" s="184"/>
      <c r="J615" s="185"/>
      <c r="K615" s="207"/>
    </row>
    <row r="616" ht="15.75" customHeight="1">
      <c r="B616" s="181"/>
      <c r="E616" s="182"/>
      <c r="F616" s="183"/>
      <c r="G616" s="183"/>
      <c r="H616" s="182"/>
      <c r="I616" s="184"/>
      <c r="J616" s="185"/>
      <c r="K616" s="207"/>
    </row>
    <row r="617" ht="15.75" customHeight="1">
      <c r="B617" s="181"/>
      <c r="E617" s="182"/>
      <c r="F617" s="183"/>
      <c r="G617" s="183"/>
      <c r="H617" s="182"/>
      <c r="I617" s="184"/>
      <c r="J617" s="185"/>
      <c r="K617" s="207"/>
    </row>
    <row r="618" ht="15.75" customHeight="1">
      <c r="B618" s="181"/>
      <c r="E618" s="182"/>
      <c r="F618" s="183"/>
      <c r="G618" s="183"/>
      <c r="H618" s="182"/>
      <c r="I618" s="184"/>
      <c r="J618" s="185"/>
      <c r="K618" s="207"/>
    </row>
    <row r="619" ht="15.75" customHeight="1">
      <c r="B619" s="181"/>
      <c r="E619" s="182"/>
      <c r="F619" s="183"/>
      <c r="G619" s="183"/>
      <c r="H619" s="182"/>
      <c r="I619" s="184"/>
      <c r="J619" s="185"/>
      <c r="K619" s="207"/>
    </row>
    <row r="620" ht="15.75" customHeight="1">
      <c r="B620" s="181"/>
      <c r="E620" s="182"/>
      <c r="F620" s="183"/>
      <c r="G620" s="183"/>
      <c r="H620" s="182"/>
      <c r="I620" s="184"/>
      <c r="J620" s="185"/>
      <c r="K620" s="207"/>
    </row>
    <row r="621" ht="15.75" customHeight="1">
      <c r="B621" s="181"/>
      <c r="E621" s="182"/>
      <c r="F621" s="183"/>
      <c r="G621" s="183"/>
      <c r="H621" s="182"/>
      <c r="I621" s="184"/>
      <c r="J621" s="185"/>
      <c r="K621" s="207"/>
    </row>
    <row r="622" ht="15.75" customHeight="1">
      <c r="B622" s="181"/>
      <c r="E622" s="182"/>
      <c r="F622" s="183"/>
      <c r="G622" s="183"/>
      <c r="H622" s="182"/>
      <c r="I622" s="184"/>
      <c r="J622" s="185"/>
      <c r="K622" s="207"/>
    </row>
    <row r="623" ht="15.75" customHeight="1">
      <c r="B623" s="181"/>
      <c r="E623" s="182"/>
      <c r="F623" s="183"/>
      <c r="G623" s="183"/>
      <c r="H623" s="182"/>
      <c r="I623" s="184"/>
      <c r="J623" s="185"/>
      <c r="K623" s="207"/>
    </row>
    <row r="624" ht="15.75" customHeight="1">
      <c r="B624" s="181"/>
      <c r="E624" s="182"/>
      <c r="F624" s="183"/>
      <c r="G624" s="183"/>
      <c r="H624" s="182"/>
      <c r="I624" s="184"/>
      <c r="J624" s="185"/>
      <c r="K624" s="207"/>
    </row>
    <row r="625" ht="15.75" customHeight="1">
      <c r="B625" s="181"/>
      <c r="E625" s="182"/>
      <c r="F625" s="183"/>
      <c r="G625" s="183"/>
      <c r="H625" s="182"/>
      <c r="I625" s="184"/>
      <c r="J625" s="185"/>
      <c r="K625" s="207"/>
    </row>
    <row r="626" ht="15.75" customHeight="1">
      <c r="B626" s="181"/>
      <c r="E626" s="182"/>
      <c r="F626" s="183"/>
      <c r="G626" s="183"/>
      <c r="H626" s="182"/>
      <c r="I626" s="184"/>
      <c r="J626" s="185"/>
      <c r="K626" s="207"/>
    </row>
    <row r="627" ht="15.75" customHeight="1">
      <c r="B627" s="181"/>
      <c r="E627" s="182"/>
      <c r="F627" s="183"/>
      <c r="G627" s="183"/>
      <c r="H627" s="182"/>
      <c r="I627" s="184"/>
      <c r="J627" s="185"/>
      <c r="K627" s="207"/>
    </row>
    <row r="628" ht="15.75" customHeight="1">
      <c r="B628" s="181"/>
      <c r="E628" s="182"/>
      <c r="F628" s="183"/>
      <c r="G628" s="183"/>
      <c r="H628" s="182"/>
      <c r="I628" s="184"/>
      <c r="J628" s="185"/>
      <c r="K628" s="207"/>
    </row>
    <row r="629" ht="15.75" customHeight="1">
      <c r="B629" s="181"/>
      <c r="E629" s="182"/>
      <c r="F629" s="183"/>
      <c r="G629" s="183"/>
      <c r="H629" s="182"/>
      <c r="I629" s="184"/>
      <c r="J629" s="185"/>
      <c r="K629" s="207"/>
    </row>
    <row r="630" ht="15.75" customHeight="1">
      <c r="B630" s="181"/>
      <c r="E630" s="182"/>
      <c r="F630" s="183"/>
      <c r="G630" s="183"/>
      <c r="H630" s="182"/>
      <c r="I630" s="184"/>
      <c r="J630" s="185"/>
      <c r="K630" s="207"/>
    </row>
    <row r="631" ht="15.75" customHeight="1">
      <c r="B631" s="181"/>
      <c r="E631" s="182"/>
      <c r="F631" s="183"/>
      <c r="G631" s="183"/>
      <c r="H631" s="182"/>
      <c r="I631" s="184"/>
      <c r="J631" s="185"/>
      <c r="K631" s="207"/>
    </row>
    <row r="632" ht="15.75" customHeight="1">
      <c r="B632" s="181"/>
      <c r="E632" s="182"/>
      <c r="F632" s="183"/>
      <c r="G632" s="183"/>
      <c r="H632" s="182"/>
      <c r="I632" s="184"/>
      <c r="J632" s="185"/>
      <c r="K632" s="207"/>
    </row>
    <row r="633" ht="15.75" customHeight="1">
      <c r="B633" s="181"/>
      <c r="E633" s="182"/>
      <c r="F633" s="183"/>
      <c r="G633" s="183"/>
      <c r="H633" s="182"/>
      <c r="I633" s="184"/>
      <c r="J633" s="185"/>
      <c r="K633" s="207"/>
    </row>
    <row r="634" ht="15.75" customHeight="1">
      <c r="B634" s="181"/>
      <c r="E634" s="182"/>
      <c r="F634" s="183"/>
      <c r="G634" s="183"/>
      <c r="H634" s="182"/>
      <c r="I634" s="184"/>
      <c r="J634" s="185"/>
      <c r="K634" s="207"/>
    </row>
    <row r="635" ht="15.75" customHeight="1">
      <c r="B635" s="181"/>
      <c r="E635" s="182"/>
      <c r="F635" s="183"/>
      <c r="G635" s="183"/>
      <c r="H635" s="182"/>
      <c r="I635" s="184"/>
      <c r="J635" s="185"/>
      <c r="K635" s="207"/>
    </row>
    <row r="636" ht="15.75" customHeight="1">
      <c r="B636" s="181"/>
      <c r="E636" s="182"/>
      <c r="F636" s="183"/>
      <c r="G636" s="183"/>
      <c r="H636" s="182"/>
      <c r="I636" s="184"/>
      <c r="J636" s="185"/>
      <c r="K636" s="207"/>
    </row>
    <row r="637" ht="15.75" customHeight="1">
      <c r="B637" s="181"/>
      <c r="E637" s="182"/>
      <c r="F637" s="183"/>
      <c r="G637" s="183"/>
      <c r="H637" s="182"/>
      <c r="I637" s="184"/>
      <c r="J637" s="185"/>
      <c r="K637" s="207"/>
    </row>
    <row r="638" ht="15.75" customHeight="1">
      <c r="B638" s="181"/>
      <c r="E638" s="182"/>
      <c r="F638" s="183"/>
      <c r="G638" s="183"/>
      <c r="H638" s="182"/>
      <c r="I638" s="184"/>
      <c r="J638" s="185"/>
      <c r="K638" s="207"/>
    </row>
    <row r="639" ht="15.75" customHeight="1">
      <c r="B639" s="181"/>
      <c r="E639" s="182"/>
      <c r="F639" s="183"/>
      <c r="G639" s="183"/>
      <c r="H639" s="182"/>
      <c r="I639" s="184"/>
      <c r="J639" s="185"/>
      <c r="K639" s="207"/>
    </row>
    <row r="640" ht="15.75" customHeight="1">
      <c r="B640" s="181"/>
      <c r="E640" s="182"/>
      <c r="F640" s="183"/>
      <c r="G640" s="183"/>
      <c r="H640" s="182"/>
      <c r="I640" s="184"/>
      <c r="J640" s="185"/>
      <c r="K640" s="207"/>
    </row>
    <row r="641" ht="15.75" customHeight="1">
      <c r="B641" s="181"/>
      <c r="E641" s="182"/>
      <c r="F641" s="183"/>
      <c r="G641" s="183"/>
      <c r="H641" s="182"/>
      <c r="I641" s="184"/>
      <c r="J641" s="185"/>
      <c r="K641" s="207"/>
    </row>
    <row r="642" ht="15.75" customHeight="1">
      <c r="B642" s="181"/>
      <c r="E642" s="182"/>
      <c r="F642" s="183"/>
      <c r="G642" s="183"/>
      <c r="H642" s="182"/>
      <c r="I642" s="184"/>
      <c r="J642" s="185"/>
      <c r="K642" s="207"/>
    </row>
    <row r="643" ht="15.75" customHeight="1">
      <c r="B643" s="181"/>
      <c r="E643" s="182"/>
      <c r="F643" s="183"/>
      <c r="G643" s="183"/>
      <c r="H643" s="182"/>
      <c r="I643" s="184"/>
      <c r="J643" s="185"/>
      <c r="K643" s="207"/>
    </row>
    <row r="644" ht="15.75" customHeight="1">
      <c r="B644" s="181"/>
      <c r="E644" s="182"/>
      <c r="F644" s="183"/>
      <c r="G644" s="183"/>
      <c r="H644" s="182"/>
      <c r="I644" s="184"/>
      <c r="J644" s="185"/>
      <c r="K644" s="207"/>
    </row>
    <row r="645" ht="15.75" customHeight="1">
      <c r="B645" s="181"/>
      <c r="E645" s="182"/>
      <c r="F645" s="183"/>
      <c r="G645" s="183"/>
      <c r="H645" s="182"/>
      <c r="I645" s="184"/>
      <c r="J645" s="185"/>
      <c r="K645" s="207"/>
    </row>
    <row r="646" ht="15.75" customHeight="1">
      <c r="B646" s="181"/>
      <c r="E646" s="182"/>
      <c r="F646" s="183"/>
      <c r="G646" s="183"/>
      <c r="H646" s="182"/>
      <c r="I646" s="184"/>
      <c r="J646" s="185"/>
      <c r="K646" s="207"/>
    </row>
    <row r="647" ht="15.75" customHeight="1">
      <c r="B647" s="181"/>
      <c r="E647" s="182"/>
      <c r="F647" s="183"/>
      <c r="G647" s="183"/>
      <c r="H647" s="182"/>
      <c r="I647" s="184"/>
      <c r="J647" s="185"/>
      <c r="K647" s="207"/>
    </row>
    <row r="648" ht="15.75" customHeight="1">
      <c r="B648" s="181"/>
      <c r="E648" s="182"/>
      <c r="F648" s="183"/>
      <c r="G648" s="183"/>
      <c r="H648" s="182"/>
      <c r="I648" s="184"/>
      <c r="J648" s="185"/>
      <c r="K648" s="207"/>
    </row>
    <row r="649" ht="15.75" customHeight="1">
      <c r="B649" s="181"/>
      <c r="E649" s="182"/>
      <c r="F649" s="183"/>
      <c r="G649" s="183"/>
      <c r="H649" s="182"/>
      <c r="I649" s="184"/>
      <c r="J649" s="185"/>
      <c r="K649" s="207"/>
    </row>
    <row r="650" ht="15.75" customHeight="1">
      <c r="B650" s="181"/>
      <c r="E650" s="182"/>
      <c r="F650" s="183"/>
      <c r="G650" s="183"/>
      <c r="H650" s="182"/>
      <c r="I650" s="184"/>
      <c r="J650" s="185"/>
      <c r="K650" s="207"/>
    </row>
    <row r="651" ht="15.75" customHeight="1">
      <c r="B651" s="181"/>
      <c r="E651" s="182"/>
      <c r="F651" s="183"/>
      <c r="G651" s="183"/>
      <c r="H651" s="182"/>
      <c r="I651" s="184"/>
      <c r="J651" s="185"/>
      <c r="K651" s="207"/>
    </row>
    <row r="652" ht="15.75" customHeight="1">
      <c r="B652" s="181"/>
      <c r="E652" s="182"/>
      <c r="F652" s="183"/>
      <c r="G652" s="183"/>
      <c r="H652" s="182"/>
      <c r="I652" s="184"/>
      <c r="J652" s="185"/>
      <c r="K652" s="207"/>
    </row>
    <row r="653" ht="15.75" customHeight="1">
      <c r="B653" s="181"/>
      <c r="E653" s="182"/>
      <c r="F653" s="183"/>
      <c r="G653" s="183"/>
      <c r="H653" s="182"/>
      <c r="I653" s="184"/>
      <c r="J653" s="185"/>
      <c r="K653" s="207"/>
    </row>
    <row r="654" ht="15.75" customHeight="1">
      <c r="B654" s="181"/>
      <c r="E654" s="182"/>
      <c r="F654" s="183"/>
      <c r="G654" s="183"/>
      <c r="H654" s="182"/>
      <c r="I654" s="184"/>
      <c r="J654" s="185"/>
      <c r="K654" s="207"/>
    </row>
    <row r="655" ht="15.75" customHeight="1">
      <c r="B655" s="181"/>
      <c r="E655" s="182"/>
      <c r="F655" s="183"/>
      <c r="G655" s="183"/>
      <c r="H655" s="182"/>
      <c r="I655" s="184"/>
      <c r="J655" s="185"/>
      <c r="K655" s="207"/>
    </row>
    <row r="656" ht="15.75" customHeight="1">
      <c r="B656" s="181"/>
      <c r="E656" s="182"/>
      <c r="F656" s="183"/>
      <c r="G656" s="183"/>
      <c r="H656" s="182"/>
      <c r="I656" s="184"/>
      <c r="J656" s="185"/>
      <c r="K656" s="207"/>
    </row>
    <row r="657" ht="15.75" customHeight="1">
      <c r="B657" s="181"/>
      <c r="E657" s="182"/>
      <c r="F657" s="183"/>
      <c r="G657" s="183"/>
      <c r="H657" s="182"/>
      <c r="I657" s="184"/>
      <c r="J657" s="185"/>
      <c r="K657" s="207"/>
    </row>
    <row r="658" ht="15.75" customHeight="1">
      <c r="B658" s="181"/>
      <c r="E658" s="182"/>
      <c r="F658" s="183"/>
      <c r="G658" s="183"/>
      <c r="H658" s="182"/>
      <c r="I658" s="184"/>
      <c r="J658" s="185"/>
      <c r="K658" s="207"/>
    </row>
    <row r="659" ht="15.75" customHeight="1">
      <c r="B659" s="181"/>
      <c r="E659" s="182"/>
      <c r="F659" s="183"/>
      <c r="G659" s="183"/>
      <c r="H659" s="182"/>
      <c r="I659" s="184"/>
      <c r="J659" s="185"/>
      <c r="K659" s="207"/>
    </row>
    <row r="660" ht="15.75" customHeight="1">
      <c r="B660" s="181"/>
      <c r="E660" s="182"/>
      <c r="F660" s="183"/>
      <c r="G660" s="183"/>
      <c r="H660" s="182"/>
      <c r="I660" s="184"/>
      <c r="J660" s="185"/>
      <c r="K660" s="207"/>
    </row>
    <row r="661" ht="15.75" customHeight="1">
      <c r="B661" s="181"/>
      <c r="E661" s="182"/>
      <c r="F661" s="183"/>
      <c r="G661" s="183"/>
      <c r="H661" s="182"/>
      <c r="I661" s="184"/>
      <c r="J661" s="185"/>
      <c r="K661" s="207"/>
    </row>
    <row r="662" ht="15.75" customHeight="1">
      <c r="B662" s="181"/>
      <c r="E662" s="182"/>
      <c r="F662" s="183"/>
      <c r="G662" s="183"/>
      <c r="H662" s="182"/>
      <c r="I662" s="184"/>
      <c r="J662" s="185"/>
      <c r="K662" s="207"/>
    </row>
    <row r="663" ht="15.75" customHeight="1">
      <c r="B663" s="181"/>
      <c r="E663" s="182"/>
      <c r="F663" s="183"/>
      <c r="G663" s="183"/>
      <c r="H663" s="182"/>
      <c r="I663" s="184"/>
      <c r="J663" s="185"/>
      <c r="K663" s="207"/>
    </row>
    <row r="664" ht="15.75" customHeight="1">
      <c r="B664" s="181"/>
      <c r="E664" s="182"/>
      <c r="F664" s="183"/>
      <c r="G664" s="183"/>
      <c r="H664" s="182"/>
      <c r="I664" s="184"/>
      <c r="J664" s="185"/>
      <c r="K664" s="207"/>
    </row>
    <row r="665" ht="15.75" customHeight="1">
      <c r="B665" s="181"/>
      <c r="E665" s="182"/>
      <c r="F665" s="183"/>
      <c r="G665" s="183"/>
      <c r="H665" s="182"/>
      <c r="I665" s="184"/>
      <c r="J665" s="185"/>
      <c r="K665" s="207"/>
    </row>
    <row r="666" ht="15.75" customHeight="1">
      <c r="B666" s="181"/>
      <c r="E666" s="182"/>
      <c r="F666" s="183"/>
      <c r="G666" s="183"/>
      <c r="H666" s="182"/>
      <c r="I666" s="184"/>
      <c r="J666" s="185"/>
      <c r="K666" s="207"/>
    </row>
    <row r="667" ht="15.75" customHeight="1">
      <c r="B667" s="181"/>
      <c r="E667" s="182"/>
      <c r="F667" s="183"/>
      <c r="G667" s="183"/>
      <c r="H667" s="182"/>
      <c r="I667" s="184"/>
      <c r="J667" s="185"/>
      <c r="K667" s="207"/>
    </row>
    <row r="668" ht="15.75" customHeight="1">
      <c r="B668" s="181"/>
      <c r="E668" s="182"/>
      <c r="F668" s="183"/>
      <c r="G668" s="183"/>
      <c r="H668" s="182"/>
      <c r="I668" s="184"/>
      <c r="J668" s="185"/>
      <c r="K668" s="207"/>
    </row>
    <row r="669" ht="15.75" customHeight="1">
      <c r="B669" s="181"/>
      <c r="E669" s="182"/>
      <c r="F669" s="183"/>
      <c r="G669" s="183"/>
      <c r="H669" s="182"/>
      <c r="I669" s="184"/>
      <c r="J669" s="185"/>
      <c r="K669" s="207"/>
    </row>
    <row r="670" ht="15.75" customHeight="1">
      <c r="B670" s="181"/>
      <c r="E670" s="182"/>
      <c r="F670" s="183"/>
      <c r="G670" s="183"/>
      <c r="H670" s="182"/>
      <c r="I670" s="184"/>
      <c r="J670" s="185"/>
      <c r="K670" s="207"/>
    </row>
    <row r="671" ht="15.75" customHeight="1">
      <c r="B671" s="181"/>
      <c r="E671" s="182"/>
      <c r="F671" s="183"/>
      <c r="G671" s="183"/>
      <c r="H671" s="182"/>
      <c r="I671" s="184"/>
      <c r="J671" s="185"/>
      <c r="K671" s="207"/>
    </row>
    <row r="672" ht="15.75" customHeight="1">
      <c r="B672" s="181"/>
      <c r="E672" s="182"/>
      <c r="F672" s="183"/>
      <c r="G672" s="183"/>
      <c r="H672" s="182"/>
      <c r="I672" s="184"/>
      <c r="J672" s="185"/>
      <c r="K672" s="207"/>
    </row>
    <row r="673" ht="15.75" customHeight="1">
      <c r="B673" s="181"/>
      <c r="E673" s="182"/>
      <c r="F673" s="183"/>
      <c r="G673" s="183"/>
      <c r="H673" s="182"/>
      <c r="I673" s="184"/>
      <c r="J673" s="185"/>
      <c r="K673" s="207"/>
    </row>
    <row r="674" ht="15.75" customHeight="1">
      <c r="B674" s="181"/>
      <c r="E674" s="182"/>
      <c r="F674" s="183"/>
      <c r="G674" s="183"/>
      <c r="H674" s="182"/>
      <c r="I674" s="184"/>
      <c r="J674" s="185"/>
      <c r="K674" s="207"/>
    </row>
    <row r="675" ht="15.75" customHeight="1">
      <c r="B675" s="181"/>
      <c r="E675" s="182"/>
      <c r="F675" s="183"/>
      <c r="G675" s="183"/>
      <c r="H675" s="182"/>
      <c r="I675" s="184"/>
      <c r="J675" s="185"/>
      <c r="K675" s="207"/>
    </row>
    <row r="676" ht="15.75" customHeight="1">
      <c r="B676" s="181"/>
      <c r="E676" s="182"/>
      <c r="F676" s="183"/>
      <c r="G676" s="183"/>
      <c r="H676" s="182"/>
      <c r="I676" s="184"/>
      <c r="J676" s="185"/>
      <c r="K676" s="207"/>
    </row>
    <row r="677" ht="15.75" customHeight="1">
      <c r="B677" s="181"/>
      <c r="E677" s="182"/>
      <c r="F677" s="183"/>
      <c r="G677" s="183"/>
      <c r="H677" s="182"/>
      <c r="I677" s="184"/>
      <c r="J677" s="185"/>
      <c r="K677" s="207"/>
    </row>
    <row r="678" ht="15.75" customHeight="1">
      <c r="B678" s="181"/>
      <c r="E678" s="182"/>
      <c r="F678" s="183"/>
      <c r="G678" s="183"/>
      <c r="H678" s="182"/>
      <c r="I678" s="184"/>
      <c r="J678" s="185"/>
      <c r="K678" s="207"/>
    </row>
    <row r="679" ht="15.75" customHeight="1">
      <c r="B679" s="181"/>
      <c r="E679" s="182"/>
      <c r="F679" s="183"/>
      <c r="G679" s="183"/>
      <c r="H679" s="182"/>
      <c r="I679" s="184"/>
      <c r="J679" s="185"/>
      <c r="K679" s="207"/>
    </row>
    <row r="680" ht="15.75" customHeight="1">
      <c r="B680" s="181"/>
      <c r="E680" s="182"/>
      <c r="F680" s="183"/>
      <c r="G680" s="183"/>
      <c r="H680" s="182"/>
      <c r="I680" s="184"/>
      <c r="J680" s="185"/>
      <c r="K680" s="207"/>
    </row>
    <row r="681" ht="15.75" customHeight="1">
      <c r="B681" s="181"/>
      <c r="E681" s="182"/>
      <c r="F681" s="183"/>
      <c r="G681" s="183"/>
      <c r="H681" s="182"/>
      <c r="I681" s="184"/>
      <c r="J681" s="185"/>
      <c r="K681" s="207"/>
    </row>
    <row r="682" ht="15.75" customHeight="1">
      <c r="B682" s="181"/>
      <c r="E682" s="182"/>
      <c r="F682" s="183"/>
      <c r="G682" s="183"/>
      <c r="H682" s="182"/>
      <c r="I682" s="184"/>
      <c r="J682" s="185"/>
      <c r="K682" s="207"/>
    </row>
    <row r="683" ht="15.75" customHeight="1">
      <c r="B683" s="181"/>
      <c r="E683" s="182"/>
      <c r="F683" s="183"/>
      <c r="G683" s="183"/>
      <c r="H683" s="182"/>
      <c r="I683" s="184"/>
      <c r="J683" s="185"/>
      <c r="K683" s="207"/>
    </row>
    <row r="684" ht="15.75" customHeight="1">
      <c r="B684" s="181"/>
      <c r="E684" s="182"/>
      <c r="F684" s="183"/>
      <c r="G684" s="183"/>
      <c r="H684" s="182"/>
      <c r="I684" s="184"/>
      <c r="J684" s="185"/>
      <c r="K684" s="207"/>
    </row>
    <row r="685" ht="15.75" customHeight="1">
      <c r="B685" s="181"/>
      <c r="E685" s="182"/>
      <c r="F685" s="183"/>
      <c r="G685" s="183"/>
      <c r="H685" s="182"/>
      <c r="I685" s="184"/>
      <c r="J685" s="185"/>
      <c r="K685" s="207"/>
    </row>
    <row r="686" ht="15.75" customHeight="1">
      <c r="B686" s="181"/>
      <c r="E686" s="182"/>
      <c r="F686" s="183"/>
      <c r="G686" s="183"/>
      <c r="H686" s="182"/>
      <c r="I686" s="184"/>
      <c r="J686" s="185"/>
      <c r="K686" s="207"/>
    </row>
    <row r="687" ht="15.75" customHeight="1">
      <c r="B687" s="181"/>
      <c r="E687" s="182"/>
      <c r="F687" s="183"/>
      <c r="G687" s="183"/>
      <c r="H687" s="182"/>
      <c r="I687" s="184"/>
      <c r="J687" s="185"/>
      <c r="K687" s="207"/>
    </row>
    <row r="688" ht="15.75" customHeight="1">
      <c r="B688" s="181"/>
      <c r="E688" s="182"/>
      <c r="F688" s="183"/>
      <c r="G688" s="183"/>
      <c r="H688" s="182"/>
      <c r="I688" s="184"/>
      <c r="J688" s="185"/>
      <c r="K688" s="207"/>
    </row>
    <row r="689" ht="15.75" customHeight="1">
      <c r="B689" s="181"/>
      <c r="E689" s="182"/>
      <c r="F689" s="183"/>
      <c r="G689" s="183"/>
      <c r="H689" s="182"/>
      <c r="I689" s="184"/>
      <c r="J689" s="185"/>
      <c r="K689" s="207"/>
    </row>
    <row r="690" ht="15.75" customHeight="1">
      <c r="B690" s="181"/>
      <c r="E690" s="182"/>
      <c r="F690" s="183"/>
      <c r="G690" s="183"/>
      <c r="H690" s="182"/>
      <c r="I690" s="184"/>
      <c r="J690" s="185"/>
      <c r="K690" s="207"/>
    </row>
    <row r="691" ht="15.75" customHeight="1">
      <c r="B691" s="181"/>
      <c r="E691" s="182"/>
      <c r="F691" s="183"/>
      <c r="G691" s="183"/>
      <c r="H691" s="182"/>
      <c r="I691" s="184"/>
      <c r="J691" s="185"/>
      <c r="K691" s="207"/>
    </row>
    <row r="692" ht="15.75" customHeight="1">
      <c r="B692" s="181"/>
      <c r="E692" s="182"/>
      <c r="F692" s="183"/>
      <c r="G692" s="183"/>
      <c r="H692" s="182"/>
      <c r="I692" s="184"/>
      <c r="J692" s="185"/>
      <c r="K692" s="207"/>
    </row>
    <row r="693" ht="15.75" customHeight="1">
      <c r="B693" s="181"/>
      <c r="E693" s="182"/>
      <c r="F693" s="183"/>
      <c r="G693" s="183"/>
      <c r="H693" s="182"/>
      <c r="I693" s="184"/>
      <c r="J693" s="185"/>
      <c r="K693" s="207"/>
    </row>
    <row r="694" ht="15.75" customHeight="1">
      <c r="B694" s="181"/>
      <c r="E694" s="182"/>
      <c r="F694" s="183"/>
      <c r="G694" s="183"/>
      <c r="H694" s="182"/>
      <c r="I694" s="184"/>
      <c r="J694" s="185"/>
      <c r="K694" s="207"/>
    </row>
    <row r="695" ht="15.75" customHeight="1">
      <c r="B695" s="181"/>
      <c r="E695" s="182"/>
      <c r="F695" s="183"/>
      <c r="G695" s="183"/>
      <c r="H695" s="182"/>
      <c r="I695" s="184"/>
      <c r="J695" s="185"/>
      <c r="K695" s="207"/>
    </row>
    <row r="696" ht="15.75" customHeight="1">
      <c r="B696" s="181"/>
      <c r="E696" s="182"/>
      <c r="F696" s="183"/>
      <c r="G696" s="183"/>
      <c r="H696" s="182"/>
      <c r="I696" s="184"/>
      <c r="J696" s="185"/>
      <c r="K696" s="207"/>
    </row>
    <row r="697" ht="15.75" customHeight="1">
      <c r="B697" s="181"/>
      <c r="E697" s="182"/>
      <c r="F697" s="183"/>
      <c r="G697" s="183"/>
      <c r="H697" s="182"/>
      <c r="I697" s="184"/>
      <c r="J697" s="185"/>
      <c r="K697" s="207"/>
    </row>
    <row r="698" ht="15.75" customHeight="1">
      <c r="B698" s="181"/>
      <c r="E698" s="182"/>
      <c r="F698" s="183"/>
      <c r="G698" s="183"/>
      <c r="H698" s="182"/>
      <c r="I698" s="184"/>
      <c r="J698" s="185"/>
      <c r="K698" s="207"/>
    </row>
    <row r="699" ht="15.75" customHeight="1">
      <c r="B699" s="181"/>
      <c r="E699" s="182"/>
      <c r="F699" s="183"/>
      <c r="G699" s="183"/>
      <c r="H699" s="182"/>
      <c r="I699" s="184"/>
      <c r="J699" s="185"/>
      <c r="K699" s="207"/>
    </row>
    <row r="700" ht="15.75" customHeight="1">
      <c r="B700" s="181"/>
      <c r="E700" s="182"/>
      <c r="F700" s="183"/>
      <c r="G700" s="183"/>
      <c r="H700" s="182"/>
      <c r="I700" s="184"/>
      <c r="J700" s="185"/>
      <c r="K700" s="207"/>
    </row>
    <row r="701" ht="15.75" customHeight="1">
      <c r="B701" s="181"/>
      <c r="E701" s="182"/>
      <c r="F701" s="183"/>
      <c r="G701" s="183"/>
      <c r="H701" s="182"/>
      <c r="I701" s="184"/>
      <c r="J701" s="185"/>
      <c r="K701" s="207"/>
    </row>
    <row r="702" ht="15.75" customHeight="1">
      <c r="B702" s="181"/>
      <c r="E702" s="182"/>
      <c r="F702" s="183"/>
      <c r="G702" s="183"/>
      <c r="H702" s="182"/>
      <c r="I702" s="184"/>
      <c r="J702" s="185"/>
      <c r="K702" s="207"/>
    </row>
    <row r="703" ht="15.75" customHeight="1">
      <c r="B703" s="181"/>
      <c r="E703" s="182"/>
      <c r="F703" s="183"/>
      <c r="G703" s="183"/>
      <c r="H703" s="182"/>
      <c r="I703" s="184"/>
      <c r="J703" s="185"/>
      <c r="K703" s="207"/>
    </row>
    <row r="704" ht="15.75" customHeight="1">
      <c r="B704" s="181"/>
      <c r="E704" s="182"/>
      <c r="F704" s="183"/>
      <c r="G704" s="183"/>
      <c r="H704" s="182"/>
      <c r="I704" s="184"/>
      <c r="J704" s="185"/>
      <c r="K704" s="207"/>
    </row>
    <row r="705" ht="15.75" customHeight="1">
      <c r="B705" s="181"/>
      <c r="E705" s="182"/>
      <c r="F705" s="183"/>
      <c r="G705" s="183"/>
      <c r="H705" s="182"/>
      <c r="I705" s="184"/>
      <c r="J705" s="185"/>
      <c r="K705" s="207"/>
    </row>
    <row r="706" ht="15.75" customHeight="1">
      <c r="B706" s="181"/>
      <c r="E706" s="182"/>
      <c r="F706" s="183"/>
      <c r="G706" s="183"/>
      <c r="H706" s="182"/>
      <c r="I706" s="184"/>
      <c r="J706" s="185"/>
      <c r="K706" s="207"/>
    </row>
    <row r="707" ht="15.75" customHeight="1">
      <c r="B707" s="181"/>
      <c r="E707" s="182"/>
      <c r="F707" s="183"/>
      <c r="G707" s="183"/>
      <c r="H707" s="182"/>
      <c r="I707" s="184"/>
      <c r="J707" s="185"/>
      <c r="K707" s="207"/>
    </row>
    <row r="708" ht="15.75" customHeight="1">
      <c r="B708" s="181"/>
      <c r="E708" s="182"/>
      <c r="F708" s="183"/>
      <c r="G708" s="183"/>
      <c r="H708" s="182"/>
      <c r="I708" s="184"/>
      <c r="J708" s="185"/>
      <c r="K708" s="207"/>
    </row>
    <row r="709" ht="15.75" customHeight="1">
      <c r="B709" s="181"/>
      <c r="E709" s="182"/>
      <c r="F709" s="183"/>
      <c r="G709" s="183"/>
      <c r="H709" s="182"/>
      <c r="I709" s="184"/>
      <c r="J709" s="185"/>
      <c r="K709" s="207"/>
    </row>
    <row r="710" ht="15.75" customHeight="1">
      <c r="B710" s="181"/>
      <c r="E710" s="182"/>
      <c r="F710" s="183"/>
      <c r="G710" s="183"/>
      <c r="H710" s="182"/>
      <c r="I710" s="184"/>
      <c r="J710" s="185"/>
      <c r="K710" s="207"/>
    </row>
    <row r="711" ht="15.75" customHeight="1">
      <c r="B711" s="181"/>
      <c r="E711" s="182"/>
      <c r="F711" s="183"/>
      <c r="G711" s="183"/>
      <c r="H711" s="182"/>
      <c r="I711" s="184"/>
      <c r="J711" s="185"/>
      <c r="K711" s="207"/>
    </row>
    <row r="712" ht="15.75" customHeight="1">
      <c r="B712" s="181"/>
      <c r="E712" s="182"/>
      <c r="F712" s="183"/>
      <c r="G712" s="183"/>
      <c r="H712" s="182"/>
      <c r="I712" s="184"/>
      <c r="J712" s="185"/>
      <c r="K712" s="207"/>
    </row>
    <row r="713" ht="15.75" customHeight="1">
      <c r="B713" s="181"/>
      <c r="E713" s="182"/>
      <c r="F713" s="183"/>
      <c r="G713" s="183"/>
      <c r="H713" s="182"/>
      <c r="I713" s="184"/>
      <c r="J713" s="185"/>
      <c r="K713" s="207"/>
    </row>
    <row r="714" ht="15.75" customHeight="1">
      <c r="B714" s="181"/>
      <c r="E714" s="182"/>
      <c r="F714" s="183"/>
      <c r="G714" s="183"/>
      <c r="H714" s="182"/>
      <c r="I714" s="184"/>
      <c r="J714" s="185"/>
      <c r="K714" s="207"/>
    </row>
    <row r="715" ht="15.75" customHeight="1">
      <c r="B715" s="181"/>
      <c r="E715" s="182"/>
      <c r="F715" s="183"/>
      <c r="G715" s="183"/>
      <c r="H715" s="182"/>
      <c r="I715" s="184"/>
      <c r="J715" s="185"/>
      <c r="K715" s="207"/>
    </row>
    <row r="716" ht="15.75" customHeight="1">
      <c r="B716" s="181"/>
      <c r="E716" s="182"/>
      <c r="F716" s="183"/>
      <c r="G716" s="183"/>
      <c r="H716" s="182"/>
      <c r="I716" s="184"/>
      <c r="J716" s="185"/>
      <c r="K716" s="207"/>
    </row>
    <row r="717" ht="15.75" customHeight="1">
      <c r="B717" s="181"/>
      <c r="E717" s="182"/>
      <c r="F717" s="183"/>
      <c r="G717" s="183"/>
      <c r="H717" s="182"/>
      <c r="I717" s="184"/>
      <c r="J717" s="185"/>
      <c r="K717" s="207"/>
    </row>
    <row r="718" ht="15.75" customHeight="1">
      <c r="B718" s="181"/>
      <c r="E718" s="182"/>
      <c r="F718" s="183"/>
      <c r="G718" s="183"/>
      <c r="H718" s="182"/>
      <c r="I718" s="184"/>
      <c r="J718" s="185"/>
      <c r="K718" s="207"/>
    </row>
    <row r="719" ht="15.75" customHeight="1">
      <c r="B719" s="181"/>
      <c r="E719" s="182"/>
      <c r="F719" s="183"/>
      <c r="G719" s="183"/>
      <c r="H719" s="182"/>
      <c r="I719" s="184"/>
      <c r="J719" s="185"/>
      <c r="K719" s="207"/>
    </row>
    <row r="720" ht="15.75" customHeight="1">
      <c r="B720" s="181"/>
      <c r="E720" s="182"/>
      <c r="F720" s="183"/>
      <c r="G720" s="183"/>
      <c r="H720" s="182"/>
      <c r="I720" s="184"/>
      <c r="J720" s="185"/>
      <c r="K720" s="207"/>
    </row>
    <row r="721" ht="15.75" customHeight="1">
      <c r="B721" s="181"/>
      <c r="E721" s="182"/>
      <c r="F721" s="183"/>
      <c r="G721" s="183"/>
      <c r="H721" s="182"/>
      <c r="I721" s="184"/>
      <c r="J721" s="185"/>
      <c r="K721" s="207"/>
    </row>
    <row r="722" ht="15.75" customHeight="1">
      <c r="B722" s="181"/>
      <c r="E722" s="182"/>
      <c r="F722" s="183"/>
      <c r="G722" s="183"/>
      <c r="H722" s="182"/>
      <c r="I722" s="184"/>
      <c r="J722" s="185"/>
      <c r="K722" s="207"/>
    </row>
    <row r="723" ht="15.75" customHeight="1">
      <c r="B723" s="181"/>
      <c r="E723" s="182"/>
      <c r="F723" s="183"/>
      <c r="G723" s="183"/>
      <c r="H723" s="182"/>
      <c r="I723" s="184"/>
      <c r="J723" s="185"/>
      <c r="K723" s="207"/>
    </row>
    <row r="724" ht="15.75" customHeight="1">
      <c r="B724" s="181"/>
      <c r="E724" s="182"/>
      <c r="F724" s="183"/>
      <c r="G724" s="183"/>
      <c r="H724" s="182"/>
      <c r="I724" s="184"/>
      <c r="J724" s="185"/>
      <c r="K724" s="207"/>
    </row>
    <row r="725" ht="15.75" customHeight="1">
      <c r="B725" s="181"/>
      <c r="E725" s="182"/>
      <c r="F725" s="183"/>
      <c r="G725" s="183"/>
      <c r="H725" s="182"/>
      <c r="I725" s="184"/>
      <c r="J725" s="185"/>
      <c r="K725" s="207"/>
    </row>
    <row r="726" ht="15.75" customHeight="1">
      <c r="B726" s="181"/>
      <c r="E726" s="182"/>
      <c r="F726" s="183"/>
      <c r="G726" s="183"/>
      <c r="H726" s="182"/>
      <c r="I726" s="184"/>
      <c r="J726" s="185"/>
      <c r="K726" s="207"/>
    </row>
    <row r="727" ht="15.75" customHeight="1">
      <c r="B727" s="181"/>
      <c r="E727" s="182"/>
      <c r="F727" s="183"/>
      <c r="G727" s="183"/>
      <c r="H727" s="182"/>
      <c r="I727" s="184"/>
      <c r="J727" s="185"/>
      <c r="K727" s="207"/>
    </row>
    <row r="728" ht="15.75" customHeight="1">
      <c r="B728" s="181"/>
      <c r="E728" s="182"/>
      <c r="F728" s="183"/>
      <c r="G728" s="183"/>
      <c r="H728" s="182"/>
      <c r="I728" s="184"/>
      <c r="J728" s="185"/>
      <c r="K728" s="207"/>
    </row>
    <row r="729" ht="15.75" customHeight="1">
      <c r="B729" s="181"/>
      <c r="E729" s="182"/>
      <c r="F729" s="183"/>
      <c r="G729" s="183"/>
      <c r="H729" s="182"/>
      <c r="I729" s="184"/>
      <c r="J729" s="185"/>
      <c r="K729" s="207"/>
    </row>
    <row r="730" ht="15.75" customHeight="1">
      <c r="B730" s="181"/>
      <c r="E730" s="182"/>
      <c r="F730" s="183"/>
      <c r="G730" s="183"/>
      <c r="H730" s="182"/>
      <c r="I730" s="184"/>
      <c r="J730" s="185"/>
      <c r="K730" s="207"/>
    </row>
    <row r="731" ht="15.75" customHeight="1">
      <c r="B731" s="181"/>
      <c r="E731" s="182"/>
      <c r="F731" s="183"/>
      <c r="G731" s="183"/>
      <c r="H731" s="182"/>
      <c r="I731" s="184"/>
      <c r="J731" s="185"/>
      <c r="K731" s="207"/>
    </row>
    <row r="732" ht="15.75" customHeight="1">
      <c r="B732" s="181"/>
      <c r="E732" s="182"/>
      <c r="F732" s="183"/>
      <c r="G732" s="183"/>
      <c r="H732" s="182"/>
      <c r="I732" s="184"/>
      <c r="J732" s="185"/>
      <c r="K732" s="207"/>
    </row>
    <row r="733" ht="15.75" customHeight="1">
      <c r="B733" s="181"/>
      <c r="E733" s="182"/>
      <c r="F733" s="183"/>
      <c r="G733" s="183"/>
      <c r="H733" s="182"/>
      <c r="I733" s="184"/>
      <c r="J733" s="185"/>
      <c r="K733" s="207"/>
    </row>
    <row r="734" ht="15.75" customHeight="1">
      <c r="B734" s="181"/>
      <c r="E734" s="182"/>
      <c r="F734" s="183"/>
      <c r="G734" s="183"/>
      <c r="H734" s="182"/>
      <c r="I734" s="184"/>
      <c r="J734" s="185"/>
      <c r="K734" s="207"/>
    </row>
    <row r="735" ht="15.75" customHeight="1">
      <c r="B735" s="181"/>
      <c r="E735" s="182"/>
      <c r="F735" s="183"/>
      <c r="G735" s="183"/>
      <c r="H735" s="182"/>
      <c r="I735" s="184"/>
      <c r="J735" s="185"/>
      <c r="K735" s="207"/>
    </row>
    <row r="736" ht="15.75" customHeight="1">
      <c r="B736" s="181"/>
      <c r="E736" s="182"/>
      <c r="F736" s="183"/>
      <c r="G736" s="183"/>
      <c r="H736" s="182"/>
      <c r="I736" s="184"/>
      <c r="J736" s="185"/>
      <c r="K736" s="207"/>
    </row>
    <row r="737" ht="15.75" customHeight="1">
      <c r="B737" s="181"/>
      <c r="E737" s="182"/>
      <c r="F737" s="183"/>
      <c r="G737" s="183"/>
      <c r="H737" s="182"/>
      <c r="I737" s="184"/>
      <c r="J737" s="185"/>
      <c r="K737" s="207"/>
    </row>
    <row r="738" ht="15.75" customHeight="1">
      <c r="B738" s="181"/>
      <c r="E738" s="182"/>
      <c r="F738" s="183"/>
      <c r="G738" s="183"/>
      <c r="H738" s="182"/>
      <c r="I738" s="184"/>
      <c r="J738" s="185"/>
      <c r="K738" s="207"/>
    </row>
    <row r="739" ht="15.75" customHeight="1">
      <c r="B739" s="181"/>
      <c r="E739" s="182"/>
      <c r="F739" s="183"/>
      <c r="G739" s="183"/>
      <c r="H739" s="182"/>
      <c r="I739" s="184"/>
      <c r="J739" s="185"/>
      <c r="K739" s="207"/>
    </row>
    <row r="740" ht="15.75" customHeight="1">
      <c r="B740" s="181"/>
      <c r="E740" s="182"/>
      <c r="F740" s="183"/>
      <c r="G740" s="183"/>
      <c r="H740" s="182"/>
      <c r="I740" s="184"/>
      <c r="J740" s="185"/>
      <c r="K740" s="207"/>
    </row>
    <row r="741" ht="15.75" customHeight="1">
      <c r="B741" s="181"/>
      <c r="E741" s="182"/>
      <c r="F741" s="183"/>
      <c r="G741" s="183"/>
      <c r="H741" s="182"/>
      <c r="I741" s="184"/>
      <c r="J741" s="185"/>
      <c r="K741" s="207"/>
    </row>
    <row r="742" ht="15.75" customHeight="1">
      <c r="B742" s="181"/>
      <c r="E742" s="182"/>
      <c r="F742" s="183"/>
      <c r="G742" s="183"/>
      <c r="H742" s="182"/>
      <c r="I742" s="184"/>
      <c r="J742" s="185"/>
      <c r="K742" s="207"/>
    </row>
    <row r="743" ht="15.75" customHeight="1">
      <c r="B743" s="181"/>
      <c r="E743" s="182"/>
      <c r="F743" s="183"/>
      <c r="G743" s="183"/>
      <c r="H743" s="182"/>
      <c r="I743" s="184"/>
      <c r="J743" s="185"/>
      <c r="K743" s="207"/>
    </row>
    <row r="744" ht="15.75" customHeight="1">
      <c r="B744" s="181"/>
      <c r="E744" s="182"/>
      <c r="F744" s="183"/>
      <c r="G744" s="183"/>
      <c r="H744" s="182"/>
      <c r="I744" s="184"/>
      <c r="J744" s="185"/>
      <c r="K744" s="207"/>
    </row>
    <row r="745" ht="15.75" customHeight="1">
      <c r="B745" s="181"/>
      <c r="E745" s="182"/>
      <c r="F745" s="183"/>
      <c r="G745" s="183"/>
      <c r="H745" s="182"/>
      <c r="I745" s="184"/>
      <c r="J745" s="185"/>
      <c r="K745" s="207"/>
    </row>
    <row r="746" ht="15.75" customHeight="1">
      <c r="B746" s="181"/>
      <c r="E746" s="182"/>
      <c r="F746" s="183"/>
      <c r="G746" s="183"/>
      <c r="H746" s="182"/>
      <c r="I746" s="184"/>
      <c r="J746" s="185"/>
      <c r="K746" s="207"/>
    </row>
    <row r="747" ht="15.75" customHeight="1">
      <c r="B747" s="181"/>
      <c r="E747" s="182"/>
      <c r="F747" s="183"/>
      <c r="G747" s="183"/>
      <c r="H747" s="182"/>
      <c r="I747" s="184"/>
      <c r="J747" s="185"/>
      <c r="K747" s="207"/>
    </row>
    <row r="748" ht="15.75" customHeight="1">
      <c r="B748" s="181"/>
      <c r="E748" s="182"/>
      <c r="F748" s="183"/>
      <c r="G748" s="183"/>
      <c r="H748" s="182"/>
      <c r="I748" s="184"/>
      <c r="J748" s="185"/>
      <c r="K748" s="207"/>
    </row>
    <row r="749" ht="15.75" customHeight="1">
      <c r="B749" s="181"/>
      <c r="E749" s="182"/>
      <c r="F749" s="183"/>
      <c r="G749" s="183"/>
      <c r="H749" s="182"/>
      <c r="I749" s="184"/>
      <c r="J749" s="185"/>
      <c r="K749" s="207"/>
    </row>
    <row r="750" ht="15.75" customHeight="1">
      <c r="B750" s="181"/>
      <c r="E750" s="182"/>
      <c r="F750" s="183"/>
      <c r="G750" s="183"/>
      <c r="H750" s="182"/>
      <c r="I750" s="184"/>
      <c r="J750" s="185"/>
      <c r="K750" s="207"/>
    </row>
    <row r="751" ht="15.75" customHeight="1">
      <c r="B751" s="181"/>
      <c r="E751" s="182"/>
      <c r="F751" s="183"/>
      <c r="G751" s="183"/>
      <c r="H751" s="182"/>
      <c r="I751" s="184"/>
      <c r="J751" s="185"/>
      <c r="K751" s="207"/>
    </row>
    <row r="752" ht="15.75" customHeight="1">
      <c r="B752" s="181"/>
      <c r="E752" s="182"/>
      <c r="F752" s="183"/>
      <c r="G752" s="183"/>
      <c r="H752" s="182"/>
      <c r="I752" s="184"/>
      <c r="J752" s="185"/>
      <c r="K752" s="207"/>
    </row>
    <row r="753" ht="15.75" customHeight="1">
      <c r="B753" s="181"/>
      <c r="E753" s="182"/>
      <c r="F753" s="183"/>
      <c r="G753" s="183"/>
      <c r="H753" s="182"/>
      <c r="I753" s="184"/>
      <c r="J753" s="185"/>
      <c r="K753" s="207"/>
    </row>
    <row r="754" ht="15.75" customHeight="1">
      <c r="B754" s="181"/>
      <c r="E754" s="182"/>
      <c r="F754" s="183"/>
      <c r="G754" s="183"/>
      <c r="H754" s="182"/>
      <c r="I754" s="184"/>
      <c r="J754" s="185"/>
      <c r="K754" s="207"/>
    </row>
    <row r="755" ht="15.75" customHeight="1">
      <c r="B755" s="181"/>
      <c r="E755" s="182"/>
      <c r="F755" s="183"/>
      <c r="G755" s="183"/>
      <c r="H755" s="182"/>
      <c r="I755" s="184"/>
      <c r="J755" s="185"/>
      <c r="K755" s="207"/>
    </row>
    <row r="756" ht="15.75" customHeight="1">
      <c r="B756" s="181"/>
      <c r="E756" s="182"/>
      <c r="F756" s="183"/>
      <c r="G756" s="183"/>
      <c r="H756" s="182"/>
      <c r="I756" s="184"/>
      <c r="J756" s="185"/>
      <c r="K756" s="207"/>
    </row>
    <row r="757" ht="15.75" customHeight="1">
      <c r="B757" s="181"/>
      <c r="E757" s="182"/>
      <c r="F757" s="183"/>
      <c r="G757" s="183"/>
      <c r="H757" s="182"/>
      <c r="I757" s="184"/>
      <c r="J757" s="185"/>
      <c r="K757" s="207"/>
    </row>
    <row r="758" ht="15.75" customHeight="1">
      <c r="B758" s="181"/>
      <c r="E758" s="182"/>
      <c r="F758" s="183"/>
      <c r="G758" s="183"/>
      <c r="H758" s="182"/>
      <c r="I758" s="184"/>
      <c r="J758" s="185"/>
      <c r="K758" s="207"/>
    </row>
    <row r="759" ht="15.75" customHeight="1">
      <c r="B759" s="181"/>
      <c r="E759" s="182"/>
      <c r="F759" s="183"/>
      <c r="G759" s="183"/>
      <c r="H759" s="182"/>
      <c r="I759" s="184"/>
      <c r="J759" s="185"/>
      <c r="K759" s="207"/>
    </row>
    <row r="760" ht="15.75" customHeight="1">
      <c r="B760" s="181"/>
      <c r="E760" s="182"/>
      <c r="F760" s="183"/>
      <c r="G760" s="183"/>
      <c r="H760" s="182"/>
      <c r="I760" s="184"/>
      <c r="J760" s="185"/>
      <c r="K760" s="207"/>
    </row>
    <row r="761" ht="15.75" customHeight="1">
      <c r="B761" s="181"/>
      <c r="E761" s="182"/>
      <c r="F761" s="183"/>
      <c r="G761" s="183"/>
      <c r="H761" s="182"/>
      <c r="I761" s="184"/>
      <c r="J761" s="185"/>
      <c r="K761" s="207"/>
    </row>
    <row r="762" ht="15.75" customHeight="1">
      <c r="B762" s="181"/>
      <c r="E762" s="182"/>
      <c r="F762" s="183"/>
      <c r="G762" s="183"/>
      <c r="H762" s="182"/>
      <c r="I762" s="184"/>
      <c r="J762" s="185"/>
      <c r="K762" s="207"/>
    </row>
    <row r="763" ht="15.75" customHeight="1">
      <c r="B763" s="181"/>
      <c r="E763" s="182"/>
      <c r="F763" s="183"/>
      <c r="G763" s="183"/>
      <c r="H763" s="182"/>
      <c r="I763" s="184"/>
      <c r="J763" s="185"/>
      <c r="K763" s="207"/>
    </row>
    <row r="764" ht="15.75" customHeight="1">
      <c r="B764" s="181"/>
      <c r="E764" s="182"/>
      <c r="F764" s="183"/>
      <c r="G764" s="183"/>
      <c r="H764" s="182"/>
      <c r="I764" s="184"/>
      <c r="J764" s="185"/>
      <c r="K764" s="207"/>
    </row>
    <row r="765" ht="15.75" customHeight="1">
      <c r="B765" s="181"/>
      <c r="E765" s="182"/>
      <c r="F765" s="183"/>
      <c r="G765" s="183"/>
      <c r="H765" s="182"/>
      <c r="I765" s="184"/>
      <c r="J765" s="185"/>
      <c r="K765" s="207"/>
    </row>
    <row r="766" ht="15.75" customHeight="1">
      <c r="B766" s="181"/>
      <c r="E766" s="182"/>
      <c r="F766" s="183"/>
      <c r="G766" s="183"/>
      <c r="H766" s="182"/>
      <c r="I766" s="184"/>
      <c r="J766" s="185"/>
      <c r="K766" s="207"/>
    </row>
    <row r="767" ht="15.75" customHeight="1">
      <c r="B767" s="181"/>
      <c r="E767" s="182"/>
      <c r="F767" s="183"/>
      <c r="G767" s="183"/>
      <c r="H767" s="182"/>
      <c r="I767" s="184"/>
      <c r="J767" s="185"/>
      <c r="K767" s="207"/>
    </row>
    <row r="768" ht="15.75" customHeight="1">
      <c r="B768" s="181"/>
      <c r="E768" s="182"/>
      <c r="F768" s="183"/>
      <c r="G768" s="183"/>
      <c r="H768" s="182"/>
      <c r="I768" s="184"/>
      <c r="J768" s="185"/>
      <c r="K768" s="207"/>
    </row>
    <row r="769" ht="15.75" customHeight="1">
      <c r="B769" s="181"/>
      <c r="E769" s="182"/>
      <c r="F769" s="183"/>
      <c r="G769" s="183"/>
      <c r="H769" s="182"/>
      <c r="I769" s="184"/>
      <c r="J769" s="185"/>
      <c r="K769" s="207"/>
    </row>
    <row r="770" ht="15.75" customHeight="1">
      <c r="B770" s="181"/>
      <c r="E770" s="182"/>
      <c r="F770" s="183"/>
      <c r="G770" s="183"/>
      <c r="H770" s="182"/>
      <c r="I770" s="184"/>
      <c r="J770" s="185"/>
      <c r="K770" s="207"/>
    </row>
    <row r="771" ht="15.75" customHeight="1">
      <c r="B771" s="181"/>
      <c r="E771" s="182"/>
      <c r="F771" s="183"/>
      <c r="G771" s="183"/>
      <c r="H771" s="182"/>
      <c r="I771" s="184"/>
      <c r="J771" s="185"/>
      <c r="K771" s="207"/>
    </row>
    <row r="772" ht="15.75" customHeight="1">
      <c r="B772" s="181"/>
      <c r="E772" s="182"/>
      <c r="F772" s="183"/>
      <c r="G772" s="183"/>
      <c r="H772" s="182"/>
      <c r="I772" s="184"/>
      <c r="J772" s="185"/>
      <c r="K772" s="207"/>
    </row>
    <row r="773" ht="15.75" customHeight="1">
      <c r="B773" s="181"/>
      <c r="E773" s="182"/>
      <c r="F773" s="183"/>
      <c r="G773" s="183"/>
      <c r="H773" s="182"/>
      <c r="I773" s="184"/>
      <c r="J773" s="185"/>
      <c r="K773" s="207"/>
    </row>
    <row r="774" ht="15.75" customHeight="1">
      <c r="B774" s="181"/>
      <c r="E774" s="182"/>
      <c r="F774" s="183"/>
      <c r="G774" s="183"/>
      <c r="H774" s="182"/>
      <c r="I774" s="184"/>
      <c r="J774" s="185"/>
      <c r="K774" s="207"/>
    </row>
    <row r="775" ht="15.75" customHeight="1">
      <c r="B775" s="181"/>
      <c r="E775" s="182"/>
      <c r="F775" s="183"/>
      <c r="G775" s="183"/>
      <c r="H775" s="182"/>
      <c r="I775" s="184"/>
      <c r="J775" s="185"/>
      <c r="K775" s="207"/>
    </row>
    <row r="776" ht="15.75" customHeight="1">
      <c r="B776" s="181"/>
      <c r="E776" s="182"/>
      <c r="F776" s="183"/>
      <c r="G776" s="183"/>
      <c r="H776" s="182"/>
      <c r="I776" s="184"/>
      <c r="J776" s="185"/>
      <c r="K776" s="207"/>
    </row>
    <row r="777" ht="15.75" customHeight="1">
      <c r="B777" s="181"/>
      <c r="E777" s="182"/>
      <c r="F777" s="183"/>
      <c r="G777" s="183"/>
      <c r="H777" s="182"/>
      <c r="I777" s="184"/>
      <c r="J777" s="185"/>
      <c r="K777" s="207"/>
    </row>
    <row r="778" ht="15.75" customHeight="1">
      <c r="B778" s="181"/>
      <c r="E778" s="182"/>
      <c r="F778" s="183"/>
      <c r="G778" s="183"/>
      <c r="H778" s="182"/>
      <c r="I778" s="184"/>
      <c r="J778" s="185"/>
      <c r="K778" s="207"/>
    </row>
    <row r="779" ht="15.75" customHeight="1">
      <c r="B779" s="181"/>
      <c r="E779" s="182"/>
      <c r="F779" s="183"/>
      <c r="G779" s="183"/>
      <c r="H779" s="182"/>
      <c r="I779" s="184"/>
      <c r="J779" s="185"/>
      <c r="K779" s="207"/>
    </row>
    <row r="780" ht="15.75" customHeight="1">
      <c r="B780" s="181"/>
      <c r="E780" s="182"/>
      <c r="F780" s="183"/>
      <c r="G780" s="183"/>
      <c r="H780" s="182"/>
      <c r="I780" s="184"/>
      <c r="J780" s="185"/>
      <c r="K780" s="207"/>
    </row>
    <row r="781" ht="15.75" customHeight="1">
      <c r="B781" s="181"/>
      <c r="E781" s="182"/>
      <c r="F781" s="183"/>
      <c r="G781" s="183"/>
      <c r="H781" s="182"/>
      <c r="I781" s="184"/>
      <c r="J781" s="185"/>
      <c r="K781" s="207"/>
    </row>
    <row r="782" ht="15.75" customHeight="1">
      <c r="B782" s="181"/>
      <c r="E782" s="182"/>
      <c r="F782" s="183"/>
      <c r="G782" s="183"/>
      <c r="H782" s="182"/>
      <c r="I782" s="184"/>
      <c r="J782" s="185"/>
      <c r="K782" s="207"/>
    </row>
    <row r="783" ht="15.75" customHeight="1">
      <c r="B783" s="181"/>
      <c r="E783" s="182"/>
      <c r="F783" s="183"/>
      <c r="G783" s="183"/>
      <c r="H783" s="182"/>
      <c r="I783" s="184"/>
      <c r="J783" s="185"/>
      <c r="K783" s="207"/>
    </row>
    <row r="784" ht="15.75" customHeight="1">
      <c r="B784" s="181"/>
      <c r="E784" s="182"/>
      <c r="F784" s="183"/>
      <c r="G784" s="183"/>
      <c r="H784" s="182"/>
      <c r="I784" s="184"/>
      <c r="J784" s="185"/>
      <c r="K784" s="207"/>
    </row>
    <row r="785" ht="15.75" customHeight="1">
      <c r="B785" s="181"/>
      <c r="E785" s="182"/>
      <c r="F785" s="183"/>
      <c r="G785" s="183"/>
      <c r="H785" s="182"/>
      <c r="I785" s="184"/>
      <c r="J785" s="185"/>
      <c r="K785" s="207"/>
    </row>
    <row r="786" ht="15.75" customHeight="1">
      <c r="B786" s="181"/>
      <c r="E786" s="182"/>
      <c r="F786" s="183"/>
      <c r="G786" s="183"/>
      <c r="H786" s="182"/>
      <c r="I786" s="184"/>
      <c r="J786" s="185"/>
      <c r="K786" s="207"/>
    </row>
    <row r="787" ht="15.75" customHeight="1">
      <c r="B787" s="181"/>
      <c r="E787" s="182"/>
      <c r="F787" s="183"/>
      <c r="G787" s="183"/>
      <c r="H787" s="182"/>
      <c r="I787" s="184"/>
      <c r="J787" s="185"/>
      <c r="K787" s="207"/>
    </row>
    <row r="788" ht="15.75" customHeight="1">
      <c r="B788" s="181"/>
      <c r="E788" s="182"/>
      <c r="F788" s="183"/>
      <c r="G788" s="183"/>
      <c r="H788" s="182"/>
      <c r="I788" s="184"/>
      <c r="J788" s="185"/>
      <c r="K788" s="207"/>
    </row>
    <row r="789" ht="15.75" customHeight="1">
      <c r="B789" s="181"/>
      <c r="E789" s="182"/>
      <c r="F789" s="183"/>
      <c r="G789" s="183"/>
      <c r="H789" s="182"/>
      <c r="I789" s="184"/>
      <c r="J789" s="185"/>
      <c r="K789" s="207"/>
    </row>
    <row r="790" ht="15.75" customHeight="1">
      <c r="B790" s="181"/>
      <c r="E790" s="182"/>
      <c r="F790" s="183"/>
      <c r="G790" s="183"/>
      <c r="H790" s="182"/>
      <c r="I790" s="184"/>
      <c r="J790" s="185"/>
      <c r="K790" s="207"/>
    </row>
    <row r="791" ht="15.75" customHeight="1">
      <c r="B791" s="181"/>
      <c r="E791" s="182"/>
      <c r="F791" s="183"/>
      <c r="G791" s="183"/>
      <c r="H791" s="182"/>
      <c r="I791" s="184"/>
      <c r="J791" s="185"/>
      <c r="K791" s="207"/>
    </row>
    <row r="792" ht="15.75" customHeight="1">
      <c r="B792" s="181"/>
      <c r="E792" s="182"/>
      <c r="F792" s="183"/>
      <c r="G792" s="183"/>
      <c r="H792" s="182"/>
      <c r="I792" s="184"/>
      <c r="J792" s="185"/>
      <c r="K792" s="207"/>
    </row>
    <row r="793" ht="15.75" customHeight="1">
      <c r="B793" s="181"/>
      <c r="E793" s="182"/>
      <c r="F793" s="183"/>
      <c r="G793" s="183"/>
      <c r="H793" s="182"/>
      <c r="I793" s="184"/>
      <c r="J793" s="185"/>
      <c r="K793" s="207"/>
    </row>
    <row r="794" ht="15.75" customHeight="1">
      <c r="B794" s="181"/>
      <c r="E794" s="182"/>
      <c r="F794" s="183"/>
      <c r="G794" s="183"/>
      <c r="H794" s="182"/>
      <c r="I794" s="184"/>
      <c r="J794" s="185"/>
      <c r="K794" s="207"/>
    </row>
    <row r="795" ht="15.75" customHeight="1">
      <c r="B795" s="181"/>
      <c r="E795" s="182"/>
      <c r="F795" s="183"/>
      <c r="G795" s="183"/>
      <c r="H795" s="182"/>
      <c r="I795" s="184"/>
      <c r="J795" s="185"/>
      <c r="K795" s="207"/>
    </row>
    <row r="796" ht="15.75" customHeight="1">
      <c r="B796" s="181"/>
      <c r="E796" s="182"/>
      <c r="F796" s="183"/>
      <c r="G796" s="183"/>
      <c r="H796" s="182"/>
      <c r="I796" s="184"/>
      <c r="J796" s="185"/>
      <c r="K796" s="207"/>
    </row>
    <row r="797" ht="15.75" customHeight="1">
      <c r="B797" s="181"/>
      <c r="E797" s="182"/>
      <c r="F797" s="183"/>
      <c r="G797" s="183"/>
      <c r="H797" s="182"/>
      <c r="I797" s="184"/>
      <c r="J797" s="185"/>
      <c r="K797" s="207"/>
    </row>
    <row r="798" ht="15.75" customHeight="1">
      <c r="B798" s="181"/>
      <c r="E798" s="182"/>
      <c r="F798" s="183"/>
      <c r="G798" s="183"/>
      <c r="H798" s="182"/>
      <c r="I798" s="184"/>
      <c r="J798" s="185"/>
      <c r="K798" s="207"/>
    </row>
    <row r="799" ht="15.75" customHeight="1">
      <c r="B799" s="181"/>
      <c r="E799" s="182"/>
      <c r="F799" s="183"/>
      <c r="G799" s="183"/>
      <c r="H799" s="182"/>
      <c r="I799" s="184"/>
      <c r="J799" s="185"/>
      <c r="K799" s="207"/>
    </row>
    <row r="800" ht="15.75" customHeight="1">
      <c r="B800" s="181"/>
      <c r="E800" s="182"/>
      <c r="F800" s="183"/>
      <c r="G800" s="183"/>
      <c r="H800" s="182"/>
      <c r="I800" s="184"/>
      <c r="J800" s="185"/>
      <c r="K800" s="207"/>
    </row>
    <row r="801" ht="15.75" customHeight="1">
      <c r="B801" s="181"/>
      <c r="E801" s="182"/>
      <c r="F801" s="183"/>
      <c r="G801" s="183"/>
      <c r="H801" s="182"/>
      <c r="I801" s="184"/>
      <c r="J801" s="185"/>
      <c r="K801" s="207"/>
    </row>
    <row r="802" ht="15.75" customHeight="1">
      <c r="B802" s="181"/>
      <c r="E802" s="182"/>
      <c r="F802" s="183"/>
      <c r="G802" s="183"/>
      <c r="H802" s="182"/>
      <c r="I802" s="184"/>
      <c r="J802" s="185"/>
      <c r="K802" s="207"/>
    </row>
    <row r="803" ht="15.75" customHeight="1">
      <c r="B803" s="181"/>
      <c r="E803" s="182"/>
      <c r="F803" s="183"/>
      <c r="G803" s="183"/>
      <c r="H803" s="182"/>
      <c r="I803" s="184"/>
      <c r="J803" s="185"/>
      <c r="K803" s="207"/>
    </row>
    <row r="804" ht="15.75" customHeight="1">
      <c r="B804" s="181"/>
      <c r="E804" s="182"/>
      <c r="F804" s="183"/>
      <c r="G804" s="183"/>
      <c r="H804" s="182"/>
      <c r="I804" s="184"/>
      <c r="J804" s="185"/>
      <c r="K804" s="207"/>
    </row>
    <row r="805" ht="15.75" customHeight="1">
      <c r="B805" s="181"/>
      <c r="E805" s="182"/>
      <c r="F805" s="183"/>
      <c r="G805" s="183"/>
      <c r="H805" s="182"/>
      <c r="I805" s="184"/>
      <c r="J805" s="185"/>
      <c r="K805" s="207"/>
    </row>
    <row r="806" ht="15.75" customHeight="1">
      <c r="B806" s="181"/>
      <c r="E806" s="182"/>
      <c r="F806" s="183"/>
      <c r="G806" s="183"/>
      <c r="H806" s="182"/>
      <c r="I806" s="184"/>
      <c r="J806" s="185"/>
      <c r="K806" s="207"/>
    </row>
    <row r="807" ht="15.75" customHeight="1">
      <c r="B807" s="181"/>
      <c r="E807" s="182"/>
      <c r="F807" s="183"/>
      <c r="G807" s="183"/>
      <c r="H807" s="182"/>
      <c r="I807" s="184"/>
      <c r="J807" s="185"/>
      <c r="K807" s="207"/>
    </row>
    <row r="808" ht="15.75" customHeight="1">
      <c r="B808" s="181"/>
      <c r="E808" s="182"/>
      <c r="F808" s="183"/>
      <c r="G808" s="183"/>
      <c r="H808" s="182"/>
      <c r="I808" s="184"/>
      <c r="J808" s="185"/>
      <c r="K808" s="207"/>
    </row>
    <row r="809" ht="15.75" customHeight="1">
      <c r="B809" s="181"/>
      <c r="E809" s="182"/>
      <c r="F809" s="183"/>
      <c r="G809" s="183"/>
      <c r="H809" s="182"/>
      <c r="I809" s="184"/>
      <c r="J809" s="185"/>
      <c r="K809" s="207"/>
    </row>
    <row r="810" ht="15.75" customHeight="1">
      <c r="B810" s="181"/>
      <c r="E810" s="182"/>
      <c r="F810" s="183"/>
      <c r="G810" s="183"/>
      <c r="H810" s="182"/>
      <c r="I810" s="184"/>
      <c r="J810" s="185"/>
      <c r="K810" s="207"/>
    </row>
    <row r="811" ht="15.75" customHeight="1">
      <c r="B811" s="181"/>
      <c r="E811" s="182"/>
      <c r="F811" s="183"/>
      <c r="G811" s="183"/>
      <c r="H811" s="182"/>
      <c r="I811" s="184"/>
      <c r="J811" s="185"/>
      <c r="K811" s="207"/>
    </row>
    <row r="812" ht="15.75" customHeight="1">
      <c r="B812" s="181"/>
      <c r="E812" s="182"/>
      <c r="F812" s="183"/>
      <c r="G812" s="183"/>
      <c r="H812" s="182"/>
      <c r="I812" s="184"/>
      <c r="J812" s="185"/>
      <c r="K812" s="207"/>
    </row>
    <row r="813" ht="15.75" customHeight="1">
      <c r="B813" s="181"/>
      <c r="E813" s="182"/>
      <c r="F813" s="183"/>
      <c r="G813" s="183"/>
      <c r="H813" s="182"/>
      <c r="I813" s="184"/>
      <c r="J813" s="185"/>
      <c r="K813" s="207"/>
    </row>
    <row r="814" ht="15.75" customHeight="1">
      <c r="B814" s="181"/>
      <c r="E814" s="182"/>
      <c r="F814" s="183"/>
      <c r="G814" s="183"/>
      <c r="H814" s="182"/>
      <c r="I814" s="184"/>
      <c r="J814" s="185"/>
      <c r="K814" s="207"/>
    </row>
    <row r="815" ht="15.75" customHeight="1">
      <c r="B815" s="181"/>
      <c r="E815" s="182"/>
      <c r="F815" s="183"/>
      <c r="G815" s="183"/>
      <c r="H815" s="182"/>
      <c r="I815" s="184"/>
      <c r="J815" s="185"/>
      <c r="K815" s="207"/>
    </row>
    <row r="816" ht="15.75" customHeight="1">
      <c r="B816" s="181"/>
      <c r="E816" s="182"/>
      <c r="F816" s="183"/>
      <c r="G816" s="183"/>
      <c r="H816" s="182"/>
      <c r="I816" s="184"/>
      <c r="J816" s="185"/>
      <c r="K816" s="207"/>
    </row>
    <row r="817" ht="15.75" customHeight="1">
      <c r="B817" s="181"/>
      <c r="E817" s="182"/>
      <c r="F817" s="183"/>
      <c r="G817" s="183"/>
      <c r="H817" s="182"/>
      <c r="I817" s="184"/>
      <c r="J817" s="185"/>
      <c r="K817" s="207"/>
    </row>
    <row r="818" ht="15.75" customHeight="1">
      <c r="B818" s="181"/>
      <c r="E818" s="182"/>
      <c r="F818" s="183"/>
      <c r="G818" s="183"/>
      <c r="H818" s="182"/>
      <c r="I818" s="184"/>
      <c r="J818" s="185"/>
      <c r="K818" s="207"/>
    </row>
    <row r="819" ht="15.75" customHeight="1">
      <c r="B819" s="181"/>
      <c r="E819" s="182"/>
      <c r="F819" s="183"/>
      <c r="G819" s="183"/>
      <c r="H819" s="182"/>
      <c r="I819" s="184"/>
      <c r="J819" s="185"/>
      <c r="K819" s="207"/>
    </row>
    <row r="820" ht="15.75" customHeight="1">
      <c r="B820" s="181"/>
      <c r="E820" s="182"/>
      <c r="F820" s="183"/>
      <c r="G820" s="183"/>
      <c r="H820" s="182"/>
      <c r="I820" s="184"/>
      <c r="J820" s="185"/>
      <c r="K820" s="207"/>
    </row>
    <row r="821" ht="15.75" customHeight="1">
      <c r="B821" s="181"/>
      <c r="E821" s="182"/>
      <c r="F821" s="183"/>
      <c r="G821" s="183"/>
      <c r="H821" s="182"/>
      <c r="I821" s="184"/>
      <c r="J821" s="185"/>
      <c r="K821" s="207"/>
    </row>
    <row r="822" ht="15.75" customHeight="1">
      <c r="B822" s="181"/>
      <c r="E822" s="182"/>
      <c r="F822" s="183"/>
      <c r="G822" s="183"/>
      <c r="H822" s="182"/>
      <c r="I822" s="184"/>
      <c r="J822" s="185"/>
      <c r="K822" s="207"/>
    </row>
    <row r="823" ht="15.75" customHeight="1">
      <c r="B823" s="181"/>
      <c r="E823" s="182"/>
      <c r="F823" s="183"/>
      <c r="G823" s="183"/>
      <c r="H823" s="182"/>
      <c r="I823" s="184"/>
      <c r="J823" s="185"/>
      <c r="K823" s="207"/>
    </row>
    <row r="824" ht="15.75" customHeight="1">
      <c r="B824" s="181"/>
      <c r="E824" s="182"/>
      <c r="F824" s="183"/>
      <c r="G824" s="183"/>
      <c r="H824" s="182"/>
      <c r="I824" s="184"/>
      <c r="J824" s="185"/>
      <c r="K824" s="207"/>
    </row>
    <row r="825" ht="15.75" customHeight="1">
      <c r="B825" s="181"/>
      <c r="E825" s="182"/>
      <c r="F825" s="183"/>
      <c r="G825" s="183"/>
      <c r="H825" s="182"/>
      <c r="I825" s="184"/>
      <c r="J825" s="185"/>
      <c r="K825" s="207"/>
    </row>
    <row r="826" ht="15.75" customHeight="1">
      <c r="B826" s="181"/>
      <c r="E826" s="182"/>
      <c r="F826" s="183"/>
      <c r="G826" s="183"/>
      <c r="H826" s="182"/>
      <c r="I826" s="184"/>
      <c r="J826" s="185"/>
      <c r="K826" s="207"/>
    </row>
    <row r="827" ht="15.75" customHeight="1">
      <c r="B827" s="181"/>
      <c r="E827" s="182"/>
      <c r="F827" s="183"/>
      <c r="G827" s="183"/>
      <c r="H827" s="182"/>
      <c r="I827" s="184"/>
      <c r="J827" s="185"/>
      <c r="K827" s="207"/>
    </row>
    <row r="828" ht="15.75" customHeight="1">
      <c r="B828" s="181"/>
      <c r="E828" s="182"/>
      <c r="F828" s="183"/>
      <c r="G828" s="183"/>
      <c r="H828" s="182"/>
      <c r="I828" s="184"/>
      <c r="J828" s="185"/>
      <c r="K828" s="207"/>
    </row>
    <row r="829" ht="15.75" customHeight="1">
      <c r="B829" s="181"/>
      <c r="E829" s="182"/>
      <c r="F829" s="183"/>
      <c r="G829" s="183"/>
      <c r="H829" s="182"/>
      <c r="I829" s="184"/>
      <c r="J829" s="185"/>
      <c r="K829" s="207"/>
    </row>
    <row r="830" ht="15.75" customHeight="1">
      <c r="B830" s="181"/>
      <c r="E830" s="182"/>
      <c r="F830" s="183"/>
      <c r="G830" s="183"/>
      <c r="H830" s="182"/>
      <c r="I830" s="184"/>
      <c r="J830" s="185"/>
      <c r="K830" s="207"/>
    </row>
    <row r="831" ht="15.75" customHeight="1">
      <c r="B831" s="181"/>
      <c r="E831" s="182"/>
      <c r="F831" s="183"/>
      <c r="G831" s="183"/>
      <c r="H831" s="182"/>
      <c r="I831" s="184"/>
      <c r="J831" s="185"/>
      <c r="K831" s="207"/>
    </row>
    <row r="832" ht="15.75" customHeight="1">
      <c r="B832" s="181"/>
      <c r="E832" s="182"/>
      <c r="F832" s="183"/>
      <c r="G832" s="183"/>
      <c r="H832" s="182"/>
      <c r="I832" s="184"/>
      <c r="J832" s="185"/>
      <c r="K832" s="207"/>
    </row>
    <row r="833" ht="15.75" customHeight="1">
      <c r="B833" s="181"/>
      <c r="E833" s="182"/>
      <c r="F833" s="183"/>
      <c r="G833" s="183"/>
      <c r="H833" s="182"/>
      <c r="I833" s="184"/>
      <c r="J833" s="185"/>
      <c r="K833" s="207"/>
    </row>
    <row r="834" ht="15.75" customHeight="1">
      <c r="B834" s="181"/>
      <c r="E834" s="182"/>
      <c r="F834" s="183"/>
      <c r="G834" s="183"/>
      <c r="H834" s="182"/>
      <c r="I834" s="184"/>
      <c r="J834" s="185"/>
      <c r="K834" s="207"/>
    </row>
    <row r="835" ht="15.75" customHeight="1">
      <c r="B835" s="181"/>
      <c r="E835" s="182"/>
      <c r="F835" s="183"/>
      <c r="G835" s="183"/>
      <c r="H835" s="182"/>
      <c r="I835" s="184"/>
      <c r="J835" s="185"/>
      <c r="K835" s="207"/>
    </row>
    <row r="836" ht="15.75" customHeight="1">
      <c r="B836" s="181"/>
      <c r="E836" s="182"/>
      <c r="F836" s="183"/>
      <c r="G836" s="183"/>
      <c r="H836" s="182"/>
      <c r="I836" s="184"/>
      <c r="J836" s="185"/>
      <c r="K836" s="207"/>
    </row>
    <row r="837" ht="15.75" customHeight="1">
      <c r="B837" s="181"/>
      <c r="E837" s="182"/>
      <c r="F837" s="183"/>
      <c r="G837" s="183"/>
      <c r="H837" s="182"/>
      <c r="I837" s="184"/>
      <c r="J837" s="185"/>
      <c r="K837" s="207"/>
    </row>
    <row r="838" ht="15.75" customHeight="1">
      <c r="B838" s="181"/>
      <c r="E838" s="182"/>
      <c r="F838" s="183"/>
      <c r="G838" s="183"/>
      <c r="H838" s="182"/>
      <c r="I838" s="184"/>
      <c r="J838" s="185"/>
      <c r="K838" s="207"/>
    </row>
    <row r="839" ht="15.75" customHeight="1">
      <c r="B839" s="181"/>
      <c r="E839" s="182"/>
      <c r="F839" s="183"/>
      <c r="G839" s="183"/>
      <c r="H839" s="182"/>
      <c r="I839" s="184"/>
      <c r="J839" s="185"/>
      <c r="K839" s="207"/>
    </row>
    <row r="840" ht="15.75" customHeight="1">
      <c r="B840" s="181"/>
      <c r="E840" s="182"/>
      <c r="F840" s="183"/>
      <c r="G840" s="183"/>
      <c r="H840" s="182"/>
      <c r="I840" s="184"/>
      <c r="J840" s="185"/>
      <c r="K840" s="207"/>
    </row>
    <row r="841" ht="15.75" customHeight="1">
      <c r="B841" s="181"/>
      <c r="E841" s="182"/>
      <c r="F841" s="183"/>
      <c r="G841" s="183"/>
      <c r="H841" s="182"/>
      <c r="I841" s="184"/>
      <c r="J841" s="185"/>
      <c r="K841" s="207"/>
    </row>
    <row r="842" ht="15.75" customHeight="1">
      <c r="B842" s="181"/>
      <c r="E842" s="182"/>
      <c r="F842" s="183"/>
      <c r="G842" s="183"/>
      <c r="H842" s="182"/>
      <c r="I842" s="184"/>
      <c r="J842" s="185"/>
      <c r="K842" s="207"/>
    </row>
    <row r="843" ht="15.75" customHeight="1">
      <c r="B843" s="181"/>
      <c r="E843" s="182"/>
      <c r="F843" s="183"/>
      <c r="G843" s="183"/>
      <c r="H843" s="182"/>
      <c r="I843" s="184"/>
      <c r="J843" s="185"/>
      <c r="K843" s="207"/>
    </row>
    <row r="844" ht="15.75" customHeight="1">
      <c r="B844" s="181"/>
      <c r="E844" s="182"/>
      <c r="F844" s="183"/>
      <c r="G844" s="183"/>
      <c r="H844" s="182"/>
      <c r="I844" s="184"/>
      <c r="J844" s="185"/>
      <c r="K844" s="207"/>
    </row>
    <row r="845" ht="15.75" customHeight="1">
      <c r="B845" s="181"/>
      <c r="E845" s="182"/>
      <c r="F845" s="183"/>
      <c r="G845" s="183"/>
      <c r="H845" s="182"/>
      <c r="I845" s="184"/>
      <c r="J845" s="185"/>
      <c r="K845" s="207"/>
    </row>
    <row r="846" ht="15.75" customHeight="1">
      <c r="B846" s="181"/>
      <c r="E846" s="182"/>
      <c r="F846" s="183"/>
      <c r="G846" s="183"/>
      <c r="H846" s="182"/>
      <c r="I846" s="184"/>
      <c r="J846" s="185"/>
      <c r="K846" s="207"/>
    </row>
    <row r="847" ht="15.75" customHeight="1">
      <c r="B847" s="181"/>
      <c r="E847" s="182"/>
      <c r="F847" s="183"/>
      <c r="G847" s="183"/>
      <c r="H847" s="182"/>
      <c r="I847" s="184"/>
      <c r="J847" s="185"/>
      <c r="K847" s="207"/>
    </row>
    <row r="848" ht="15.75" customHeight="1">
      <c r="B848" s="181"/>
      <c r="E848" s="182"/>
      <c r="F848" s="183"/>
      <c r="G848" s="183"/>
      <c r="H848" s="182"/>
      <c r="I848" s="184"/>
      <c r="J848" s="185"/>
      <c r="K848" s="207"/>
    </row>
    <row r="849" ht="15.75" customHeight="1">
      <c r="B849" s="181"/>
      <c r="E849" s="182"/>
      <c r="F849" s="183"/>
      <c r="G849" s="183"/>
      <c r="H849" s="182"/>
      <c r="I849" s="184"/>
      <c r="J849" s="185"/>
      <c r="K849" s="207"/>
    </row>
    <row r="850" ht="15.75" customHeight="1">
      <c r="B850" s="181"/>
      <c r="E850" s="182"/>
      <c r="F850" s="183"/>
      <c r="G850" s="183"/>
      <c r="H850" s="182"/>
      <c r="I850" s="184"/>
      <c r="J850" s="185"/>
      <c r="K850" s="207"/>
    </row>
    <row r="851" ht="15.75" customHeight="1">
      <c r="B851" s="181"/>
      <c r="E851" s="182"/>
      <c r="F851" s="183"/>
      <c r="G851" s="183"/>
      <c r="H851" s="182"/>
      <c r="I851" s="184"/>
      <c r="J851" s="185"/>
      <c r="K851" s="207"/>
    </row>
    <row r="852" ht="15.75" customHeight="1">
      <c r="B852" s="181"/>
      <c r="E852" s="182"/>
      <c r="F852" s="183"/>
      <c r="G852" s="183"/>
      <c r="H852" s="182"/>
      <c r="I852" s="184"/>
      <c r="J852" s="185"/>
      <c r="K852" s="207"/>
    </row>
    <row r="853" ht="15.75" customHeight="1">
      <c r="B853" s="181"/>
      <c r="E853" s="182"/>
      <c r="F853" s="183"/>
      <c r="G853" s="183"/>
      <c r="H853" s="182"/>
      <c r="I853" s="184"/>
      <c r="J853" s="185"/>
      <c r="K853" s="207"/>
    </row>
    <row r="854" ht="15.75" customHeight="1">
      <c r="B854" s="181"/>
      <c r="E854" s="182"/>
      <c r="F854" s="183"/>
      <c r="G854" s="183"/>
      <c r="H854" s="182"/>
      <c r="I854" s="184"/>
      <c r="J854" s="185"/>
      <c r="K854" s="207"/>
    </row>
    <row r="855" ht="15.75" customHeight="1">
      <c r="B855" s="181"/>
      <c r="E855" s="182"/>
      <c r="F855" s="183"/>
      <c r="G855" s="183"/>
      <c r="H855" s="182"/>
      <c r="I855" s="184"/>
      <c r="J855" s="185"/>
      <c r="K855" s="207"/>
    </row>
    <row r="856" ht="15.75" customHeight="1">
      <c r="B856" s="181"/>
      <c r="E856" s="182"/>
      <c r="F856" s="183"/>
      <c r="G856" s="183"/>
      <c r="H856" s="182"/>
      <c r="I856" s="184"/>
      <c r="J856" s="185"/>
      <c r="K856" s="207"/>
    </row>
    <row r="857" ht="15.75" customHeight="1">
      <c r="B857" s="181"/>
      <c r="E857" s="182"/>
      <c r="F857" s="183"/>
      <c r="G857" s="183"/>
      <c r="H857" s="182"/>
      <c r="I857" s="184"/>
      <c r="J857" s="185"/>
      <c r="K857" s="207"/>
    </row>
    <row r="858" ht="15.75" customHeight="1">
      <c r="B858" s="181"/>
      <c r="E858" s="182"/>
      <c r="F858" s="183"/>
      <c r="G858" s="183"/>
      <c r="H858" s="182"/>
      <c r="I858" s="184"/>
      <c r="J858" s="185"/>
      <c r="K858" s="207"/>
    </row>
    <row r="859" ht="15.75" customHeight="1">
      <c r="B859" s="181"/>
      <c r="E859" s="182"/>
      <c r="F859" s="183"/>
      <c r="G859" s="183"/>
      <c r="H859" s="182"/>
      <c r="I859" s="184"/>
      <c r="J859" s="185"/>
      <c r="K859" s="207"/>
    </row>
    <row r="860" ht="15.75" customHeight="1">
      <c r="B860" s="181"/>
      <c r="E860" s="182"/>
      <c r="F860" s="183"/>
      <c r="G860" s="183"/>
      <c r="H860" s="182"/>
      <c r="I860" s="184"/>
      <c r="J860" s="185"/>
      <c r="K860" s="207"/>
    </row>
    <row r="861" ht="15.75" customHeight="1">
      <c r="B861" s="181"/>
      <c r="E861" s="182"/>
      <c r="F861" s="183"/>
      <c r="G861" s="183"/>
      <c r="H861" s="182"/>
      <c r="I861" s="184"/>
      <c r="J861" s="185"/>
      <c r="K861" s="207"/>
    </row>
    <row r="862" ht="15.75" customHeight="1">
      <c r="B862" s="181"/>
      <c r="E862" s="182"/>
      <c r="F862" s="183"/>
      <c r="G862" s="183"/>
      <c r="H862" s="182"/>
      <c r="I862" s="184"/>
      <c r="J862" s="185"/>
      <c r="K862" s="207"/>
    </row>
    <row r="863" ht="15.75" customHeight="1">
      <c r="B863" s="181"/>
      <c r="E863" s="182"/>
      <c r="F863" s="183"/>
      <c r="G863" s="183"/>
      <c r="H863" s="182"/>
      <c r="I863" s="184"/>
      <c r="J863" s="185"/>
      <c r="K863" s="207"/>
    </row>
    <row r="864" ht="15.75" customHeight="1">
      <c r="B864" s="181"/>
      <c r="E864" s="182"/>
      <c r="F864" s="183"/>
      <c r="G864" s="183"/>
      <c r="H864" s="182"/>
      <c r="I864" s="184"/>
      <c r="J864" s="185"/>
      <c r="K864" s="207"/>
    </row>
    <row r="865" ht="15.75" customHeight="1">
      <c r="B865" s="181"/>
      <c r="E865" s="182"/>
      <c r="F865" s="183"/>
      <c r="G865" s="183"/>
      <c r="H865" s="182"/>
      <c r="I865" s="184"/>
      <c r="J865" s="185"/>
      <c r="K865" s="207"/>
    </row>
    <row r="866" ht="15.75" customHeight="1">
      <c r="B866" s="181"/>
      <c r="E866" s="182"/>
      <c r="F866" s="183"/>
      <c r="G866" s="183"/>
      <c r="H866" s="182"/>
      <c r="I866" s="184"/>
      <c r="J866" s="185"/>
      <c r="K866" s="207"/>
    </row>
    <row r="867" ht="15.75" customHeight="1">
      <c r="B867" s="181"/>
      <c r="E867" s="182"/>
      <c r="F867" s="183"/>
      <c r="G867" s="183"/>
      <c r="H867" s="182"/>
      <c r="I867" s="184"/>
      <c r="J867" s="185"/>
      <c r="K867" s="207"/>
    </row>
    <row r="868" ht="15.75" customHeight="1">
      <c r="B868" s="181"/>
      <c r="E868" s="182"/>
      <c r="F868" s="183"/>
      <c r="G868" s="183"/>
      <c r="H868" s="182"/>
      <c r="I868" s="184"/>
      <c r="J868" s="185"/>
      <c r="K868" s="207"/>
    </row>
    <row r="869" ht="15.75" customHeight="1">
      <c r="B869" s="181"/>
      <c r="E869" s="182"/>
      <c r="F869" s="183"/>
      <c r="G869" s="183"/>
      <c r="H869" s="182"/>
      <c r="I869" s="184"/>
      <c r="J869" s="185"/>
      <c r="K869" s="207"/>
    </row>
    <row r="870" ht="15.75" customHeight="1">
      <c r="B870" s="181"/>
      <c r="E870" s="182"/>
      <c r="F870" s="183"/>
      <c r="G870" s="183"/>
      <c r="H870" s="182"/>
      <c r="I870" s="184"/>
      <c r="J870" s="185"/>
      <c r="K870" s="207"/>
    </row>
    <row r="871" ht="15.75" customHeight="1">
      <c r="B871" s="181"/>
      <c r="E871" s="182"/>
      <c r="F871" s="183"/>
      <c r="G871" s="183"/>
      <c r="H871" s="182"/>
      <c r="I871" s="184"/>
      <c r="J871" s="185"/>
      <c r="K871" s="207"/>
    </row>
    <row r="872" ht="15.75" customHeight="1">
      <c r="B872" s="181"/>
      <c r="E872" s="182"/>
      <c r="F872" s="183"/>
      <c r="G872" s="183"/>
      <c r="H872" s="182"/>
      <c r="I872" s="184"/>
      <c r="J872" s="185"/>
      <c r="K872" s="207"/>
    </row>
    <row r="873" ht="15.75" customHeight="1">
      <c r="B873" s="181"/>
      <c r="E873" s="182"/>
      <c r="F873" s="183"/>
      <c r="G873" s="183"/>
      <c r="H873" s="182"/>
      <c r="I873" s="184"/>
      <c r="J873" s="185"/>
      <c r="K873" s="207"/>
    </row>
    <row r="874" ht="15.75" customHeight="1">
      <c r="B874" s="181"/>
      <c r="E874" s="182"/>
      <c r="F874" s="183"/>
      <c r="G874" s="183"/>
      <c r="H874" s="182"/>
      <c r="I874" s="184"/>
      <c r="J874" s="185"/>
      <c r="K874" s="207"/>
    </row>
    <row r="875" ht="15.75" customHeight="1">
      <c r="B875" s="181"/>
      <c r="E875" s="182"/>
      <c r="F875" s="183"/>
      <c r="G875" s="183"/>
      <c r="H875" s="182"/>
      <c r="I875" s="184"/>
      <c r="J875" s="185"/>
      <c r="K875" s="207"/>
    </row>
    <row r="876" ht="15.75" customHeight="1">
      <c r="B876" s="181"/>
      <c r="E876" s="182"/>
      <c r="F876" s="183"/>
      <c r="G876" s="183"/>
      <c r="H876" s="182"/>
      <c r="I876" s="184"/>
      <c r="J876" s="185"/>
      <c r="K876" s="207"/>
    </row>
    <row r="877" ht="15.75" customHeight="1">
      <c r="B877" s="181"/>
      <c r="E877" s="182"/>
      <c r="F877" s="183"/>
      <c r="G877" s="183"/>
      <c r="H877" s="182"/>
      <c r="I877" s="184"/>
      <c r="J877" s="185"/>
      <c r="K877" s="207"/>
    </row>
    <row r="878" ht="15.75" customHeight="1">
      <c r="B878" s="181"/>
      <c r="E878" s="182"/>
      <c r="F878" s="183"/>
      <c r="G878" s="183"/>
      <c r="H878" s="182"/>
      <c r="I878" s="184"/>
      <c r="J878" s="185"/>
      <c r="K878" s="207"/>
    </row>
    <row r="879" ht="15.75" customHeight="1">
      <c r="B879" s="181"/>
      <c r="E879" s="182"/>
      <c r="F879" s="183"/>
      <c r="G879" s="183"/>
      <c r="H879" s="182"/>
      <c r="I879" s="184"/>
      <c r="J879" s="185"/>
      <c r="K879" s="207"/>
    </row>
    <row r="880" ht="15.75" customHeight="1">
      <c r="B880" s="181"/>
      <c r="E880" s="182"/>
      <c r="F880" s="183"/>
      <c r="G880" s="183"/>
      <c r="H880" s="182"/>
      <c r="I880" s="184"/>
      <c r="J880" s="185"/>
      <c r="K880" s="207"/>
    </row>
    <row r="881" ht="15.75" customHeight="1">
      <c r="B881" s="181"/>
      <c r="E881" s="182"/>
      <c r="F881" s="183"/>
      <c r="G881" s="183"/>
      <c r="H881" s="182"/>
      <c r="I881" s="184"/>
      <c r="J881" s="185"/>
      <c r="K881" s="207"/>
    </row>
    <row r="882" ht="15.75" customHeight="1">
      <c r="B882" s="181"/>
      <c r="E882" s="182"/>
      <c r="F882" s="183"/>
      <c r="G882" s="183"/>
      <c r="H882" s="182"/>
      <c r="I882" s="184"/>
      <c r="J882" s="185"/>
      <c r="K882" s="207"/>
    </row>
    <row r="883" ht="15.75" customHeight="1">
      <c r="B883" s="181"/>
      <c r="E883" s="182"/>
      <c r="F883" s="183"/>
      <c r="G883" s="183"/>
      <c r="H883" s="182"/>
      <c r="I883" s="184"/>
      <c r="J883" s="185"/>
      <c r="K883" s="207"/>
    </row>
    <row r="884" ht="15.75" customHeight="1">
      <c r="B884" s="181"/>
      <c r="E884" s="182"/>
      <c r="F884" s="183"/>
      <c r="G884" s="183"/>
      <c r="H884" s="182"/>
      <c r="I884" s="184"/>
      <c r="J884" s="185"/>
      <c r="K884" s="207"/>
    </row>
    <row r="885" ht="15.75" customHeight="1">
      <c r="B885" s="181"/>
      <c r="E885" s="182"/>
      <c r="F885" s="183"/>
      <c r="G885" s="183"/>
      <c r="H885" s="182"/>
      <c r="I885" s="184"/>
      <c r="J885" s="185"/>
      <c r="K885" s="207"/>
    </row>
    <row r="886" ht="15.75" customHeight="1">
      <c r="B886" s="181"/>
      <c r="E886" s="182"/>
      <c r="F886" s="183"/>
      <c r="G886" s="183"/>
      <c r="H886" s="182"/>
      <c r="I886" s="184"/>
      <c r="J886" s="185"/>
      <c r="K886" s="207"/>
    </row>
    <row r="887" ht="15.75" customHeight="1">
      <c r="B887" s="181"/>
      <c r="E887" s="182"/>
      <c r="F887" s="183"/>
      <c r="G887" s="183"/>
      <c r="H887" s="182"/>
      <c r="I887" s="184"/>
      <c r="J887" s="185"/>
      <c r="K887" s="207"/>
    </row>
    <row r="888" ht="15.75" customHeight="1">
      <c r="B888" s="181"/>
      <c r="E888" s="182"/>
      <c r="F888" s="183"/>
      <c r="G888" s="183"/>
      <c r="H888" s="182"/>
      <c r="I888" s="184"/>
      <c r="J888" s="185"/>
      <c r="K888" s="207"/>
    </row>
    <row r="889" ht="15.75" customHeight="1">
      <c r="B889" s="181"/>
      <c r="E889" s="182"/>
      <c r="F889" s="183"/>
      <c r="G889" s="183"/>
      <c r="H889" s="182"/>
      <c r="I889" s="184"/>
      <c r="J889" s="185"/>
      <c r="K889" s="207"/>
    </row>
    <row r="890" ht="15.75" customHeight="1">
      <c r="B890" s="181"/>
      <c r="E890" s="182"/>
      <c r="F890" s="183"/>
      <c r="G890" s="183"/>
      <c r="H890" s="182"/>
      <c r="I890" s="184"/>
      <c r="J890" s="185"/>
      <c r="K890" s="207"/>
    </row>
    <row r="891" ht="15.75" customHeight="1">
      <c r="B891" s="181"/>
      <c r="E891" s="182"/>
      <c r="F891" s="183"/>
      <c r="G891" s="183"/>
      <c r="H891" s="182"/>
      <c r="I891" s="184"/>
      <c r="J891" s="185"/>
      <c r="K891" s="207"/>
    </row>
    <row r="892" ht="15.75" customHeight="1">
      <c r="B892" s="181"/>
      <c r="E892" s="182"/>
      <c r="F892" s="183"/>
      <c r="G892" s="183"/>
      <c r="H892" s="182"/>
      <c r="I892" s="184"/>
      <c r="J892" s="185"/>
      <c r="K892" s="207"/>
    </row>
    <row r="893" ht="15.75" customHeight="1">
      <c r="B893" s="181"/>
      <c r="E893" s="182"/>
      <c r="F893" s="183"/>
      <c r="G893" s="183"/>
      <c r="H893" s="182"/>
      <c r="I893" s="184"/>
      <c r="J893" s="185"/>
      <c r="K893" s="207"/>
    </row>
    <row r="894" ht="15.75" customHeight="1">
      <c r="B894" s="181"/>
      <c r="E894" s="182"/>
      <c r="F894" s="183"/>
      <c r="G894" s="183"/>
      <c r="H894" s="182"/>
      <c r="I894" s="184"/>
      <c r="J894" s="185"/>
      <c r="K894" s="207"/>
    </row>
    <row r="895" ht="15.75" customHeight="1">
      <c r="B895" s="181"/>
      <c r="E895" s="182"/>
      <c r="F895" s="183"/>
      <c r="G895" s="183"/>
      <c r="H895" s="182"/>
      <c r="I895" s="184"/>
      <c r="J895" s="185"/>
      <c r="K895" s="207"/>
    </row>
    <row r="896" ht="15.75" customHeight="1">
      <c r="B896" s="181"/>
      <c r="E896" s="182"/>
      <c r="F896" s="183"/>
      <c r="G896" s="183"/>
      <c r="H896" s="182"/>
      <c r="I896" s="184"/>
      <c r="J896" s="185"/>
      <c r="K896" s="207"/>
    </row>
    <row r="897" ht="15.75" customHeight="1">
      <c r="B897" s="181"/>
      <c r="E897" s="182"/>
      <c r="F897" s="183"/>
      <c r="G897" s="183"/>
      <c r="H897" s="182"/>
      <c r="I897" s="184"/>
      <c r="J897" s="185"/>
      <c r="K897" s="207"/>
    </row>
    <row r="898" ht="15.75" customHeight="1">
      <c r="B898" s="181"/>
      <c r="E898" s="182"/>
      <c r="F898" s="183"/>
      <c r="G898" s="183"/>
      <c r="H898" s="182"/>
      <c r="I898" s="184"/>
      <c r="J898" s="185"/>
      <c r="K898" s="207"/>
    </row>
    <row r="899" ht="15.75" customHeight="1">
      <c r="B899" s="181"/>
      <c r="E899" s="182"/>
      <c r="F899" s="183"/>
      <c r="G899" s="183"/>
      <c r="H899" s="182"/>
      <c r="I899" s="184"/>
      <c r="J899" s="185"/>
      <c r="K899" s="207"/>
    </row>
    <row r="900" ht="15.75" customHeight="1">
      <c r="B900" s="181"/>
      <c r="E900" s="182"/>
      <c r="F900" s="183"/>
      <c r="G900" s="183"/>
      <c r="H900" s="182"/>
      <c r="I900" s="184"/>
      <c r="J900" s="185"/>
      <c r="K900" s="207"/>
    </row>
    <row r="901" ht="15.75" customHeight="1">
      <c r="B901" s="181"/>
      <c r="E901" s="182"/>
      <c r="F901" s="183"/>
      <c r="G901" s="183"/>
      <c r="H901" s="182"/>
      <c r="I901" s="184"/>
      <c r="J901" s="185"/>
      <c r="K901" s="207"/>
    </row>
    <row r="902" ht="15.75" customHeight="1">
      <c r="B902" s="181"/>
      <c r="E902" s="182"/>
      <c r="F902" s="183"/>
      <c r="G902" s="183"/>
      <c r="H902" s="182"/>
      <c r="I902" s="184"/>
      <c r="J902" s="185"/>
      <c r="K902" s="207"/>
    </row>
    <row r="903" ht="15.75" customHeight="1">
      <c r="B903" s="181"/>
      <c r="E903" s="182"/>
      <c r="F903" s="183"/>
      <c r="G903" s="183"/>
      <c r="H903" s="182"/>
      <c r="I903" s="184"/>
      <c r="J903" s="185"/>
      <c r="K903" s="207"/>
    </row>
    <row r="904" ht="15.75" customHeight="1">
      <c r="B904" s="181"/>
      <c r="E904" s="182"/>
      <c r="F904" s="183"/>
      <c r="G904" s="183"/>
      <c r="H904" s="182"/>
      <c r="I904" s="184"/>
      <c r="J904" s="185"/>
      <c r="K904" s="207"/>
    </row>
    <row r="905" ht="15.75" customHeight="1">
      <c r="B905" s="181"/>
      <c r="E905" s="182"/>
      <c r="F905" s="183"/>
      <c r="G905" s="183"/>
      <c r="H905" s="182"/>
      <c r="I905" s="184"/>
      <c r="J905" s="185"/>
      <c r="K905" s="207"/>
    </row>
    <row r="906" ht="15.75" customHeight="1">
      <c r="B906" s="181"/>
      <c r="E906" s="182"/>
      <c r="F906" s="183"/>
      <c r="G906" s="183"/>
      <c r="H906" s="182"/>
      <c r="I906" s="184"/>
      <c r="J906" s="185"/>
      <c r="K906" s="207"/>
    </row>
    <row r="907" ht="15.75" customHeight="1">
      <c r="B907" s="181"/>
      <c r="E907" s="182"/>
      <c r="F907" s="183"/>
      <c r="G907" s="183"/>
      <c r="H907" s="182"/>
      <c r="I907" s="184"/>
      <c r="J907" s="185"/>
      <c r="K907" s="207"/>
    </row>
    <row r="908" ht="15.75" customHeight="1">
      <c r="B908" s="181"/>
      <c r="E908" s="182"/>
      <c r="F908" s="183"/>
      <c r="G908" s="183"/>
      <c r="H908" s="182"/>
      <c r="I908" s="184"/>
      <c r="J908" s="185"/>
      <c r="K908" s="207"/>
    </row>
    <row r="909" ht="15.75" customHeight="1">
      <c r="B909" s="181"/>
      <c r="E909" s="182"/>
      <c r="F909" s="183"/>
      <c r="G909" s="183"/>
      <c r="H909" s="182"/>
      <c r="I909" s="184"/>
      <c r="J909" s="185"/>
      <c r="K909" s="207"/>
    </row>
    <row r="910" ht="15.75" customHeight="1">
      <c r="B910" s="181"/>
      <c r="E910" s="182"/>
      <c r="F910" s="183"/>
      <c r="G910" s="183"/>
      <c r="H910" s="182"/>
      <c r="I910" s="184"/>
      <c r="J910" s="185"/>
      <c r="K910" s="207"/>
    </row>
    <row r="911" ht="15.75" customHeight="1">
      <c r="B911" s="181"/>
      <c r="E911" s="182"/>
      <c r="F911" s="183"/>
      <c r="G911" s="183"/>
      <c r="H911" s="182"/>
      <c r="I911" s="184"/>
      <c r="J911" s="185"/>
      <c r="K911" s="207"/>
    </row>
    <row r="912" ht="15.75" customHeight="1">
      <c r="B912" s="181"/>
      <c r="E912" s="182"/>
      <c r="F912" s="183"/>
      <c r="G912" s="183"/>
      <c r="H912" s="182"/>
      <c r="I912" s="184"/>
      <c r="J912" s="185"/>
      <c r="K912" s="207"/>
    </row>
    <row r="913" ht="15.75" customHeight="1">
      <c r="B913" s="181"/>
      <c r="E913" s="182"/>
      <c r="F913" s="183"/>
      <c r="G913" s="183"/>
      <c r="H913" s="182"/>
      <c r="I913" s="184"/>
      <c r="J913" s="185"/>
      <c r="K913" s="207"/>
    </row>
    <row r="914" ht="15.75" customHeight="1">
      <c r="B914" s="181"/>
      <c r="E914" s="182"/>
      <c r="F914" s="183"/>
      <c r="G914" s="183"/>
      <c r="H914" s="182"/>
      <c r="I914" s="184"/>
      <c r="J914" s="185"/>
      <c r="K914" s="207"/>
    </row>
    <row r="915" ht="15.75" customHeight="1">
      <c r="B915" s="181"/>
      <c r="E915" s="182"/>
      <c r="F915" s="183"/>
      <c r="G915" s="183"/>
      <c r="H915" s="182"/>
      <c r="I915" s="184"/>
      <c r="J915" s="185"/>
      <c r="K915" s="207"/>
    </row>
    <row r="916" ht="15.75" customHeight="1">
      <c r="B916" s="181"/>
      <c r="E916" s="182"/>
      <c r="F916" s="183"/>
      <c r="G916" s="183"/>
      <c r="H916" s="182"/>
      <c r="I916" s="184"/>
      <c r="J916" s="185"/>
      <c r="K916" s="207"/>
    </row>
    <row r="917" ht="15.75" customHeight="1">
      <c r="B917" s="181"/>
      <c r="E917" s="182"/>
      <c r="F917" s="183"/>
      <c r="G917" s="183"/>
      <c r="H917" s="182"/>
      <c r="I917" s="184"/>
      <c r="J917" s="185"/>
      <c r="K917" s="207"/>
    </row>
    <row r="918" ht="15.75" customHeight="1">
      <c r="B918" s="181"/>
      <c r="E918" s="182"/>
      <c r="F918" s="183"/>
      <c r="G918" s="183"/>
      <c r="H918" s="182"/>
      <c r="I918" s="184"/>
      <c r="J918" s="185"/>
      <c r="K918" s="207"/>
    </row>
    <row r="919" ht="15.75" customHeight="1">
      <c r="B919" s="181"/>
      <c r="E919" s="182"/>
      <c r="F919" s="183"/>
      <c r="G919" s="183"/>
      <c r="H919" s="182"/>
      <c r="I919" s="184"/>
      <c r="J919" s="185"/>
      <c r="K919" s="207"/>
    </row>
    <row r="920" ht="15.75" customHeight="1">
      <c r="B920" s="181"/>
      <c r="E920" s="182"/>
      <c r="F920" s="183"/>
      <c r="G920" s="183"/>
      <c r="H920" s="182"/>
      <c r="I920" s="184"/>
      <c r="J920" s="185"/>
      <c r="K920" s="207"/>
    </row>
    <row r="921" ht="15.75" customHeight="1">
      <c r="B921" s="181"/>
      <c r="E921" s="182"/>
      <c r="F921" s="183"/>
      <c r="G921" s="183"/>
      <c r="H921" s="182"/>
      <c r="I921" s="184"/>
      <c r="J921" s="185"/>
      <c r="K921" s="207"/>
    </row>
    <row r="922" ht="15.75" customHeight="1">
      <c r="B922" s="181"/>
      <c r="E922" s="182"/>
      <c r="F922" s="183"/>
      <c r="G922" s="183"/>
      <c r="H922" s="182"/>
      <c r="I922" s="184"/>
      <c r="J922" s="185"/>
      <c r="K922" s="207"/>
    </row>
    <row r="923" ht="15.75" customHeight="1">
      <c r="B923" s="181"/>
      <c r="E923" s="182"/>
      <c r="F923" s="183"/>
      <c r="G923" s="183"/>
      <c r="H923" s="182"/>
      <c r="I923" s="184"/>
      <c r="J923" s="185"/>
      <c r="K923" s="207"/>
    </row>
    <row r="924" ht="15.75" customHeight="1">
      <c r="B924" s="181"/>
      <c r="E924" s="182"/>
      <c r="F924" s="183"/>
      <c r="G924" s="183"/>
      <c r="H924" s="182"/>
      <c r="I924" s="184"/>
      <c r="J924" s="185"/>
      <c r="K924" s="207"/>
    </row>
    <row r="925" ht="15.75" customHeight="1">
      <c r="B925" s="181"/>
      <c r="E925" s="182"/>
      <c r="F925" s="183"/>
      <c r="G925" s="183"/>
      <c r="H925" s="182"/>
      <c r="I925" s="184"/>
      <c r="J925" s="185"/>
      <c r="K925" s="207"/>
    </row>
    <row r="926" ht="15.75" customHeight="1">
      <c r="B926" s="181"/>
      <c r="E926" s="182"/>
      <c r="F926" s="183"/>
      <c r="G926" s="183"/>
      <c r="H926" s="182"/>
      <c r="I926" s="184"/>
      <c r="J926" s="185"/>
      <c r="K926" s="207"/>
    </row>
    <row r="927" ht="15.75" customHeight="1">
      <c r="B927" s="181"/>
      <c r="E927" s="182"/>
      <c r="F927" s="183"/>
      <c r="G927" s="183"/>
      <c r="H927" s="182"/>
      <c r="I927" s="184"/>
      <c r="J927" s="185"/>
      <c r="K927" s="207"/>
    </row>
    <row r="928" ht="15.75" customHeight="1">
      <c r="B928" s="181"/>
      <c r="E928" s="182"/>
      <c r="F928" s="183"/>
      <c r="G928" s="183"/>
      <c r="H928" s="182"/>
      <c r="I928" s="184"/>
      <c r="J928" s="185"/>
      <c r="K928" s="207"/>
    </row>
    <row r="929" ht="15.75" customHeight="1">
      <c r="B929" s="181"/>
      <c r="E929" s="182"/>
      <c r="F929" s="183"/>
      <c r="G929" s="183"/>
      <c r="H929" s="182"/>
      <c r="I929" s="184"/>
      <c r="J929" s="185"/>
      <c r="K929" s="207"/>
    </row>
    <row r="930" ht="15.75" customHeight="1">
      <c r="B930" s="181"/>
      <c r="E930" s="182"/>
      <c r="F930" s="183"/>
      <c r="G930" s="183"/>
      <c r="H930" s="182"/>
      <c r="I930" s="184"/>
      <c r="J930" s="185"/>
      <c r="K930" s="207"/>
    </row>
    <row r="931" ht="15.75" customHeight="1">
      <c r="B931" s="181"/>
      <c r="E931" s="182"/>
      <c r="F931" s="183"/>
      <c r="G931" s="183"/>
      <c r="H931" s="182"/>
      <c r="I931" s="184"/>
      <c r="J931" s="185"/>
      <c r="K931" s="207"/>
    </row>
    <row r="932" ht="15.75" customHeight="1">
      <c r="B932" s="181"/>
      <c r="E932" s="182"/>
      <c r="F932" s="183"/>
      <c r="G932" s="183"/>
      <c r="H932" s="182"/>
      <c r="I932" s="184"/>
      <c r="J932" s="185"/>
      <c r="K932" s="207"/>
    </row>
    <row r="933" ht="15.75" customHeight="1">
      <c r="B933" s="181"/>
      <c r="E933" s="182"/>
      <c r="F933" s="183"/>
      <c r="G933" s="183"/>
      <c r="H933" s="182"/>
      <c r="I933" s="184"/>
      <c r="J933" s="185"/>
      <c r="K933" s="207"/>
    </row>
    <row r="934" ht="15.75" customHeight="1">
      <c r="B934" s="181"/>
      <c r="E934" s="182"/>
      <c r="F934" s="183"/>
      <c r="G934" s="183"/>
      <c r="H934" s="182"/>
      <c r="I934" s="184"/>
      <c r="J934" s="185"/>
      <c r="K934" s="207"/>
    </row>
    <row r="935" ht="15.75" customHeight="1">
      <c r="B935" s="181"/>
      <c r="E935" s="182"/>
      <c r="F935" s="183"/>
      <c r="G935" s="183"/>
      <c r="H935" s="182"/>
      <c r="I935" s="184"/>
      <c r="J935" s="185"/>
      <c r="K935" s="207"/>
    </row>
    <row r="936" ht="15.75" customHeight="1">
      <c r="B936" s="181"/>
      <c r="E936" s="182"/>
      <c r="F936" s="183"/>
      <c r="G936" s="183"/>
      <c r="H936" s="182"/>
      <c r="I936" s="184"/>
      <c r="J936" s="185"/>
      <c r="K936" s="207"/>
    </row>
    <row r="937" ht="15.75" customHeight="1">
      <c r="B937" s="181"/>
      <c r="E937" s="182"/>
      <c r="F937" s="183"/>
      <c r="G937" s="183"/>
      <c r="H937" s="182"/>
      <c r="I937" s="184"/>
      <c r="J937" s="185"/>
      <c r="K937" s="207"/>
    </row>
    <row r="938" ht="15.75" customHeight="1">
      <c r="B938" s="181"/>
      <c r="E938" s="182"/>
      <c r="F938" s="183"/>
      <c r="G938" s="183"/>
      <c r="H938" s="182"/>
      <c r="I938" s="184"/>
      <c r="J938" s="185"/>
      <c r="K938" s="207"/>
    </row>
    <row r="939" ht="15.75" customHeight="1">
      <c r="B939" s="181"/>
      <c r="E939" s="182"/>
      <c r="F939" s="183"/>
      <c r="G939" s="183"/>
      <c r="H939" s="182"/>
      <c r="I939" s="184"/>
      <c r="J939" s="185"/>
      <c r="K939" s="207"/>
    </row>
    <row r="940" ht="15.75" customHeight="1">
      <c r="B940" s="181"/>
      <c r="E940" s="182"/>
      <c r="F940" s="183"/>
      <c r="G940" s="183"/>
      <c r="H940" s="182"/>
      <c r="I940" s="184"/>
      <c r="J940" s="185"/>
      <c r="K940" s="207"/>
    </row>
    <row r="941" ht="15.75" customHeight="1">
      <c r="B941" s="181"/>
      <c r="E941" s="182"/>
      <c r="F941" s="183"/>
      <c r="G941" s="183"/>
      <c r="H941" s="182"/>
      <c r="I941" s="184"/>
      <c r="J941" s="185"/>
      <c r="K941" s="207"/>
    </row>
    <row r="942" ht="15.75" customHeight="1">
      <c r="B942" s="181"/>
      <c r="E942" s="182"/>
      <c r="F942" s="183"/>
      <c r="G942" s="183"/>
      <c r="H942" s="182"/>
      <c r="I942" s="184"/>
      <c r="J942" s="185"/>
      <c r="K942" s="207"/>
    </row>
    <row r="943" ht="15.75" customHeight="1">
      <c r="B943" s="181"/>
      <c r="E943" s="182"/>
      <c r="F943" s="183"/>
      <c r="G943" s="183"/>
      <c r="H943" s="182"/>
      <c r="I943" s="184"/>
      <c r="J943" s="185"/>
      <c r="K943" s="207"/>
    </row>
    <row r="944" ht="15.75" customHeight="1">
      <c r="B944" s="181"/>
      <c r="E944" s="182"/>
      <c r="F944" s="183"/>
      <c r="G944" s="183"/>
      <c r="H944" s="182"/>
      <c r="I944" s="184"/>
      <c r="J944" s="185"/>
      <c r="K944" s="207"/>
    </row>
    <row r="945" ht="15.75" customHeight="1">
      <c r="B945" s="181"/>
      <c r="E945" s="182"/>
      <c r="F945" s="183"/>
      <c r="G945" s="183"/>
      <c r="H945" s="182"/>
      <c r="I945" s="184"/>
      <c r="J945" s="185"/>
      <c r="K945" s="207"/>
    </row>
    <row r="946" ht="15.75" customHeight="1">
      <c r="B946" s="181"/>
      <c r="E946" s="182"/>
      <c r="F946" s="183"/>
      <c r="G946" s="183"/>
      <c r="H946" s="182"/>
      <c r="I946" s="184"/>
      <c r="J946" s="185"/>
      <c r="K946" s="207"/>
    </row>
    <row r="947" ht="15.75" customHeight="1">
      <c r="B947" s="181"/>
      <c r="E947" s="182"/>
      <c r="F947" s="183"/>
      <c r="G947" s="183"/>
      <c r="H947" s="182"/>
      <c r="I947" s="184"/>
      <c r="J947" s="185"/>
      <c r="K947" s="207"/>
    </row>
    <row r="948" ht="15.75" customHeight="1">
      <c r="B948" s="181"/>
      <c r="E948" s="182"/>
      <c r="F948" s="183"/>
      <c r="G948" s="183"/>
      <c r="H948" s="182"/>
      <c r="I948" s="184"/>
      <c r="J948" s="185"/>
      <c r="K948" s="207"/>
    </row>
    <row r="949" ht="15.75" customHeight="1">
      <c r="B949" s="181"/>
      <c r="E949" s="182"/>
      <c r="F949" s="183"/>
      <c r="G949" s="183"/>
      <c r="H949" s="182"/>
      <c r="I949" s="184"/>
      <c r="J949" s="185"/>
      <c r="K949" s="207"/>
    </row>
    <row r="950" ht="15.75" customHeight="1">
      <c r="B950" s="181"/>
      <c r="E950" s="182"/>
      <c r="F950" s="183"/>
      <c r="G950" s="183"/>
      <c r="H950" s="182"/>
      <c r="I950" s="184"/>
      <c r="J950" s="185"/>
      <c r="K950" s="207"/>
    </row>
    <row r="951" ht="15.75" customHeight="1">
      <c r="B951" s="181"/>
      <c r="E951" s="182"/>
      <c r="F951" s="183"/>
      <c r="G951" s="183"/>
      <c r="H951" s="182"/>
      <c r="I951" s="184"/>
      <c r="J951" s="185"/>
      <c r="K951" s="207"/>
    </row>
    <row r="952" ht="15.75" customHeight="1">
      <c r="B952" s="181"/>
      <c r="E952" s="182"/>
      <c r="F952" s="183"/>
      <c r="G952" s="183"/>
      <c r="H952" s="182"/>
      <c r="I952" s="184"/>
      <c r="J952" s="185"/>
      <c r="K952" s="207"/>
    </row>
    <row r="953" ht="15.75" customHeight="1">
      <c r="B953" s="181"/>
      <c r="E953" s="182"/>
      <c r="F953" s="183"/>
      <c r="G953" s="183"/>
      <c r="H953" s="182"/>
      <c r="I953" s="184"/>
      <c r="J953" s="185"/>
      <c r="K953" s="207"/>
    </row>
    <row r="954" ht="15.75" customHeight="1">
      <c r="B954" s="181"/>
      <c r="E954" s="182"/>
      <c r="F954" s="183"/>
      <c r="G954" s="183"/>
      <c r="H954" s="182"/>
      <c r="I954" s="184"/>
      <c r="J954" s="185"/>
      <c r="K954" s="207"/>
    </row>
    <row r="955" ht="15.75" customHeight="1">
      <c r="B955" s="181"/>
      <c r="E955" s="182"/>
      <c r="F955" s="183"/>
      <c r="G955" s="183"/>
      <c r="H955" s="182"/>
      <c r="I955" s="184"/>
      <c r="J955" s="185"/>
      <c r="K955" s="207"/>
    </row>
    <row r="956" ht="15.75" customHeight="1">
      <c r="B956" s="181"/>
      <c r="E956" s="182"/>
      <c r="F956" s="183"/>
      <c r="G956" s="183"/>
      <c r="H956" s="182"/>
      <c r="I956" s="184"/>
      <c r="J956" s="185"/>
      <c r="K956" s="207"/>
    </row>
    <row r="957" ht="15.75" customHeight="1">
      <c r="B957" s="181"/>
      <c r="E957" s="182"/>
      <c r="F957" s="183"/>
      <c r="G957" s="183"/>
      <c r="H957" s="182"/>
      <c r="I957" s="184"/>
      <c r="J957" s="185"/>
      <c r="K957" s="207"/>
    </row>
    <row r="958" ht="15.75" customHeight="1">
      <c r="B958" s="181"/>
      <c r="E958" s="182"/>
      <c r="F958" s="183"/>
      <c r="G958" s="183"/>
      <c r="H958" s="182"/>
      <c r="I958" s="184"/>
      <c r="J958" s="185"/>
      <c r="K958" s="207"/>
    </row>
    <row r="959" ht="15.75" customHeight="1">
      <c r="B959" s="181"/>
      <c r="E959" s="182"/>
      <c r="F959" s="183"/>
      <c r="G959" s="183"/>
      <c r="H959" s="182"/>
      <c r="I959" s="184"/>
      <c r="J959" s="185"/>
      <c r="K959" s="207"/>
    </row>
    <row r="960" ht="15.75" customHeight="1">
      <c r="B960" s="181"/>
      <c r="E960" s="182"/>
      <c r="F960" s="183"/>
      <c r="G960" s="183"/>
      <c r="H960" s="182"/>
      <c r="I960" s="184"/>
      <c r="J960" s="185"/>
      <c r="K960" s="207"/>
    </row>
    <row r="961" ht="15.75" customHeight="1">
      <c r="B961" s="181"/>
      <c r="E961" s="182"/>
      <c r="F961" s="183"/>
      <c r="G961" s="183"/>
      <c r="H961" s="182"/>
      <c r="I961" s="184"/>
      <c r="J961" s="185"/>
      <c r="K961" s="207"/>
    </row>
    <row r="962" ht="15.75" customHeight="1">
      <c r="B962" s="181"/>
      <c r="E962" s="182"/>
      <c r="F962" s="183"/>
      <c r="G962" s="183"/>
      <c r="H962" s="182"/>
      <c r="I962" s="184"/>
      <c r="J962" s="185"/>
      <c r="K962" s="207"/>
    </row>
    <row r="963" ht="15.75" customHeight="1">
      <c r="B963" s="181"/>
      <c r="E963" s="182"/>
      <c r="F963" s="183"/>
      <c r="G963" s="183"/>
      <c r="H963" s="182"/>
      <c r="I963" s="184"/>
      <c r="J963" s="185"/>
      <c r="K963" s="207"/>
    </row>
    <row r="964" ht="15.75" customHeight="1">
      <c r="B964" s="181"/>
      <c r="E964" s="182"/>
      <c r="F964" s="183"/>
      <c r="G964" s="183"/>
      <c r="H964" s="182"/>
      <c r="I964" s="184"/>
      <c r="J964" s="185"/>
      <c r="K964" s="207"/>
    </row>
    <row r="965" ht="15.75" customHeight="1">
      <c r="B965" s="181"/>
      <c r="E965" s="182"/>
      <c r="F965" s="183"/>
      <c r="G965" s="183"/>
      <c r="H965" s="182"/>
      <c r="I965" s="184"/>
      <c r="J965" s="185"/>
      <c r="K965" s="207"/>
    </row>
    <row r="966" ht="15.75" customHeight="1">
      <c r="B966" s="181"/>
      <c r="E966" s="182"/>
      <c r="F966" s="183"/>
      <c r="G966" s="183"/>
      <c r="H966" s="182"/>
      <c r="I966" s="184"/>
      <c r="J966" s="185"/>
      <c r="K966" s="207"/>
    </row>
    <row r="967" ht="15.75" customHeight="1">
      <c r="B967" s="181"/>
      <c r="E967" s="182"/>
      <c r="F967" s="183"/>
      <c r="G967" s="183"/>
      <c r="H967" s="182"/>
      <c r="I967" s="184"/>
      <c r="J967" s="185"/>
      <c r="K967" s="207"/>
    </row>
    <row r="968" ht="15.75" customHeight="1">
      <c r="B968" s="181"/>
      <c r="E968" s="182"/>
      <c r="F968" s="183"/>
      <c r="G968" s="183"/>
      <c r="H968" s="182"/>
      <c r="I968" s="184"/>
      <c r="J968" s="185"/>
      <c r="K968" s="207"/>
    </row>
    <row r="969" ht="15.75" customHeight="1">
      <c r="B969" s="181"/>
      <c r="E969" s="182"/>
      <c r="F969" s="183"/>
      <c r="G969" s="183"/>
      <c r="H969" s="182"/>
      <c r="I969" s="184"/>
      <c r="J969" s="185"/>
      <c r="K969" s="207"/>
    </row>
    <row r="970" ht="15.75" customHeight="1">
      <c r="B970" s="181"/>
      <c r="E970" s="182"/>
      <c r="F970" s="183"/>
      <c r="G970" s="183"/>
      <c r="H970" s="182"/>
      <c r="I970" s="184"/>
      <c r="J970" s="185"/>
      <c r="K970" s="207"/>
    </row>
    <row r="971" ht="15.75" customHeight="1">
      <c r="B971" s="181"/>
      <c r="E971" s="182"/>
      <c r="F971" s="183"/>
      <c r="G971" s="183"/>
      <c r="H971" s="182"/>
      <c r="I971" s="184"/>
      <c r="J971" s="185"/>
      <c r="K971" s="207"/>
    </row>
    <row r="972" ht="15.75" customHeight="1">
      <c r="B972" s="181"/>
      <c r="E972" s="182"/>
      <c r="F972" s="183"/>
      <c r="G972" s="183"/>
      <c r="H972" s="182"/>
      <c r="I972" s="184"/>
      <c r="J972" s="185"/>
      <c r="K972" s="207"/>
    </row>
    <row r="973" ht="15.75" customHeight="1">
      <c r="B973" s="181"/>
      <c r="E973" s="182"/>
      <c r="F973" s="183"/>
      <c r="G973" s="183"/>
      <c r="H973" s="182"/>
      <c r="I973" s="184"/>
      <c r="J973" s="185"/>
      <c r="K973" s="207"/>
    </row>
    <row r="974" ht="15.75" customHeight="1">
      <c r="B974" s="181"/>
      <c r="E974" s="182"/>
      <c r="F974" s="183"/>
      <c r="G974" s="183"/>
      <c r="H974" s="182"/>
      <c r="I974" s="184"/>
      <c r="J974" s="185"/>
      <c r="K974" s="207"/>
    </row>
    <row r="975" ht="15.75" customHeight="1">
      <c r="B975" s="181"/>
      <c r="E975" s="182"/>
      <c r="F975" s="183"/>
      <c r="G975" s="183"/>
      <c r="H975" s="182"/>
      <c r="I975" s="184"/>
      <c r="J975" s="185"/>
      <c r="K975" s="207"/>
    </row>
    <row r="976" ht="15.75" customHeight="1">
      <c r="B976" s="181"/>
      <c r="E976" s="182"/>
      <c r="F976" s="183"/>
      <c r="G976" s="183"/>
      <c r="H976" s="182"/>
      <c r="I976" s="184"/>
      <c r="J976" s="185"/>
      <c r="K976" s="207"/>
    </row>
    <row r="977" ht="15.75" customHeight="1">
      <c r="B977" s="181"/>
      <c r="E977" s="182"/>
      <c r="F977" s="183"/>
      <c r="G977" s="183"/>
      <c r="H977" s="182"/>
      <c r="I977" s="184"/>
      <c r="J977" s="185"/>
      <c r="K977" s="207"/>
    </row>
    <row r="978" ht="15.75" customHeight="1">
      <c r="B978" s="181"/>
      <c r="E978" s="182"/>
      <c r="F978" s="183"/>
      <c r="G978" s="183"/>
      <c r="H978" s="182"/>
      <c r="I978" s="184"/>
      <c r="J978" s="185"/>
      <c r="K978" s="207"/>
    </row>
    <row r="979" ht="15.75" customHeight="1">
      <c r="B979" s="181"/>
      <c r="E979" s="182"/>
      <c r="F979" s="183"/>
      <c r="G979" s="183"/>
      <c r="H979" s="182"/>
      <c r="I979" s="184"/>
      <c r="J979" s="185"/>
      <c r="K979" s="207"/>
    </row>
    <row r="980" ht="15.75" customHeight="1">
      <c r="B980" s="181"/>
      <c r="E980" s="182"/>
      <c r="F980" s="183"/>
      <c r="G980" s="183"/>
      <c r="H980" s="182"/>
      <c r="I980" s="184"/>
      <c r="J980" s="185"/>
      <c r="K980" s="207"/>
    </row>
    <row r="981" ht="15.75" customHeight="1">
      <c r="B981" s="181"/>
      <c r="E981" s="182"/>
      <c r="F981" s="183"/>
      <c r="G981" s="183"/>
      <c r="H981" s="182"/>
      <c r="I981" s="184"/>
      <c r="J981" s="185"/>
      <c r="K981" s="207"/>
    </row>
    <row r="982" ht="15.75" customHeight="1">
      <c r="B982" s="181"/>
      <c r="E982" s="182"/>
      <c r="F982" s="183"/>
      <c r="G982" s="183"/>
      <c r="H982" s="182"/>
      <c r="I982" s="184"/>
      <c r="J982" s="185"/>
      <c r="K982" s="207"/>
    </row>
    <row r="983" ht="15.75" customHeight="1">
      <c r="B983" s="181"/>
      <c r="E983" s="182"/>
      <c r="F983" s="183"/>
      <c r="G983" s="183"/>
      <c r="H983" s="182"/>
      <c r="I983" s="184"/>
      <c r="J983" s="185"/>
      <c r="K983" s="207"/>
    </row>
    <row r="984" ht="15.75" customHeight="1">
      <c r="B984" s="181"/>
      <c r="E984" s="182"/>
      <c r="F984" s="183"/>
      <c r="G984" s="183"/>
      <c r="H984" s="182"/>
      <c r="I984" s="184"/>
      <c r="J984" s="185"/>
      <c r="K984" s="207"/>
    </row>
    <row r="985" ht="15.75" customHeight="1">
      <c r="B985" s="181"/>
      <c r="E985" s="182"/>
      <c r="F985" s="183"/>
      <c r="G985" s="183"/>
      <c r="H985" s="182"/>
      <c r="I985" s="184"/>
      <c r="J985" s="185"/>
      <c r="K985" s="207"/>
    </row>
    <row r="986" ht="15.75" customHeight="1">
      <c r="B986" s="181"/>
      <c r="E986" s="182"/>
      <c r="F986" s="183"/>
      <c r="G986" s="183"/>
      <c r="H986" s="182"/>
      <c r="I986" s="184"/>
      <c r="J986" s="185"/>
      <c r="K986" s="207"/>
    </row>
    <row r="987" ht="15.75" customHeight="1">
      <c r="B987" s="181"/>
      <c r="E987" s="182"/>
      <c r="F987" s="183"/>
      <c r="G987" s="183"/>
      <c r="H987" s="182"/>
      <c r="I987" s="184"/>
      <c r="J987" s="185"/>
      <c r="K987" s="207"/>
    </row>
    <row r="988" ht="15.75" customHeight="1">
      <c r="B988" s="181"/>
      <c r="E988" s="182"/>
      <c r="F988" s="183"/>
      <c r="G988" s="183"/>
      <c r="H988" s="182"/>
      <c r="I988" s="184"/>
      <c r="J988" s="185"/>
      <c r="K988" s="207"/>
    </row>
    <row r="989" ht="15.75" customHeight="1">
      <c r="B989" s="181"/>
      <c r="E989" s="182"/>
      <c r="F989" s="183"/>
      <c r="G989" s="183"/>
      <c r="H989" s="182"/>
      <c r="I989" s="184"/>
      <c r="J989" s="185"/>
      <c r="K989" s="207"/>
    </row>
    <row r="990" ht="15.75" customHeight="1">
      <c r="B990" s="181"/>
      <c r="E990" s="182"/>
      <c r="F990" s="183"/>
      <c r="G990" s="183"/>
      <c r="H990" s="182"/>
      <c r="I990" s="184"/>
      <c r="J990" s="185"/>
      <c r="K990" s="207"/>
    </row>
    <row r="991" ht="15.75" customHeight="1">
      <c r="B991" s="181"/>
      <c r="E991" s="182"/>
      <c r="F991" s="183"/>
      <c r="G991" s="183"/>
      <c r="H991" s="182"/>
      <c r="I991" s="184"/>
      <c r="J991" s="185"/>
      <c r="K991" s="207"/>
    </row>
    <row r="992" ht="15.75" customHeight="1">
      <c r="B992" s="181"/>
      <c r="E992" s="182"/>
      <c r="F992" s="183"/>
      <c r="G992" s="183"/>
      <c r="H992" s="182"/>
      <c r="I992" s="184"/>
      <c r="J992" s="185"/>
      <c r="K992" s="207"/>
    </row>
    <row r="993" ht="15.75" customHeight="1">
      <c r="B993" s="181"/>
      <c r="E993" s="182"/>
      <c r="F993" s="183"/>
      <c r="G993" s="183"/>
      <c r="H993" s="182"/>
      <c r="I993" s="184"/>
      <c r="J993" s="185"/>
      <c r="K993" s="207"/>
    </row>
    <row r="994" ht="15.75" customHeight="1">
      <c r="B994" s="181"/>
      <c r="E994" s="182"/>
      <c r="F994" s="183"/>
      <c r="G994" s="183"/>
      <c r="H994" s="182"/>
      <c r="I994" s="184"/>
      <c r="J994" s="185"/>
      <c r="K994" s="207"/>
    </row>
    <row r="995" ht="15.75" customHeight="1">
      <c r="B995" s="181"/>
      <c r="E995" s="182"/>
      <c r="F995" s="183"/>
      <c r="G995" s="183"/>
      <c r="H995" s="182"/>
      <c r="I995" s="184"/>
      <c r="J995" s="185"/>
      <c r="K995" s="207"/>
    </row>
    <row r="996" ht="15.75" customHeight="1">
      <c r="B996" s="181"/>
      <c r="E996" s="182"/>
      <c r="F996" s="183"/>
      <c r="G996" s="183"/>
      <c r="H996" s="182"/>
      <c r="I996" s="184"/>
      <c r="J996" s="185"/>
      <c r="K996" s="207"/>
    </row>
    <row r="997" ht="15.75" customHeight="1">
      <c r="B997" s="181"/>
      <c r="E997" s="182"/>
      <c r="F997" s="183"/>
      <c r="G997" s="183"/>
      <c r="H997" s="182"/>
      <c r="I997" s="184"/>
      <c r="J997" s="185"/>
      <c r="K997" s="207"/>
    </row>
    <row r="998" ht="15.75" customHeight="1">
      <c r="B998" s="181"/>
      <c r="E998" s="182"/>
      <c r="F998" s="183"/>
      <c r="G998" s="183"/>
      <c r="H998" s="182"/>
      <c r="I998" s="184"/>
      <c r="J998" s="185"/>
      <c r="K998" s="207"/>
    </row>
    <row r="999" ht="15.75" customHeight="1">
      <c r="B999" s="181"/>
      <c r="E999" s="182"/>
      <c r="F999" s="183"/>
      <c r="G999" s="183"/>
      <c r="H999" s="182"/>
      <c r="I999" s="184"/>
      <c r="J999" s="185"/>
      <c r="K999" s="207"/>
    </row>
    <row r="1000" ht="15.75" customHeight="1">
      <c r="B1000" s="181"/>
      <c r="E1000" s="182"/>
      <c r="F1000" s="183"/>
      <c r="G1000" s="183"/>
      <c r="H1000" s="182"/>
      <c r="I1000" s="184"/>
      <c r="J1000" s="185"/>
      <c r="K1000" s="207"/>
    </row>
    <row r="1001" ht="15.75" customHeight="1">
      <c r="B1001" s="181"/>
      <c r="E1001" s="182"/>
      <c r="F1001" s="183"/>
      <c r="G1001" s="183"/>
      <c r="H1001" s="182"/>
      <c r="I1001" s="184"/>
      <c r="J1001" s="185"/>
      <c r="K1001" s="207"/>
    </row>
  </sheetData>
  <mergeCells count="4">
    <mergeCell ref="A1:K1"/>
    <mergeCell ref="C3:E3"/>
    <mergeCell ref="F3:H3"/>
    <mergeCell ref="I3:K3"/>
  </mergeCells>
  <printOptions/>
  <pageMargins bottom="0.75" footer="0.0" header="0.0" left="0.7" right="0.7" top="0.75"/>
  <pageSetup paperSize="9" scale="41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11.78"/>
    <col customWidth="1" min="3" max="3" width="11.0"/>
    <col customWidth="1" min="4" max="4" width="11.33"/>
    <col customWidth="1" min="5" max="7" width="15.11"/>
    <col customWidth="1" min="8" max="8" width="14.78"/>
    <col customWidth="1" min="9" max="9" width="11.44"/>
    <col customWidth="1" min="10" max="10" width="12.0"/>
    <col customWidth="1" min="11" max="11" width="16.89"/>
    <col customWidth="1" min="12" max="12" width="15.44"/>
    <col customWidth="1" min="13" max="13" width="12.11"/>
    <col customWidth="1" min="14" max="26" width="8.56"/>
  </cols>
  <sheetData>
    <row r="1" ht="15.75" customHeight="1">
      <c r="A1" s="179" t="s">
        <v>73</v>
      </c>
    </row>
    <row r="2" ht="15.75" customHeight="1">
      <c r="A2" s="180" t="s">
        <v>74</v>
      </c>
      <c r="B2" s="181"/>
      <c r="E2" s="183"/>
      <c r="F2" s="183"/>
      <c r="G2" s="183"/>
      <c r="H2" s="182"/>
      <c r="I2" s="171"/>
      <c r="J2" s="185"/>
      <c r="K2" s="186" t="s">
        <v>65</v>
      </c>
    </row>
    <row r="3" ht="15.75" customHeight="1">
      <c r="A3" s="260" t="s">
        <v>2</v>
      </c>
      <c r="B3" s="260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3" t="s">
        <v>71</v>
      </c>
      <c r="F4" s="195" t="s">
        <v>69</v>
      </c>
      <c r="G4" s="195" t="s">
        <v>70</v>
      </c>
      <c r="H4" s="196" t="s">
        <v>71</v>
      </c>
      <c r="I4" s="261" t="s">
        <v>69</v>
      </c>
      <c r="J4" s="198" t="s">
        <v>70</v>
      </c>
      <c r="K4" s="198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'Nagata Tuna'!B5</f>
        <v>45080</v>
      </c>
      <c r="C5" s="201">
        <f>'Nagata Tuna'!L5</f>
        <v>0</v>
      </c>
      <c r="D5" s="202" t="str">
        <f>'Nagata Tuna'!Y5</f>
        <v/>
      </c>
      <c r="E5" s="203">
        <f t="shared" ref="E5:E25" si="2">D5*C5</f>
        <v>0</v>
      </c>
      <c r="F5" s="203"/>
      <c r="G5" s="203"/>
      <c r="H5" s="202"/>
      <c r="I5" s="201">
        <f t="shared" ref="I5:J5" si="1">C5</f>
        <v>0</v>
      </c>
      <c r="J5" s="205" t="str">
        <f t="shared" si="1"/>
        <v/>
      </c>
      <c r="K5" s="205">
        <f>I5*J5</f>
        <v>0</v>
      </c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'Nagata Tuna'!B6</f>
        <v>45081</v>
      </c>
      <c r="C6" s="201">
        <f>'Nagata Tuna'!L6</f>
        <v>112</v>
      </c>
      <c r="D6" s="202">
        <f>'Nagata Tuna'!Y6</f>
        <v>10368.92905</v>
      </c>
      <c r="E6" s="203">
        <f t="shared" si="2"/>
        <v>1161320.053</v>
      </c>
      <c r="F6" s="203"/>
      <c r="G6" s="203"/>
      <c r="H6" s="202"/>
      <c r="I6" s="201">
        <f t="shared" ref="I6:I25" si="3">I5+C6</f>
        <v>112</v>
      </c>
      <c r="J6" s="205">
        <f t="shared" ref="J6:J25" si="4">K6/I6</f>
        <v>10368.92905</v>
      </c>
      <c r="K6" s="205">
        <f t="shared" ref="K6:K25" si="5">K5+E6</f>
        <v>1161320.053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'Nagata Tuna'!B7</f>
        <v>45087</v>
      </c>
      <c r="C7" s="201">
        <f>'Nagata Tuna'!L7</f>
        <v>90</v>
      </c>
      <c r="D7" s="202">
        <f>'Nagata Tuna'!Y7</f>
        <v>10423.52996</v>
      </c>
      <c r="E7" s="203">
        <f t="shared" si="2"/>
        <v>938117.6964</v>
      </c>
      <c r="F7" s="203"/>
      <c r="G7" s="203"/>
      <c r="H7" s="202"/>
      <c r="I7" s="201">
        <f t="shared" si="3"/>
        <v>202</v>
      </c>
      <c r="J7" s="205">
        <f t="shared" si="4"/>
        <v>10393.25619</v>
      </c>
      <c r="K7" s="205">
        <f t="shared" si="5"/>
        <v>2099437.75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'Nagata Tuna'!B8</f>
        <v>45089</v>
      </c>
      <c r="C8" s="201">
        <f>'Nagata Tuna'!L8</f>
        <v>56</v>
      </c>
      <c r="D8" s="202">
        <f>'Nagata Tuna'!Y8</f>
        <v>10366.95198</v>
      </c>
      <c r="E8" s="203">
        <f t="shared" si="2"/>
        <v>580549.3106</v>
      </c>
      <c r="F8" s="203"/>
      <c r="G8" s="203"/>
      <c r="H8" s="202"/>
      <c r="I8" s="201">
        <f t="shared" si="3"/>
        <v>258</v>
      </c>
      <c r="J8" s="205">
        <f t="shared" si="4"/>
        <v>10387.54675</v>
      </c>
      <c r="K8" s="205">
        <f t="shared" si="5"/>
        <v>2679987.06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199">
        <v>5.0</v>
      </c>
      <c r="B9" s="126">
        <f>'Nagata Tuna'!B9</f>
        <v>45091</v>
      </c>
      <c r="C9" s="201">
        <f>'Nagata Tuna'!L9</f>
        <v>70</v>
      </c>
      <c r="D9" s="202">
        <f>'Nagata Tuna'!Y9</f>
        <v>10381.91029</v>
      </c>
      <c r="E9" s="203">
        <f t="shared" si="2"/>
        <v>726733.7201</v>
      </c>
      <c r="F9" s="203"/>
      <c r="G9" s="203"/>
      <c r="H9" s="202"/>
      <c r="I9" s="201">
        <f t="shared" si="3"/>
        <v>328</v>
      </c>
      <c r="J9" s="205">
        <f t="shared" si="4"/>
        <v>10386.34384</v>
      </c>
      <c r="K9" s="205">
        <f t="shared" si="5"/>
        <v>3406720.781</v>
      </c>
      <c r="L9" s="207">
        <f>K9+'Persediaan &amp; HPP Cakalang A-B'!K10</f>
        <v>395126514.9</v>
      </c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</row>
    <row r="10" ht="15.75" customHeight="1">
      <c r="A10" s="199">
        <v>6.0</v>
      </c>
      <c r="B10" s="126">
        <f>'Nagata Tuna'!B10</f>
        <v>45092</v>
      </c>
      <c r="C10" s="201">
        <f>'Nagata Tuna'!L10</f>
        <v>140</v>
      </c>
      <c r="D10" s="202">
        <f>'Nagata Tuna'!Y10</f>
        <v>10363.2192</v>
      </c>
      <c r="E10" s="203">
        <f t="shared" si="2"/>
        <v>1450850.688</v>
      </c>
      <c r="F10" s="203"/>
      <c r="G10" s="203"/>
      <c r="H10" s="202"/>
      <c r="I10" s="262">
        <f t="shared" si="3"/>
        <v>468</v>
      </c>
      <c r="J10" s="205">
        <f t="shared" si="4"/>
        <v>10379.42621</v>
      </c>
      <c r="K10" s="205">
        <f t="shared" si="5"/>
        <v>4857571.468</v>
      </c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126">
        <f>'Nagata Tuna'!B11</f>
        <v>45098</v>
      </c>
      <c r="C11" s="201">
        <f>'Nagata Tuna'!L11</f>
        <v>90</v>
      </c>
      <c r="D11" s="202">
        <f>'Nagata Tuna'!Y11</f>
        <v>10353.13009</v>
      </c>
      <c r="E11" s="203">
        <f t="shared" si="2"/>
        <v>931781.7083</v>
      </c>
      <c r="F11" s="203"/>
      <c r="G11" s="203"/>
      <c r="H11" s="202"/>
      <c r="I11" s="262">
        <f t="shared" si="3"/>
        <v>558</v>
      </c>
      <c r="J11" s="205">
        <f t="shared" si="4"/>
        <v>10375.1849</v>
      </c>
      <c r="K11" s="205">
        <f t="shared" si="5"/>
        <v>5789353.177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126">
        <f>'Nagata Tuna'!B12</f>
        <v>45101</v>
      </c>
      <c r="C12" s="201">
        <f>'Nagata Tuna'!L12</f>
        <v>90</v>
      </c>
      <c r="D12" s="202">
        <f>'Nagata Tuna'!Y12</f>
        <v>10369.7213</v>
      </c>
      <c r="E12" s="203">
        <f t="shared" si="2"/>
        <v>933274.9169</v>
      </c>
      <c r="F12" s="203"/>
      <c r="G12" s="203"/>
      <c r="H12" s="202"/>
      <c r="I12" s="262">
        <f t="shared" si="3"/>
        <v>648</v>
      </c>
      <c r="J12" s="205">
        <f t="shared" si="4"/>
        <v>10374.42607</v>
      </c>
      <c r="K12" s="205">
        <f t="shared" si="5"/>
        <v>6722628.093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126">
        <f>'Nagata Tuna'!B13</f>
        <v>45102</v>
      </c>
      <c r="C13" s="201">
        <f>'Nagata Tuna'!L13</f>
        <v>213</v>
      </c>
      <c r="D13" s="202">
        <f>'Nagata Tuna'!Y13</f>
        <v>10374.80205</v>
      </c>
      <c r="E13" s="203">
        <f t="shared" si="2"/>
        <v>2209832.837</v>
      </c>
      <c r="F13" s="203"/>
      <c r="G13" s="203"/>
      <c r="H13" s="202"/>
      <c r="I13" s="262">
        <f t="shared" si="3"/>
        <v>861</v>
      </c>
      <c r="J13" s="205">
        <f t="shared" si="4"/>
        <v>10374.51908</v>
      </c>
      <c r="K13" s="205">
        <f t="shared" si="5"/>
        <v>8932460.93</v>
      </c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</row>
    <row r="14" ht="15.75" customHeight="1">
      <c r="A14" s="199">
        <v>10.0</v>
      </c>
      <c r="B14" s="126">
        <f>'Nagata Tuna'!B14</f>
        <v>45103</v>
      </c>
      <c r="C14" s="201">
        <f>'Nagata Tuna'!L14</f>
        <v>105</v>
      </c>
      <c r="D14" s="202">
        <f>'Nagata Tuna'!Y14</f>
        <v>10382.71614</v>
      </c>
      <c r="E14" s="203">
        <f t="shared" si="2"/>
        <v>1090185.194</v>
      </c>
      <c r="F14" s="203"/>
      <c r="G14" s="203"/>
      <c r="H14" s="202"/>
      <c r="I14" s="262">
        <f t="shared" si="3"/>
        <v>966</v>
      </c>
      <c r="J14" s="205">
        <f t="shared" si="4"/>
        <v>10375.41007</v>
      </c>
      <c r="K14" s="205">
        <f t="shared" si="5"/>
        <v>10022646.12</v>
      </c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</row>
    <row r="15" ht="15.75" customHeight="1">
      <c r="A15" s="199">
        <v>11.0</v>
      </c>
      <c r="B15" s="200">
        <f>'Nagata Tuna'!B17</f>
        <v>45109</v>
      </c>
      <c r="C15" s="201">
        <f>'Nagata Tuna'!L17</f>
        <v>210</v>
      </c>
      <c r="D15" s="202">
        <f>'Nagata Tuna'!Y17</f>
        <v>10443.32136</v>
      </c>
      <c r="E15" s="203">
        <f t="shared" si="2"/>
        <v>2193097.485</v>
      </c>
      <c r="F15" s="203"/>
      <c r="G15" s="203"/>
      <c r="H15" s="202"/>
      <c r="I15" s="262">
        <f t="shared" si="3"/>
        <v>1176</v>
      </c>
      <c r="J15" s="205">
        <f t="shared" si="4"/>
        <v>10387.53708</v>
      </c>
      <c r="K15" s="205">
        <f t="shared" si="5"/>
        <v>12215743.61</v>
      </c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</row>
    <row r="16" ht="15.75" customHeight="1">
      <c r="A16" s="199">
        <v>12.0</v>
      </c>
      <c r="B16" s="200">
        <f>'Nagata Tuna'!B18</f>
        <v>45122</v>
      </c>
      <c r="C16" s="201">
        <f>'Nagata Tuna'!L18</f>
        <v>0</v>
      </c>
      <c r="D16" s="202" t="str">
        <f>'Nagata Tuna'!Y18</f>
        <v/>
      </c>
      <c r="E16" s="203">
        <f t="shared" si="2"/>
        <v>0</v>
      </c>
      <c r="F16" s="203"/>
      <c r="G16" s="203"/>
      <c r="H16" s="202"/>
      <c r="I16" s="262">
        <f t="shared" si="3"/>
        <v>1176</v>
      </c>
      <c r="J16" s="205">
        <f t="shared" si="4"/>
        <v>10387.53708</v>
      </c>
      <c r="K16" s="205">
        <f t="shared" si="5"/>
        <v>12215743.61</v>
      </c>
      <c r="L16" s="183"/>
      <c r="M16" s="183"/>
      <c r="N16" s="183"/>
      <c r="O16" s="183"/>
      <c r="P16" s="183"/>
      <c r="Q16" s="183"/>
      <c r="R16" s="183"/>
      <c r="S16" s="183"/>
      <c r="T16" s="183"/>
      <c r="U16" s="183"/>
      <c r="V16" s="183"/>
      <c r="W16" s="183"/>
      <c r="X16" s="183"/>
      <c r="Y16" s="183"/>
      <c r="Z16" s="183"/>
    </row>
    <row r="17" ht="15.75" customHeight="1">
      <c r="A17" s="199">
        <v>13.0</v>
      </c>
      <c r="B17" s="200">
        <f>'Nagata Tuna'!B19</f>
        <v>45123</v>
      </c>
      <c r="C17" s="201">
        <f>'Nagata Tuna'!L19</f>
        <v>25</v>
      </c>
      <c r="D17" s="202">
        <f>'Nagata Tuna'!Y19</f>
        <v>10359.7839</v>
      </c>
      <c r="E17" s="203">
        <f t="shared" si="2"/>
        <v>258994.5974</v>
      </c>
      <c r="F17" s="203"/>
      <c r="G17" s="203"/>
      <c r="H17" s="202"/>
      <c r="I17" s="262">
        <f t="shared" si="3"/>
        <v>1201</v>
      </c>
      <c r="J17" s="205">
        <f t="shared" si="4"/>
        <v>10386.95937</v>
      </c>
      <c r="K17" s="205">
        <f t="shared" si="5"/>
        <v>12474738.21</v>
      </c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</row>
    <row r="18" ht="15.75" customHeight="1">
      <c r="A18" s="199">
        <v>14.0</v>
      </c>
      <c r="B18" s="200">
        <f>'Nagata Tuna'!B20</f>
        <v>45124</v>
      </c>
      <c r="C18" s="201">
        <f>'Nagata Tuna'!L20</f>
        <v>137</v>
      </c>
      <c r="D18" s="202">
        <f>'Nagata Tuna'!Y20</f>
        <v>10357.87134</v>
      </c>
      <c r="E18" s="203">
        <f t="shared" si="2"/>
        <v>1419028.374</v>
      </c>
      <c r="F18" s="203"/>
      <c r="G18" s="203"/>
      <c r="H18" s="202"/>
      <c r="I18" s="262">
        <f t="shared" si="3"/>
        <v>1338</v>
      </c>
      <c r="J18" s="205">
        <f t="shared" si="4"/>
        <v>10383.981</v>
      </c>
      <c r="K18" s="203">
        <f t="shared" si="5"/>
        <v>13893766.58</v>
      </c>
    </row>
    <row r="19" ht="15.75" customHeight="1">
      <c r="A19" s="199">
        <v>15.0</v>
      </c>
      <c r="B19" s="200">
        <f>'Nagata Tuna'!B21</f>
        <v>45125</v>
      </c>
      <c r="C19" s="201">
        <f>'Nagata Tuna'!L21</f>
        <v>120</v>
      </c>
      <c r="D19" s="202">
        <f>'Nagata Tuna'!Y21</f>
        <v>10377.97751</v>
      </c>
      <c r="E19" s="203">
        <f t="shared" si="2"/>
        <v>1245357.302</v>
      </c>
      <c r="F19" s="203"/>
      <c r="G19" s="203"/>
      <c r="H19" s="202"/>
      <c r="I19" s="262">
        <f t="shared" si="3"/>
        <v>1458</v>
      </c>
      <c r="J19" s="205">
        <f t="shared" si="4"/>
        <v>10383.48689</v>
      </c>
      <c r="K19" s="203">
        <f t="shared" si="5"/>
        <v>15139123.88</v>
      </c>
    </row>
    <row r="20" ht="15.75" customHeight="1">
      <c r="A20" s="199">
        <v>16.0</v>
      </c>
      <c r="B20" s="200">
        <f>'Nagata Tuna'!B22</f>
        <v>45126</v>
      </c>
      <c r="C20" s="201">
        <f>'Nagata Tuna'!L22</f>
        <v>0</v>
      </c>
      <c r="D20" s="202" t="str">
        <f>'Nagata Tuna'!Y22</f>
        <v/>
      </c>
      <c r="E20" s="203">
        <f t="shared" si="2"/>
        <v>0</v>
      </c>
      <c r="F20" s="203"/>
      <c r="G20" s="203"/>
      <c r="H20" s="202"/>
      <c r="I20" s="262">
        <f t="shared" si="3"/>
        <v>1458</v>
      </c>
      <c r="J20" s="205">
        <f t="shared" si="4"/>
        <v>10383.48689</v>
      </c>
      <c r="K20" s="203">
        <f t="shared" si="5"/>
        <v>15139123.88</v>
      </c>
    </row>
    <row r="21" ht="15.75" customHeight="1">
      <c r="A21" s="199">
        <v>17.0</v>
      </c>
      <c r="B21" s="200">
        <f>'Nagata Tuna'!B23</f>
        <v>45127</v>
      </c>
      <c r="C21" s="201">
        <f>'Nagata Tuna'!L23</f>
        <v>28</v>
      </c>
      <c r="D21" s="202">
        <f>'Nagata Tuna'!Y23</f>
        <v>10387.20504</v>
      </c>
      <c r="E21" s="203">
        <f t="shared" si="2"/>
        <v>290841.7412</v>
      </c>
      <c r="F21" s="203"/>
      <c r="G21" s="203"/>
      <c r="H21" s="202"/>
      <c r="I21" s="262">
        <f t="shared" si="3"/>
        <v>1486</v>
      </c>
      <c r="J21" s="205">
        <f t="shared" si="4"/>
        <v>10383.55695</v>
      </c>
      <c r="K21" s="203">
        <f t="shared" si="5"/>
        <v>15429965.62</v>
      </c>
    </row>
    <row r="22" ht="15.75" customHeight="1">
      <c r="A22" s="199">
        <v>18.0</v>
      </c>
      <c r="B22" s="200">
        <f>'Nagata Tuna'!B24</f>
        <v>45133</v>
      </c>
      <c r="C22" s="201">
        <f>'Nagata Tuna'!L24</f>
        <v>4</v>
      </c>
      <c r="D22" s="202">
        <f>'Nagata Tuna'!Y24</f>
        <v>10387.55846</v>
      </c>
      <c r="E22" s="203">
        <f t="shared" si="2"/>
        <v>41550.23385</v>
      </c>
      <c r="F22" s="203"/>
      <c r="G22" s="203"/>
      <c r="H22" s="202"/>
      <c r="I22" s="262">
        <f t="shared" si="3"/>
        <v>1490</v>
      </c>
      <c r="J22" s="205">
        <f t="shared" si="4"/>
        <v>10383.56769</v>
      </c>
      <c r="K22" s="203">
        <f t="shared" si="5"/>
        <v>15471515.86</v>
      </c>
    </row>
    <row r="23" ht="15.75" customHeight="1">
      <c r="A23" s="199">
        <v>19.0</v>
      </c>
      <c r="B23" s="200">
        <f>'Nagata Tuna'!B25</f>
        <v>45137</v>
      </c>
      <c r="C23" s="201">
        <f>'Nagata Tuna'!L25</f>
        <v>99</v>
      </c>
      <c r="D23" s="202">
        <f>'Nagata Tuna'!Y25</f>
        <v>10403.37988</v>
      </c>
      <c r="E23" s="203">
        <f t="shared" si="2"/>
        <v>1029934.608</v>
      </c>
      <c r="F23" s="203"/>
      <c r="G23" s="203"/>
      <c r="H23" s="202"/>
      <c r="I23" s="262">
        <f t="shared" si="3"/>
        <v>1589</v>
      </c>
      <c r="J23" s="205">
        <f t="shared" si="4"/>
        <v>10384.80206</v>
      </c>
      <c r="K23" s="203">
        <f t="shared" si="5"/>
        <v>16501450.47</v>
      </c>
    </row>
    <row r="24" ht="15.75" customHeight="1">
      <c r="A24" s="199">
        <v>20.0</v>
      </c>
      <c r="B24" s="200">
        <f>'Nagata Tuna'!B26</f>
        <v>45138</v>
      </c>
      <c r="C24" s="201">
        <f>'Nagata Tuna'!L26</f>
        <v>120</v>
      </c>
      <c r="D24" s="202">
        <f>'Nagata Tuna'!Y26</f>
        <v>10366.15688</v>
      </c>
      <c r="E24" s="203">
        <f t="shared" si="2"/>
        <v>1243938.825</v>
      </c>
      <c r="F24" s="203"/>
      <c r="G24" s="203"/>
      <c r="H24" s="202"/>
      <c r="I24" s="262">
        <f t="shared" si="3"/>
        <v>1709</v>
      </c>
      <c r="J24" s="205">
        <f t="shared" si="4"/>
        <v>10383.49286</v>
      </c>
      <c r="K24" s="203">
        <f t="shared" si="5"/>
        <v>17745389.29</v>
      </c>
    </row>
    <row r="25" ht="15.75" customHeight="1">
      <c r="A25" s="199">
        <v>21.0</v>
      </c>
      <c r="B25" s="200">
        <f>'Nagata Tuna'!B29</f>
        <v>45139</v>
      </c>
      <c r="C25" s="222">
        <f>'Nagata Tuna'!L29</f>
        <v>152</v>
      </c>
      <c r="D25" s="202">
        <f>'Nagata Tuna'!Y29</f>
        <v>10464.09484</v>
      </c>
      <c r="E25" s="203">
        <f t="shared" si="2"/>
        <v>1590542.416</v>
      </c>
      <c r="F25" s="203"/>
      <c r="G25" s="203"/>
      <c r="H25" s="202"/>
      <c r="I25" s="262">
        <f t="shared" si="3"/>
        <v>1861</v>
      </c>
      <c r="J25" s="205">
        <f t="shared" si="4"/>
        <v>10390.07615</v>
      </c>
      <c r="K25" s="203">
        <f t="shared" si="5"/>
        <v>19335931.71</v>
      </c>
    </row>
    <row r="26" ht="15.75" customHeight="1">
      <c r="A26" s="208">
        <v>22.0</v>
      </c>
      <c r="B26" s="209">
        <v>45142.0</v>
      </c>
      <c r="C26" s="217"/>
      <c r="D26" s="212"/>
      <c r="E26" s="211" t="s">
        <v>72</v>
      </c>
      <c r="F26" s="212">
        <v>1690.0</v>
      </c>
      <c r="G26" s="211">
        <f>J25</f>
        <v>10390.07615</v>
      </c>
      <c r="H26" s="212">
        <f>F26*G26</f>
        <v>17559228.69</v>
      </c>
      <c r="I26" s="263">
        <f>I25-F26</f>
        <v>171</v>
      </c>
      <c r="J26" s="214">
        <f>J22</f>
        <v>10383.56769</v>
      </c>
      <c r="K26" s="211">
        <f>K25-H26</f>
        <v>1776703.021</v>
      </c>
      <c r="L26" s="264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  <c r="X26" s="218"/>
      <c r="Y26" s="218"/>
      <c r="Z26" s="218"/>
    </row>
    <row r="27" ht="15.75" customHeight="1">
      <c r="A27" s="199">
        <v>23.0</v>
      </c>
      <c r="B27" s="200">
        <f>'Nagata Tuna'!B30</f>
        <v>45145</v>
      </c>
      <c r="C27" s="222">
        <f>'Nagata Tuna'!L30</f>
        <v>8</v>
      </c>
      <c r="D27" s="202">
        <f>'Nagata Tuna'!Y30</f>
        <v>10655.23836</v>
      </c>
      <c r="E27" s="203">
        <f t="shared" ref="E27:E29" si="6">D27*C27</f>
        <v>85241.9069</v>
      </c>
      <c r="F27" s="203"/>
      <c r="G27" s="203"/>
      <c r="H27" s="202"/>
      <c r="I27" s="262">
        <f t="shared" ref="I27:I33" si="7">I26+C27</f>
        <v>179</v>
      </c>
      <c r="J27" s="205">
        <f t="shared" ref="J27:J100" si="8">K27/I27</f>
        <v>10401.92697</v>
      </c>
      <c r="K27" s="203">
        <f t="shared" ref="K27:K33" si="9">K26+E27</f>
        <v>1861944.928</v>
      </c>
    </row>
    <row r="28" ht="15.75" customHeight="1">
      <c r="A28" s="199">
        <v>24.0</v>
      </c>
      <c r="B28" s="200">
        <f>'Nagata Tuna'!B31</f>
        <v>45146</v>
      </c>
      <c r="C28" s="222">
        <f>'Nagata Tuna'!L31</f>
        <v>74</v>
      </c>
      <c r="D28" s="202">
        <f>'Nagata Tuna'!Y31</f>
        <v>10597.79223</v>
      </c>
      <c r="E28" s="203">
        <f t="shared" si="6"/>
        <v>784236.6249</v>
      </c>
      <c r="F28" s="203"/>
      <c r="G28" s="203"/>
      <c r="H28" s="202"/>
      <c r="I28" s="262">
        <f t="shared" si="7"/>
        <v>253</v>
      </c>
      <c r="J28" s="205">
        <f t="shared" si="8"/>
        <v>10459.21562</v>
      </c>
      <c r="K28" s="203">
        <f t="shared" si="9"/>
        <v>2646181.553</v>
      </c>
      <c r="M28" s="124">
        <f>F26*7000</f>
        <v>11830000</v>
      </c>
    </row>
    <row r="29" ht="15.75" customHeight="1">
      <c r="A29" s="199">
        <v>22.0</v>
      </c>
      <c r="B29" s="200">
        <f>'Nagata Tuna'!B32</f>
        <v>45147</v>
      </c>
      <c r="C29" s="222">
        <f>'Nagata Tuna'!L32</f>
        <v>24</v>
      </c>
      <c r="D29" s="202">
        <f>'Nagata Tuna'!Y32</f>
        <v>10485.94823</v>
      </c>
      <c r="E29" s="203">
        <f t="shared" si="6"/>
        <v>251662.7575</v>
      </c>
      <c r="F29" s="203"/>
      <c r="G29" s="203"/>
      <c r="H29" s="202"/>
      <c r="I29" s="262">
        <f t="shared" si="7"/>
        <v>277</v>
      </c>
      <c r="J29" s="205">
        <f t="shared" si="8"/>
        <v>10461.53181</v>
      </c>
      <c r="K29" s="203">
        <f t="shared" si="9"/>
        <v>2897844.31</v>
      </c>
    </row>
    <row r="30" ht="15.75" customHeight="1">
      <c r="A30" s="199">
        <v>23.0</v>
      </c>
      <c r="B30" s="200">
        <f>'Nagata Tuna'!B33</f>
        <v>45150</v>
      </c>
      <c r="C30" s="222">
        <f>'Nagata Tuna'!L33</f>
        <v>611</v>
      </c>
      <c r="D30" s="202">
        <f>'Nagata Tuna'!Y33</f>
        <v>10381.33634</v>
      </c>
      <c r="E30" s="202">
        <f t="shared" ref="E30:E41" si="10">C30*D30</f>
        <v>6342996.506</v>
      </c>
      <c r="F30" s="227"/>
      <c r="G30" s="227"/>
      <c r="H30" s="202"/>
      <c r="I30" s="262">
        <f t="shared" si="7"/>
        <v>888</v>
      </c>
      <c r="J30" s="205">
        <f t="shared" si="8"/>
        <v>10406.35227</v>
      </c>
      <c r="K30" s="203">
        <f t="shared" si="9"/>
        <v>9240840.817</v>
      </c>
    </row>
    <row r="31" ht="15.75" customHeight="1">
      <c r="A31" s="199">
        <v>24.0</v>
      </c>
      <c r="B31" s="200">
        <f>'Nagata Tuna'!B34</f>
        <v>45151</v>
      </c>
      <c r="C31" s="222">
        <f>'Nagata Tuna'!L34</f>
        <v>300</v>
      </c>
      <c r="D31" s="202">
        <f>'Nagata Tuna'!Y34</f>
        <v>10436.74438</v>
      </c>
      <c r="E31" s="202">
        <f t="shared" si="10"/>
        <v>3131023.314</v>
      </c>
      <c r="F31" s="227"/>
      <c r="G31" s="227"/>
      <c r="H31" s="202"/>
      <c r="I31" s="262">
        <f t="shared" si="7"/>
        <v>1188</v>
      </c>
      <c r="J31" s="205">
        <f t="shared" si="8"/>
        <v>10414.02705</v>
      </c>
      <c r="K31" s="203">
        <f t="shared" si="9"/>
        <v>12371864.13</v>
      </c>
    </row>
    <row r="32" ht="15.75" customHeight="1">
      <c r="A32" s="199">
        <v>25.0</v>
      </c>
      <c r="B32" s="200">
        <f>'Nagata Tuna'!B35</f>
        <v>45152</v>
      </c>
      <c r="C32" s="222">
        <f>'Nagata Tuna'!L35</f>
        <v>160</v>
      </c>
      <c r="D32" s="202">
        <f>'Nagata Tuna'!Y35</f>
        <v>10369.47398</v>
      </c>
      <c r="E32" s="202">
        <f t="shared" si="10"/>
        <v>1659115.836</v>
      </c>
      <c r="F32" s="227"/>
      <c r="G32" s="227"/>
      <c r="H32" s="202"/>
      <c r="I32" s="262">
        <f t="shared" si="7"/>
        <v>1348</v>
      </c>
      <c r="J32" s="205">
        <f t="shared" si="8"/>
        <v>10408.73885</v>
      </c>
      <c r="K32" s="203">
        <f t="shared" si="9"/>
        <v>14030979.97</v>
      </c>
    </row>
    <row r="33" ht="15.75" customHeight="1">
      <c r="A33" s="199">
        <v>26.0</v>
      </c>
      <c r="B33" s="200">
        <f>'Nagata Tuna'!B36</f>
        <v>45153</v>
      </c>
      <c r="C33" s="222">
        <f>'Nagata Tuna'!L36</f>
        <v>295</v>
      </c>
      <c r="D33" s="202">
        <f>'Nagata Tuna'!Y36</f>
        <v>10391.10303</v>
      </c>
      <c r="E33" s="202">
        <f t="shared" si="10"/>
        <v>3065375.393</v>
      </c>
      <c r="F33" s="227"/>
      <c r="G33" s="227"/>
      <c r="H33" s="202"/>
      <c r="I33" s="262">
        <f t="shared" si="7"/>
        <v>1643</v>
      </c>
      <c r="J33" s="205">
        <f t="shared" si="8"/>
        <v>10405.57234</v>
      </c>
      <c r="K33" s="203">
        <f t="shared" si="9"/>
        <v>17096355.36</v>
      </c>
    </row>
    <row r="34" ht="15.75" customHeight="1">
      <c r="A34" s="208">
        <v>27.0</v>
      </c>
      <c r="B34" s="209">
        <v>45156.0</v>
      </c>
      <c r="C34" s="265"/>
      <c r="D34" s="235"/>
      <c r="E34" s="212">
        <f t="shared" si="10"/>
        <v>0</v>
      </c>
      <c r="F34" s="229">
        <v>1340.0</v>
      </c>
      <c r="G34" s="211">
        <f>J33</f>
        <v>10405.57234</v>
      </c>
      <c r="H34" s="212">
        <f>G34*F34</f>
        <v>13943466.94</v>
      </c>
      <c r="I34" s="266">
        <f>I33-F34</f>
        <v>303</v>
      </c>
      <c r="J34" s="214">
        <f t="shared" si="8"/>
        <v>10405.57234</v>
      </c>
      <c r="K34" s="211">
        <f>K33-H34</f>
        <v>3152888.42</v>
      </c>
      <c r="L34" s="267"/>
      <c r="M34" s="220">
        <f>F34*7000</f>
        <v>9380000</v>
      </c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</row>
    <row r="35" ht="15.75" customHeight="1">
      <c r="A35" s="199">
        <v>28.0</v>
      </c>
      <c r="B35" s="200">
        <f>'Nagata Tuna'!B37</f>
        <v>45158</v>
      </c>
      <c r="C35" s="140">
        <f>'Nagata Tuna'!L37</f>
        <v>232</v>
      </c>
      <c r="D35" s="129">
        <f>'Nagata Tuna'!Y37</f>
        <v>10426.87941</v>
      </c>
      <c r="E35" s="202">
        <f t="shared" si="10"/>
        <v>2419036.022</v>
      </c>
      <c r="F35" s="227"/>
      <c r="G35" s="227"/>
      <c r="H35" s="202"/>
      <c r="I35" s="268">
        <f t="shared" ref="I35:I41" si="11">I34+C35</f>
        <v>535</v>
      </c>
      <c r="J35" s="205">
        <f t="shared" si="8"/>
        <v>10414.81204</v>
      </c>
      <c r="K35" s="203">
        <f t="shared" ref="K35:K41" si="12">K34+E35</f>
        <v>5571924.442</v>
      </c>
    </row>
    <row r="36" ht="15.75" customHeight="1">
      <c r="A36" s="199">
        <v>29.0</v>
      </c>
      <c r="B36" s="200">
        <f>'Nagata Tuna'!B38</f>
        <v>45159</v>
      </c>
      <c r="C36" s="140">
        <f>'Nagata Tuna'!L38</f>
        <v>160</v>
      </c>
      <c r="D36" s="129">
        <f>'Nagata Tuna'!Y38</f>
        <v>10391.52633</v>
      </c>
      <c r="E36" s="202">
        <f t="shared" si="10"/>
        <v>1662644.213</v>
      </c>
      <c r="F36" s="227"/>
      <c r="G36" s="227"/>
      <c r="H36" s="202"/>
      <c r="I36" s="268">
        <f t="shared" si="11"/>
        <v>695</v>
      </c>
      <c r="J36" s="205">
        <f t="shared" si="8"/>
        <v>10409.4513</v>
      </c>
      <c r="K36" s="203">
        <f t="shared" si="12"/>
        <v>7234568.655</v>
      </c>
    </row>
    <row r="37" ht="15.75" customHeight="1">
      <c r="A37" s="199">
        <v>30.0</v>
      </c>
      <c r="B37" s="200">
        <f>'Nagata Tuna'!B39</f>
        <v>45160</v>
      </c>
      <c r="C37" s="140">
        <f>'Nagata Tuna'!L39</f>
        <v>175</v>
      </c>
      <c r="D37" s="129">
        <f>'Nagata Tuna'!Y39</f>
        <v>10372.58197</v>
      </c>
      <c r="E37" s="202">
        <f t="shared" si="10"/>
        <v>1815201.845</v>
      </c>
      <c r="F37" s="227"/>
      <c r="G37" s="227"/>
      <c r="H37" s="202"/>
      <c r="I37" s="268">
        <f t="shared" si="11"/>
        <v>870</v>
      </c>
      <c r="J37" s="205">
        <f t="shared" si="8"/>
        <v>10402.03506</v>
      </c>
      <c r="K37" s="203">
        <f t="shared" si="12"/>
        <v>9049770.499</v>
      </c>
    </row>
    <row r="38" ht="15.75" customHeight="1">
      <c r="A38" s="199">
        <v>31.0</v>
      </c>
      <c r="B38" s="200">
        <f>'Nagata Tuna'!B40</f>
        <v>45161</v>
      </c>
      <c r="C38" s="140">
        <f>'Nagata Tuna'!L40</f>
        <v>222</v>
      </c>
      <c r="D38" s="129">
        <f>'Nagata Tuna'!Y40</f>
        <v>10394.99463</v>
      </c>
      <c r="E38" s="202">
        <f t="shared" si="10"/>
        <v>2307688.808</v>
      </c>
      <c r="F38" s="227"/>
      <c r="G38" s="227"/>
      <c r="H38" s="202"/>
      <c r="I38" s="268">
        <f t="shared" si="11"/>
        <v>1092</v>
      </c>
      <c r="J38" s="205">
        <f t="shared" si="8"/>
        <v>10400.60376</v>
      </c>
      <c r="K38" s="203">
        <f t="shared" si="12"/>
        <v>11357459.31</v>
      </c>
    </row>
    <row r="39" ht="15.75" customHeight="1">
      <c r="A39" s="199">
        <v>32.0</v>
      </c>
      <c r="B39" s="200">
        <f>'Nagata Tuna'!B41</f>
        <v>45162</v>
      </c>
      <c r="C39" s="140">
        <f>'Nagata Tuna'!L41</f>
        <v>213</v>
      </c>
      <c r="D39" s="129">
        <f>'Nagata Tuna'!Y41</f>
        <v>10431.75394</v>
      </c>
      <c r="E39" s="202">
        <f t="shared" si="10"/>
        <v>2221963.59</v>
      </c>
      <c r="F39" s="227"/>
      <c r="G39" s="227"/>
      <c r="H39" s="202"/>
      <c r="I39" s="268">
        <f t="shared" si="11"/>
        <v>1305</v>
      </c>
      <c r="J39" s="205">
        <f t="shared" si="8"/>
        <v>10405.68804</v>
      </c>
      <c r="K39" s="203">
        <f t="shared" si="12"/>
        <v>13579422.9</v>
      </c>
    </row>
    <row r="40" ht="15.75" customHeight="1">
      <c r="A40" s="199">
        <v>33.0</v>
      </c>
      <c r="B40" s="200">
        <f>'Nagata Tuna'!B42</f>
        <v>45164</v>
      </c>
      <c r="C40" s="140">
        <f>'Nagata Tuna'!L42</f>
        <v>640</v>
      </c>
      <c r="D40" s="129">
        <f>'Nagata Tuna'!Y42</f>
        <v>10354.21489</v>
      </c>
      <c r="E40" s="202">
        <f t="shared" si="10"/>
        <v>6626697.528</v>
      </c>
      <c r="F40" s="227"/>
      <c r="G40" s="227"/>
      <c r="H40" s="202"/>
      <c r="I40" s="268">
        <f t="shared" si="11"/>
        <v>1945</v>
      </c>
      <c r="J40" s="205">
        <f t="shared" si="8"/>
        <v>10388.75086</v>
      </c>
      <c r="K40" s="203">
        <f t="shared" si="12"/>
        <v>20206120.43</v>
      </c>
    </row>
    <row r="41" ht="15.75" customHeight="1">
      <c r="A41" s="199">
        <v>34.0</v>
      </c>
      <c r="B41" s="200">
        <f>'Nagata Tuna'!B43</f>
        <v>45165</v>
      </c>
      <c r="C41" s="140">
        <f>'Nagata Tuna'!L43</f>
        <v>211</v>
      </c>
      <c r="D41" s="129">
        <f>'Nagata Tuna'!Y43</f>
        <v>10404.17534</v>
      </c>
      <c r="E41" s="202">
        <f t="shared" si="10"/>
        <v>2195280.997</v>
      </c>
      <c r="F41" s="227"/>
      <c r="G41" s="227"/>
      <c r="H41" s="202"/>
      <c r="I41" s="268">
        <f t="shared" si="11"/>
        <v>2156</v>
      </c>
      <c r="J41" s="205">
        <f t="shared" si="8"/>
        <v>10390.2604</v>
      </c>
      <c r="K41" s="203">
        <f t="shared" si="12"/>
        <v>22401401.42</v>
      </c>
    </row>
    <row r="42" ht="15.75" customHeight="1">
      <c r="A42" s="208">
        <v>35.0</v>
      </c>
      <c r="B42" s="209">
        <v>45165.0</v>
      </c>
      <c r="C42" s="235"/>
      <c r="D42" s="235"/>
      <c r="E42" s="229"/>
      <c r="F42" s="229">
        <v>1850.0</v>
      </c>
      <c r="G42" s="211">
        <f>J41</f>
        <v>10390.2604</v>
      </c>
      <c r="H42" s="212">
        <f>F42*G42</f>
        <v>19221981.74</v>
      </c>
      <c r="I42" s="266">
        <f>I41-F42</f>
        <v>306</v>
      </c>
      <c r="J42" s="214">
        <f t="shared" si="8"/>
        <v>10390.2604</v>
      </c>
      <c r="K42" s="211">
        <f>K41-H42</f>
        <v>3179419.682</v>
      </c>
      <c r="L42" s="218"/>
      <c r="M42" s="220">
        <f>F42*7000</f>
        <v>12950000</v>
      </c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ht="15.75" customHeight="1">
      <c r="A43" s="199">
        <v>36.0</v>
      </c>
      <c r="B43" s="236">
        <f>'Nagata Tuna'!B44</f>
        <v>45167</v>
      </c>
      <c r="C43" s="269">
        <f>'Nagata Tuna'!L44</f>
        <v>430</v>
      </c>
      <c r="D43" s="129">
        <f>'Nagata Tuna'!Y44</f>
        <v>10364.78217</v>
      </c>
      <c r="E43" s="202">
        <f t="shared" ref="E43:E48" si="13">C43*D43</f>
        <v>4456856.334</v>
      </c>
      <c r="F43" s="227"/>
      <c r="G43" s="227"/>
      <c r="H43" s="202"/>
      <c r="I43" s="268">
        <f t="shared" ref="I43:I48" si="14">I42+C43</f>
        <v>736</v>
      </c>
      <c r="J43" s="205">
        <f t="shared" si="8"/>
        <v>10375.37502</v>
      </c>
      <c r="K43" s="203">
        <f t="shared" ref="K43:K48" si="15">K42+E43</f>
        <v>7636276.017</v>
      </c>
    </row>
    <row r="44" ht="15.75" customHeight="1">
      <c r="A44" s="199">
        <v>37.0</v>
      </c>
      <c r="B44" s="236">
        <f>'Nagata Tuna'!B45</f>
        <v>45168</v>
      </c>
      <c r="C44" s="269">
        <f>'Nagata Tuna'!L45</f>
        <v>340</v>
      </c>
      <c r="D44" s="129">
        <f>'Nagata Tuna'!Y45</f>
        <v>10399.00239</v>
      </c>
      <c r="E44" s="202">
        <f t="shared" si="13"/>
        <v>3535660.813</v>
      </c>
      <c r="F44" s="227"/>
      <c r="G44" s="227"/>
      <c r="H44" s="202"/>
      <c r="I44" s="268">
        <f t="shared" si="14"/>
        <v>1076</v>
      </c>
      <c r="J44" s="205">
        <f t="shared" si="8"/>
        <v>10382.84092</v>
      </c>
      <c r="K44" s="203">
        <f t="shared" si="15"/>
        <v>11171936.83</v>
      </c>
    </row>
    <row r="45" ht="15.75" customHeight="1">
      <c r="A45" s="199">
        <v>38.0</v>
      </c>
      <c r="B45" s="236">
        <f>'Nagata Tuna'!B46</f>
        <v>45169</v>
      </c>
      <c r="C45" s="269">
        <f>'Nagata Tuna'!L46</f>
        <v>220</v>
      </c>
      <c r="D45" s="129">
        <f>'Nagata Tuna'!Y46</f>
        <v>10338.64763</v>
      </c>
      <c r="E45" s="202">
        <f t="shared" si="13"/>
        <v>2274502.478</v>
      </c>
      <c r="F45" s="227"/>
      <c r="G45" s="227"/>
      <c r="H45" s="202"/>
      <c r="I45" s="268">
        <f t="shared" si="14"/>
        <v>1296</v>
      </c>
      <c r="J45" s="205">
        <f t="shared" si="8"/>
        <v>10375.33897</v>
      </c>
      <c r="K45" s="203">
        <f t="shared" si="15"/>
        <v>13446439.31</v>
      </c>
    </row>
    <row r="46" ht="15.75" customHeight="1">
      <c r="A46" s="199">
        <v>39.0</v>
      </c>
      <c r="B46" s="232">
        <f>'Nagata Tuna'!B50</f>
        <v>45171</v>
      </c>
      <c r="C46" s="129">
        <f>'Nagata Tuna'!L50</f>
        <v>70</v>
      </c>
      <c r="D46" s="237">
        <f>'Nagata Tuna'!Y50</f>
        <v>10373.03714</v>
      </c>
      <c r="E46" s="202">
        <f t="shared" si="13"/>
        <v>726112.5997</v>
      </c>
      <c r="F46" s="238"/>
      <c r="G46" s="239"/>
      <c r="H46" s="239"/>
      <c r="I46" s="268">
        <f t="shared" si="14"/>
        <v>1366</v>
      </c>
      <c r="J46" s="205">
        <f t="shared" si="8"/>
        <v>10375.22102</v>
      </c>
      <c r="K46" s="203">
        <f t="shared" si="15"/>
        <v>14172551.91</v>
      </c>
    </row>
    <row r="47" ht="15.75" customHeight="1">
      <c r="A47" s="199">
        <v>40.0</v>
      </c>
      <c r="B47" s="232">
        <f>'Nagata Tuna'!B51</f>
        <v>45172</v>
      </c>
      <c r="C47" s="129">
        <f>'Nagata Tuna'!L51</f>
        <v>530</v>
      </c>
      <c r="D47" s="237">
        <f>'Nagata Tuna'!Y51</f>
        <v>10371.43885</v>
      </c>
      <c r="E47" s="202">
        <f t="shared" si="13"/>
        <v>5496862.59</v>
      </c>
      <c r="F47" s="238"/>
      <c r="G47" s="238"/>
      <c r="H47" s="239"/>
      <c r="I47" s="268">
        <f t="shared" si="14"/>
        <v>1896</v>
      </c>
      <c r="J47" s="205">
        <f t="shared" si="8"/>
        <v>10374.16376</v>
      </c>
      <c r="K47" s="203">
        <f t="shared" si="15"/>
        <v>19669414.5</v>
      </c>
    </row>
    <row r="48" ht="15.75" customHeight="1">
      <c r="A48" s="199">
        <v>41.0</v>
      </c>
      <c r="B48" s="232">
        <f>'Nagata Tuna'!B52</f>
        <v>45173</v>
      </c>
      <c r="C48" s="129">
        <f>'Nagata Tuna'!L52</f>
        <v>199</v>
      </c>
      <c r="D48" s="237">
        <f>'Nagata Tuna'!Y52</f>
        <v>10450.57357</v>
      </c>
      <c r="E48" s="202">
        <f t="shared" si="13"/>
        <v>2079664.141</v>
      </c>
      <c r="F48" s="238"/>
      <c r="G48" s="238"/>
      <c r="H48" s="239"/>
      <c r="I48" s="268">
        <f t="shared" si="14"/>
        <v>2095</v>
      </c>
      <c r="J48" s="205">
        <f t="shared" si="8"/>
        <v>10381.42178</v>
      </c>
      <c r="K48" s="203">
        <f t="shared" si="15"/>
        <v>21749078.64</v>
      </c>
    </row>
    <row r="49" ht="15.75" customHeight="1">
      <c r="A49" s="199">
        <v>42.0</v>
      </c>
      <c r="B49" s="234">
        <v>45173.0</v>
      </c>
      <c r="C49" s="228"/>
      <c r="D49" s="228"/>
      <c r="E49" s="240"/>
      <c r="F49" s="241">
        <v>1160.0</v>
      </c>
      <c r="G49" s="240">
        <f>J48</f>
        <v>10381.42178</v>
      </c>
      <c r="H49" s="240">
        <f>F49*G49</f>
        <v>12042449.27</v>
      </c>
      <c r="I49" s="242">
        <f>I48-F49</f>
        <v>935</v>
      </c>
      <c r="J49" s="243">
        <f t="shared" si="8"/>
        <v>10381.42178</v>
      </c>
      <c r="K49" s="244">
        <f>K48-H49</f>
        <v>9706629.368</v>
      </c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ht="15.75" customHeight="1">
      <c r="A50" s="199">
        <v>43.0</v>
      </c>
      <c r="B50" s="232">
        <f>'Nagata Tuna'!B53</f>
        <v>45175</v>
      </c>
      <c r="C50" s="237">
        <f>'Nagata Tuna'!L53</f>
        <v>855</v>
      </c>
      <c r="D50" s="237">
        <f>'Nagata Tuna'!Y53</f>
        <v>10379.99212</v>
      </c>
      <c r="E50" s="239">
        <f t="shared" ref="E50:E54" si="16">C50*D50</f>
        <v>8874893.26</v>
      </c>
      <c r="F50" s="238"/>
      <c r="G50" s="238"/>
      <c r="H50" s="239"/>
      <c r="I50" s="245">
        <f t="shared" ref="I50:I54" si="17">I49+C50</f>
        <v>1790</v>
      </c>
      <c r="J50" s="246">
        <f t="shared" si="8"/>
        <v>10380.7389</v>
      </c>
      <c r="K50" s="247">
        <f t="shared" ref="K50:K54" si="18">K49+E50</f>
        <v>18581522.63</v>
      </c>
    </row>
    <row r="51" ht="15.75" customHeight="1">
      <c r="A51" s="199">
        <v>44.0</v>
      </c>
      <c r="B51" s="232">
        <f>'Nagata Tuna'!B54</f>
        <v>45192</v>
      </c>
      <c r="C51" s="237">
        <f>'Nagata Tuna'!L54</f>
        <v>987</v>
      </c>
      <c r="D51" s="237">
        <f>'Nagata Tuna'!Y54</f>
        <v>10388.27198</v>
      </c>
      <c r="E51" s="239">
        <f t="shared" si="16"/>
        <v>10253224.45</v>
      </c>
      <c r="F51" s="238"/>
      <c r="G51" s="238"/>
      <c r="H51" s="239"/>
      <c r="I51" s="245">
        <f t="shared" si="17"/>
        <v>2777</v>
      </c>
      <c r="J51" s="246">
        <f t="shared" si="8"/>
        <v>10383.4163</v>
      </c>
      <c r="K51" s="247">
        <f t="shared" si="18"/>
        <v>28834747.08</v>
      </c>
    </row>
    <row r="52" ht="15.75" customHeight="1">
      <c r="A52" s="199">
        <v>45.0</v>
      </c>
      <c r="B52" s="232">
        <f>'Nagata Tuna'!B55</f>
        <v>45193</v>
      </c>
      <c r="C52" s="237">
        <f>'Nagata Tuna'!L55</f>
        <v>181</v>
      </c>
      <c r="D52" s="237">
        <f>'Nagata Tuna'!Y55</f>
        <v>10376.15736</v>
      </c>
      <c r="E52" s="239">
        <f t="shared" si="16"/>
        <v>1878084.483</v>
      </c>
      <c r="F52" s="238"/>
      <c r="G52" s="238"/>
      <c r="H52" s="239"/>
      <c r="I52" s="245">
        <f t="shared" si="17"/>
        <v>2958</v>
      </c>
      <c r="J52" s="246">
        <f t="shared" si="8"/>
        <v>10382.97213</v>
      </c>
      <c r="K52" s="247">
        <f t="shared" si="18"/>
        <v>30712831.56</v>
      </c>
    </row>
    <row r="53" ht="15.75" customHeight="1">
      <c r="A53" s="199">
        <v>46.0</v>
      </c>
      <c r="B53" s="232">
        <f>'Nagata Tuna'!B56</f>
        <v>45194</v>
      </c>
      <c r="C53" s="237">
        <f>'Nagata Tuna'!L56</f>
        <v>550</v>
      </c>
      <c r="D53" s="237">
        <f>'Nagata Tuna'!Y56</f>
        <v>10578.82269</v>
      </c>
      <c r="E53" s="239">
        <f t="shared" si="16"/>
        <v>5818352.48</v>
      </c>
      <c r="F53" s="238"/>
      <c r="G53" s="238"/>
      <c r="H53" s="239"/>
      <c r="I53" s="245">
        <f t="shared" si="17"/>
        <v>3508</v>
      </c>
      <c r="J53" s="246">
        <f t="shared" si="8"/>
        <v>10413.67846</v>
      </c>
      <c r="K53" s="247">
        <f t="shared" si="18"/>
        <v>36531184.04</v>
      </c>
    </row>
    <row r="54" ht="15.75" customHeight="1">
      <c r="A54" s="199">
        <v>47.0</v>
      </c>
      <c r="B54" s="232">
        <f>'Nagata Tuna'!B57</f>
        <v>45199</v>
      </c>
      <c r="C54" s="237">
        <f>'Nagata Tuna'!L57</f>
        <v>1097.4</v>
      </c>
      <c r="D54" s="237">
        <f>'Nagata Tuna'!Y57</f>
        <v>10380.19847</v>
      </c>
      <c r="E54" s="239">
        <f t="shared" si="16"/>
        <v>11391229.8</v>
      </c>
      <c r="F54" s="238"/>
      <c r="G54" s="238"/>
      <c r="H54" s="239"/>
      <c r="I54" s="245">
        <f t="shared" si="17"/>
        <v>4605.4</v>
      </c>
      <c r="J54" s="246">
        <f t="shared" si="8"/>
        <v>10405.70066</v>
      </c>
      <c r="K54" s="247">
        <f t="shared" si="18"/>
        <v>47922413.84</v>
      </c>
      <c r="L54" s="124">
        <f>H49</f>
        <v>12042449.27</v>
      </c>
    </row>
    <row r="55" ht="15.75" customHeight="1">
      <c r="A55" s="199">
        <v>48.0</v>
      </c>
      <c r="B55" s="234">
        <v>45200.0</v>
      </c>
      <c r="C55" s="228"/>
      <c r="D55" s="228"/>
      <c r="E55" s="240"/>
      <c r="F55" s="241">
        <v>3150.0</v>
      </c>
      <c r="G55" s="244">
        <f>J54</f>
        <v>10405.70066</v>
      </c>
      <c r="H55" s="240">
        <f>F55*G55</f>
        <v>32777957.09</v>
      </c>
      <c r="I55" s="242">
        <f>I54-F55</f>
        <v>1455.4</v>
      </c>
      <c r="J55" s="243">
        <f t="shared" si="8"/>
        <v>10405.70066</v>
      </c>
      <c r="K55" s="244">
        <f>K54-H55</f>
        <v>15144456.75</v>
      </c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ht="15.75" customHeight="1">
      <c r="A56" s="199">
        <v>49.0</v>
      </c>
      <c r="B56" s="232">
        <f>'Nagata Tuna'!B60</f>
        <v>45208</v>
      </c>
      <c r="C56" s="237">
        <f>'Nagata Tuna'!L60</f>
        <v>416</v>
      </c>
      <c r="D56" s="237">
        <f>'Nagata Tuna'!Y60</f>
        <v>10335.72915</v>
      </c>
      <c r="E56" s="239">
        <f t="shared" ref="E56:E58" si="19">C56*D56</f>
        <v>4299663.328</v>
      </c>
      <c r="F56" s="238"/>
      <c r="G56" s="238"/>
      <c r="H56" s="239"/>
      <c r="I56" s="245">
        <f t="shared" ref="I56:I58" si="20">I55+C56</f>
        <v>1871.4</v>
      </c>
      <c r="J56" s="246">
        <f t="shared" si="8"/>
        <v>10390.14645</v>
      </c>
      <c r="K56" s="247">
        <f t="shared" ref="K56:K58" si="21">K55+E56</f>
        <v>19444120.07</v>
      </c>
    </row>
    <row r="57" ht="15.75" customHeight="1">
      <c r="A57" s="199">
        <v>50.0</v>
      </c>
      <c r="B57" s="232">
        <f>'Nagata Tuna'!B61</f>
        <v>45209</v>
      </c>
      <c r="C57" s="237">
        <f>'Nagata Tuna'!L61</f>
        <v>146.2</v>
      </c>
      <c r="D57" s="237">
        <f>'Nagata Tuna'!Y61</f>
        <v>10323.80114</v>
      </c>
      <c r="E57" s="239">
        <f t="shared" si="19"/>
        <v>1509339.726</v>
      </c>
      <c r="F57" s="238"/>
      <c r="G57" s="238"/>
      <c r="H57" s="239"/>
      <c r="I57" s="245">
        <f t="shared" si="20"/>
        <v>2017.6</v>
      </c>
      <c r="J57" s="246">
        <f t="shared" si="8"/>
        <v>10385.33892</v>
      </c>
      <c r="K57" s="247">
        <f t="shared" si="21"/>
        <v>20953459.8</v>
      </c>
    </row>
    <row r="58" ht="15.75" customHeight="1">
      <c r="A58" s="199">
        <v>51.0</v>
      </c>
      <c r="B58" s="232">
        <f>'Nagata Tuna'!B62</f>
        <v>45210</v>
      </c>
      <c r="C58" s="237">
        <f>'Nagata Tuna'!L62</f>
        <v>105</v>
      </c>
      <c r="D58" s="237">
        <f>'Nagata Tuna'!Y62</f>
        <v>10390.66392</v>
      </c>
      <c r="E58" s="239">
        <f t="shared" si="19"/>
        <v>1091019.712</v>
      </c>
      <c r="F58" s="238"/>
      <c r="G58" s="238"/>
      <c r="H58" s="239"/>
      <c r="I58" s="245">
        <f t="shared" si="20"/>
        <v>2122.6</v>
      </c>
      <c r="J58" s="246">
        <f t="shared" si="8"/>
        <v>10385.60233</v>
      </c>
      <c r="K58" s="247">
        <f t="shared" si="21"/>
        <v>22044479.51</v>
      </c>
    </row>
    <row r="59" ht="15.75" customHeight="1">
      <c r="A59" s="199">
        <v>52.0</v>
      </c>
      <c r="B59" s="234">
        <v>45212.0</v>
      </c>
      <c r="C59" s="228"/>
      <c r="D59" s="228"/>
      <c r="E59" s="240"/>
      <c r="F59" s="241">
        <v>110.0</v>
      </c>
      <c r="G59" s="244">
        <f>J58</f>
        <v>10385.60233</v>
      </c>
      <c r="H59" s="240">
        <f>F59*G59</f>
        <v>1142416.257</v>
      </c>
      <c r="I59" s="242">
        <f>I58-F59</f>
        <v>2012.6</v>
      </c>
      <c r="J59" s="243">
        <f t="shared" si="8"/>
        <v>10385.60233</v>
      </c>
      <c r="K59" s="244">
        <f>K58-H59</f>
        <v>20902063.26</v>
      </c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ht="15.75" customHeight="1">
      <c r="A60" s="199">
        <v>53.0</v>
      </c>
      <c r="B60" s="232">
        <f>'Nagata Tuna'!B63</f>
        <v>45213</v>
      </c>
      <c r="C60" s="237">
        <f>'Nagata Tuna'!L63</f>
        <v>176.5</v>
      </c>
      <c r="D60" s="237">
        <f>'Nagata Tuna'!Y63</f>
        <v>9332.160668</v>
      </c>
      <c r="E60" s="239">
        <f t="shared" ref="E60:E65" si="22">C60*D60</f>
        <v>1647126.358</v>
      </c>
      <c r="F60" s="238"/>
      <c r="G60" s="238"/>
      <c r="H60" s="239"/>
      <c r="I60" s="245">
        <f t="shared" ref="I60:I65" si="23">I59+C60</f>
        <v>2189.1</v>
      </c>
      <c r="J60" s="246">
        <f t="shared" si="8"/>
        <v>10300.66676</v>
      </c>
      <c r="K60" s="247">
        <f t="shared" ref="K60:K65" si="24">K59+E60</f>
        <v>22549189.61</v>
      </c>
    </row>
    <row r="61" ht="15.75" customHeight="1">
      <c r="A61" s="199">
        <v>54.0</v>
      </c>
      <c r="B61" s="232">
        <f>'Nagata Tuna'!B64</f>
        <v>45214</v>
      </c>
      <c r="C61" s="237">
        <f>'Nagata Tuna'!L64</f>
        <v>74.6</v>
      </c>
      <c r="D61" s="237">
        <f>'Nagata Tuna'!Y64</f>
        <v>9331.163501</v>
      </c>
      <c r="E61" s="239">
        <f t="shared" si="22"/>
        <v>696104.7972</v>
      </c>
      <c r="F61" s="238"/>
      <c r="G61" s="238"/>
      <c r="H61" s="239"/>
      <c r="I61" s="245">
        <f t="shared" si="23"/>
        <v>2263.7</v>
      </c>
      <c r="J61" s="246">
        <f t="shared" si="8"/>
        <v>10268.71688</v>
      </c>
      <c r="K61" s="247">
        <f t="shared" si="24"/>
        <v>23245294.41</v>
      </c>
    </row>
    <row r="62" ht="15.75" customHeight="1">
      <c r="A62" s="199">
        <v>55.0</v>
      </c>
      <c r="B62" s="232">
        <f>'Nagata Tuna'!B65</f>
        <v>45215</v>
      </c>
      <c r="C62" s="237">
        <f>'Nagata Tuna'!L65</f>
        <v>66.2</v>
      </c>
      <c r="D62" s="237">
        <f>'Nagata Tuna'!Y65</f>
        <v>9345.227489</v>
      </c>
      <c r="E62" s="239">
        <f t="shared" si="22"/>
        <v>618654.0598</v>
      </c>
      <c r="F62" s="238"/>
      <c r="G62" s="238"/>
      <c r="H62" s="239"/>
      <c r="I62" s="245">
        <f t="shared" si="23"/>
        <v>2329.9</v>
      </c>
      <c r="J62" s="246">
        <f t="shared" si="8"/>
        <v>10242.47756</v>
      </c>
      <c r="K62" s="247">
        <f t="shared" si="24"/>
        <v>23863948.47</v>
      </c>
    </row>
    <row r="63" ht="15.75" customHeight="1">
      <c r="A63" s="199">
        <v>56.0</v>
      </c>
      <c r="B63" s="232">
        <f>'Nagata Tuna'!B66</f>
        <v>45216</v>
      </c>
      <c r="C63" s="237">
        <f>'Nagata Tuna'!L66</f>
        <v>60.8</v>
      </c>
      <c r="D63" s="237">
        <f>'Nagata Tuna'!Y66</f>
        <v>9343.204472</v>
      </c>
      <c r="E63" s="239">
        <f t="shared" si="22"/>
        <v>568066.8319</v>
      </c>
      <c r="F63" s="238"/>
      <c r="G63" s="238"/>
      <c r="H63" s="239"/>
      <c r="I63" s="245">
        <f t="shared" si="23"/>
        <v>2390.7</v>
      </c>
      <c r="J63" s="246">
        <f t="shared" si="8"/>
        <v>10219.60735</v>
      </c>
      <c r="K63" s="247">
        <f t="shared" si="24"/>
        <v>24432015.3</v>
      </c>
    </row>
    <row r="64" ht="15.75" customHeight="1">
      <c r="A64" s="199">
        <v>57.0</v>
      </c>
      <c r="B64" s="232">
        <f>'Nagata Tuna'!B67</f>
        <v>45217</v>
      </c>
      <c r="C64" s="237">
        <f>'Nagata Tuna'!L67</f>
        <v>241</v>
      </c>
      <c r="D64" s="237">
        <f>'Nagata Tuna'!Y67</f>
        <v>9326.168613</v>
      </c>
      <c r="E64" s="239">
        <f t="shared" si="22"/>
        <v>2247606.636</v>
      </c>
      <c r="F64" s="238"/>
      <c r="G64" s="238"/>
      <c r="H64" s="239"/>
      <c r="I64" s="245">
        <f t="shared" si="23"/>
        <v>2631.7</v>
      </c>
      <c r="J64" s="246">
        <f t="shared" si="8"/>
        <v>10137.79</v>
      </c>
      <c r="K64" s="247">
        <f t="shared" si="24"/>
        <v>26679621.94</v>
      </c>
    </row>
    <row r="65" ht="15.75" customHeight="1">
      <c r="A65" s="199">
        <v>58.0</v>
      </c>
      <c r="B65" s="232">
        <f>'Nagata Tuna'!B68</f>
        <v>45218</v>
      </c>
      <c r="C65" s="237">
        <f>'Nagata Tuna'!L68</f>
        <v>94.2</v>
      </c>
      <c r="D65" s="237">
        <f>'Nagata Tuna'!Y68</f>
        <v>9357.170315</v>
      </c>
      <c r="E65" s="239">
        <f t="shared" si="22"/>
        <v>881445.4437</v>
      </c>
      <c r="F65" s="238"/>
      <c r="G65" s="238"/>
      <c r="H65" s="239"/>
      <c r="I65" s="245">
        <f t="shared" si="23"/>
        <v>2725.9</v>
      </c>
      <c r="J65" s="246">
        <f t="shared" si="8"/>
        <v>10110.81382</v>
      </c>
      <c r="K65" s="247">
        <f t="shared" si="24"/>
        <v>27561067.38</v>
      </c>
    </row>
    <row r="66" ht="15.75" customHeight="1">
      <c r="A66" s="199">
        <v>59.0</v>
      </c>
      <c r="B66" s="234">
        <v>45219.0</v>
      </c>
      <c r="C66" s="228"/>
      <c r="D66" s="228"/>
      <c r="E66" s="240"/>
      <c r="F66" s="241">
        <v>1740.0</v>
      </c>
      <c r="G66" s="244">
        <f>J65</f>
        <v>10110.81382</v>
      </c>
      <c r="H66" s="240">
        <f>F66*G66</f>
        <v>17592816.04</v>
      </c>
      <c r="I66" s="242">
        <f>I65-F66</f>
        <v>985.9</v>
      </c>
      <c r="J66" s="243">
        <f t="shared" si="8"/>
        <v>10110.81382</v>
      </c>
      <c r="K66" s="244">
        <f>K65-H66</f>
        <v>9968251.342</v>
      </c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ht="15.75" customHeight="1">
      <c r="A67" s="199">
        <v>60.0</v>
      </c>
      <c r="B67" s="232">
        <f>'Nagata Tuna'!B69</f>
        <v>45220</v>
      </c>
      <c r="C67" s="237">
        <f>'Nagata Tuna'!L69</f>
        <v>90</v>
      </c>
      <c r="D67" s="237">
        <f>'Nagata Tuna'!Y69</f>
        <v>9322.680163</v>
      </c>
      <c r="E67" s="239">
        <f t="shared" ref="E67:E72" si="25">C67*D67</f>
        <v>839041.2147</v>
      </c>
      <c r="F67" s="238"/>
      <c r="G67" s="238"/>
      <c r="H67" s="239"/>
      <c r="I67" s="245">
        <f t="shared" ref="I67:I72" si="26">I66+C67</f>
        <v>1075.9</v>
      </c>
      <c r="J67" s="246">
        <f t="shared" si="8"/>
        <v>10044.88573</v>
      </c>
      <c r="K67" s="247">
        <f t="shared" ref="K67:K72" si="27">K66+E67</f>
        <v>10807292.56</v>
      </c>
    </row>
    <row r="68" ht="15.75" customHeight="1">
      <c r="A68" s="199">
        <v>61.0</v>
      </c>
      <c r="B68" s="232">
        <f>'Nagata Tuna'!B70</f>
        <v>45223</v>
      </c>
      <c r="C68" s="237">
        <f>'Nagata Tuna'!L70</f>
        <v>70</v>
      </c>
      <c r="D68" s="237">
        <f>'Nagata Tuna'!Y70</f>
        <v>9332.306769</v>
      </c>
      <c r="E68" s="239">
        <f t="shared" si="25"/>
        <v>653261.4739</v>
      </c>
      <c r="F68" s="238"/>
      <c r="G68" s="238"/>
      <c r="H68" s="239"/>
      <c r="I68" s="245">
        <f t="shared" si="26"/>
        <v>1145.9</v>
      </c>
      <c r="J68" s="246">
        <f t="shared" si="8"/>
        <v>10001.35617</v>
      </c>
      <c r="K68" s="247">
        <f t="shared" si="27"/>
        <v>11460554.03</v>
      </c>
    </row>
    <row r="69" ht="15.75" customHeight="1">
      <c r="A69" s="199">
        <v>62.0</v>
      </c>
      <c r="B69" s="232">
        <f>'Nagata Tuna'!B71</f>
        <v>45224</v>
      </c>
      <c r="C69" s="237">
        <f>'Nagata Tuna'!L71</f>
        <v>38</v>
      </c>
      <c r="D69" s="237">
        <f>'Nagata Tuna'!Y71</f>
        <v>9341.405227</v>
      </c>
      <c r="E69" s="239">
        <f t="shared" si="25"/>
        <v>354973.3986</v>
      </c>
      <c r="F69" s="238"/>
      <c r="G69" s="238"/>
      <c r="H69" s="239"/>
      <c r="I69" s="245">
        <f t="shared" si="26"/>
        <v>1183.9</v>
      </c>
      <c r="J69" s="246">
        <f t="shared" si="8"/>
        <v>9980.173519</v>
      </c>
      <c r="K69" s="247">
        <f t="shared" si="27"/>
        <v>11815527.43</v>
      </c>
    </row>
    <row r="70" ht="15.75" customHeight="1">
      <c r="A70" s="199">
        <v>63.0</v>
      </c>
      <c r="B70" s="232">
        <f>'Nagata Tuna'!B72</f>
        <v>45225</v>
      </c>
      <c r="C70" s="237">
        <f>'Nagata Tuna'!L72</f>
        <v>44</v>
      </c>
      <c r="D70" s="237">
        <f>'Nagata Tuna'!Y72</f>
        <v>9336.276166</v>
      </c>
      <c r="E70" s="239">
        <f t="shared" si="25"/>
        <v>410796.1513</v>
      </c>
      <c r="F70" s="238"/>
      <c r="G70" s="238"/>
      <c r="H70" s="239"/>
      <c r="I70" s="245">
        <f t="shared" si="26"/>
        <v>1227.9</v>
      </c>
      <c r="J70" s="246">
        <f t="shared" si="8"/>
        <v>9957.100399</v>
      </c>
      <c r="K70" s="247">
        <f t="shared" si="27"/>
        <v>12226323.58</v>
      </c>
    </row>
    <row r="71" ht="15.75" customHeight="1">
      <c r="A71" s="199">
        <v>65.0</v>
      </c>
      <c r="B71" s="232">
        <f>'Nagata Tuna'!B73</f>
        <v>45227</v>
      </c>
      <c r="C71" s="237">
        <f>'Nagata Tuna'!L73</f>
        <v>106.3</v>
      </c>
      <c r="D71" s="237">
        <f>'Nagata Tuna'!Y73</f>
        <v>9328.609917</v>
      </c>
      <c r="E71" s="239">
        <f t="shared" si="25"/>
        <v>991631.2342</v>
      </c>
      <c r="F71" s="238"/>
      <c r="G71" s="238"/>
      <c r="H71" s="239"/>
      <c r="I71" s="245">
        <f t="shared" si="26"/>
        <v>1334.2</v>
      </c>
      <c r="J71" s="246">
        <f t="shared" si="8"/>
        <v>9907.026544</v>
      </c>
      <c r="K71" s="247">
        <f t="shared" si="27"/>
        <v>13217954.81</v>
      </c>
    </row>
    <row r="72" ht="15.75" customHeight="1">
      <c r="A72" s="199">
        <v>66.0</v>
      </c>
      <c r="B72" s="232">
        <f>'Nagata Tuna'!B74</f>
        <v>45228</v>
      </c>
      <c r="C72" s="237">
        <f>'Nagata Tuna'!L74</f>
        <v>48.5</v>
      </c>
      <c r="D72" s="237">
        <f>'Nagata Tuna'!Y74</f>
        <v>9344.839434</v>
      </c>
      <c r="E72" s="239">
        <f t="shared" si="25"/>
        <v>453224.7125</v>
      </c>
      <c r="F72" s="238"/>
      <c r="G72" s="238"/>
      <c r="H72" s="239"/>
      <c r="I72" s="245">
        <f t="shared" si="26"/>
        <v>1382.7</v>
      </c>
      <c r="J72" s="246">
        <f t="shared" si="8"/>
        <v>9887.3071</v>
      </c>
      <c r="K72" s="247">
        <f t="shared" si="27"/>
        <v>13671179.53</v>
      </c>
    </row>
    <row r="73" ht="15.75" customHeight="1">
      <c r="A73" s="199">
        <v>67.0</v>
      </c>
      <c r="B73" s="234">
        <v>45232.0</v>
      </c>
      <c r="C73" s="248"/>
      <c r="D73" s="248"/>
      <c r="E73" s="240"/>
      <c r="F73" s="241">
        <f>20240-'Persediaan &amp; HPP Cakalang A-B'!F79</f>
        <v>900</v>
      </c>
      <c r="G73" s="244">
        <f>J72</f>
        <v>9887.3071</v>
      </c>
      <c r="H73" s="240">
        <f>F73*G73</f>
        <v>8898576.39</v>
      </c>
      <c r="I73" s="242">
        <f>I72-F73</f>
        <v>482.7</v>
      </c>
      <c r="J73" s="243">
        <f t="shared" si="8"/>
        <v>9887.3071</v>
      </c>
      <c r="K73" s="244">
        <f>K72-H73</f>
        <v>4772603.137</v>
      </c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ht="15.75" customHeight="1">
      <c r="A74" s="199">
        <v>68.0</v>
      </c>
      <c r="B74" s="232">
        <f>'Nagata Tuna'!B77</f>
        <v>45234</v>
      </c>
      <c r="C74" s="249">
        <f>'Nagata Tuna'!L77</f>
        <v>89.9</v>
      </c>
      <c r="D74" s="237">
        <f>'Nagata Tuna'!Y77</f>
        <v>9321.05218</v>
      </c>
      <c r="E74" s="239">
        <f t="shared" ref="E74:E89" si="28">C74*D74</f>
        <v>837962.591</v>
      </c>
      <c r="F74" s="238"/>
      <c r="G74" s="238"/>
      <c r="H74" s="239"/>
      <c r="I74" s="245">
        <f t="shared" ref="I74:I89" si="29">I73+C74</f>
        <v>572.6</v>
      </c>
      <c r="J74" s="246">
        <f t="shared" si="8"/>
        <v>9798.403297</v>
      </c>
      <c r="K74" s="247">
        <f t="shared" ref="K74:K89" si="30">K73+E74</f>
        <v>5610565.728</v>
      </c>
    </row>
    <row r="75" ht="15.75" customHeight="1">
      <c r="A75" s="199">
        <v>69.0</v>
      </c>
      <c r="B75" s="232">
        <f>'Nagata Tuna'!B78</f>
        <v>45235</v>
      </c>
      <c r="C75" s="237">
        <f>'Nagata Tuna'!L78</f>
        <v>54.2</v>
      </c>
      <c r="D75" s="237">
        <f>'Nagata Tuna'!Y78</f>
        <v>9337.315032</v>
      </c>
      <c r="E75" s="239">
        <f t="shared" si="28"/>
        <v>506082.4747</v>
      </c>
      <c r="F75" s="238"/>
      <c r="G75" s="238"/>
      <c r="H75" s="239"/>
      <c r="I75" s="245">
        <f t="shared" si="29"/>
        <v>626.8</v>
      </c>
      <c r="J75" s="246">
        <f t="shared" si="8"/>
        <v>9758.532551</v>
      </c>
      <c r="K75" s="247">
        <f t="shared" si="30"/>
        <v>6116648.203</v>
      </c>
    </row>
    <row r="76" ht="15.75" customHeight="1">
      <c r="A76" s="199">
        <v>70.0</v>
      </c>
      <c r="B76" s="232">
        <f>'Nagata Tuna'!B79</f>
        <v>45236</v>
      </c>
      <c r="C76" s="249">
        <f>'Nagata Tuna'!L79</f>
        <v>48.7</v>
      </c>
      <c r="D76" s="237">
        <f>'Nagata Tuna'!Y79</f>
        <v>9389.531424</v>
      </c>
      <c r="E76" s="239">
        <f t="shared" si="28"/>
        <v>457270.1803</v>
      </c>
      <c r="F76" s="238"/>
      <c r="G76" s="238"/>
      <c r="H76" s="239"/>
      <c r="I76" s="245">
        <f t="shared" si="29"/>
        <v>675.5</v>
      </c>
      <c r="J76" s="246">
        <f t="shared" si="8"/>
        <v>9731.929509</v>
      </c>
      <c r="K76" s="247">
        <f t="shared" si="30"/>
        <v>6573918.383</v>
      </c>
    </row>
    <row r="77" ht="15.75" customHeight="1">
      <c r="A77" s="199">
        <v>71.0</v>
      </c>
      <c r="B77" s="232">
        <f>'Nagata Tuna'!B80</f>
        <v>45237</v>
      </c>
      <c r="C77" s="249">
        <f>'Nagata Tuna'!L80</f>
        <v>55</v>
      </c>
      <c r="D77" s="237">
        <f>'Nagata Tuna'!Y80</f>
        <v>9323.49235</v>
      </c>
      <c r="E77" s="239">
        <f t="shared" si="28"/>
        <v>512792.0792</v>
      </c>
      <c r="F77" s="238"/>
      <c r="G77" s="238"/>
      <c r="H77" s="239"/>
      <c r="I77" s="245">
        <f t="shared" si="29"/>
        <v>730.5</v>
      </c>
      <c r="J77" s="246">
        <f t="shared" si="8"/>
        <v>9701.177909</v>
      </c>
      <c r="K77" s="247">
        <f t="shared" si="30"/>
        <v>7086710.462</v>
      </c>
    </row>
    <row r="78" ht="15.75" customHeight="1">
      <c r="A78" s="199">
        <v>72.0</v>
      </c>
      <c r="B78" s="232">
        <f>'Nagata Tuna'!B81</f>
        <v>45238</v>
      </c>
      <c r="C78" s="249">
        <f>'Nagata Tuna'!L81</f>
        <v>70</v>
      </c>
      <c r="D78" s="237">
        <f>'Nagata Tuna'!Y81</f>
        <v>9301.077405</v>
      </c>
      <c r="E78" s="239">
        <f t="shared" si="28"/>
        <v>651075.4184</v>
      </c>
      <c r="F78" s="238"/>
      <c r="G78" s="238"/>
      <c r="H78" s="239"/>
      <c r="I78" s="245">
        <f t="shared" si="29"/>
        <v>800.5</v>
      </c>
      <c r="J78" s="246">
        <f t="shared" si="8"/>
        <v>9666.190982</v>
      </c>
      <c r="K78" s="247">
        <f t="shared" si="30"/>
        <v>7737785.881</v>
      </c>
    </row>
    <row r="79" ht="15.75" customHeight="1">
      <c r="A79" s="199">
        <v>73.0</v>
      </c>
      <c r="B79" s="232">
        <f>'Nagata Tuna'!B82</f>
        <v>45239</v>
      </c>
      <c r="C79" s="249">
        <f>'Nagata Tuna'!L82</f>
        <v>68.3</v>
      </c>
      <c r="D79" s="237">
        <f>'Nagata Tuna'!Y82</f>
        <v>9326.499833</v>
      </c>
      <c r="E79" s="239">
        <f t="shared" si="28"/>
        <v>636999.9386</v>
      </c>
      <c r="F79" s="238"/>
      <c r="G79" s="238"/>
      <c r="H79" s="239"/>
      <c r="I79" s="245">
        <f t="shared" si="29"/>
        <v>868.8</v>
      </c>
      <c r="J79" s="246">
        <f t="shared" si="8"/>
        <v>9639.48644</v>
      </c>
      <c r="K79" s="247">
        <f t="shared" si="30"/>
        <v>8374785.819</v>
      </c>
    </row>
    <row r="80" ht="15.75" customHeight="1">
      <c r="A80" s="199">
        <v>74.0</v>
      </c>
      <c r="B80" s="232">
        <f>'Nagata Tuna'!B83</f>
        <v>45241</v>
      </c>
      <c r="C80" s="249">
        <f>'Nagata Tuna'!L83</f>
        <v>81.7</v>
      </c>
      <c r="D80" s="237">
        <f>'Nagata Tuna'!Y83</f>
        <v>9347.813834</v>
      </c>
      <c r="E80" s="239">
        <f t="shared" si="28"/>
        <v>763716.3902</v>
      </c>
      <c r="F80" s="238"/>
      <c r="G80" s="238"/>
      <c r="H80" s="239"/>
      <c r="I80" s="245">
        <f t="shared" si="29"/>
        <v>950.5</v>
      </c>
      <c r="J80" s="246">
        <f t="shared" si="8"/>
        <v>9614.415791</v>
      </c>
      <c r="K80" s="247">
        <f t="shared" si="30"/>
        <v>9138502.21</v>
      </c>
    </row>
    <row r="81" ht="15.75" customHeight="1">
      <c r="A81" s="199">
        <v>75.0</v>
      </c>
      <c r="B81" s="232">
        <f>'Nagata Tuna'!B84</f>
        <v>45242</v>
      </c>
      <c r="C81" s="249">
        <f>'Nagata Tuna'!L84</f>
        <v>36</v>
      </c>
      <c r="D81" s="237">
        <f>'Nagata Tuna'!Y84</f>
        <v>9314.129021</v>
      </c>
      <c r="E81" s="239">
        <f t="shared" si="28"/>
        <v>335308.6448</v>
      </c>
      <c r="F81" s="238"/>
      <c r="G81" s="238"/>
      <c r="H81" s="239"/>
      <c r="I81" s="245">
        <f t="shared" si="29"/>
        <v>986.5</v>
      </c>
      <c r="J81" s="246">
        <f t="shared" si="8"/>
        <v>9603.457531</v>
      </c>
      <c r="K81" s="247">
        <f t="shared" si="30"/>
        <v>9473810.854</v>
      </c>
    </row>
    <row r="82" ht="15.75" customHeight="1">
      <c r="A82" s="199">
        <v>76.0</v>
      </c>
      <c r="B82" s="232">
        <f>'Nagata Tuna'!B85</f>
        <v>45243</v>
      </c>
      <c r="C82" s="249">
        <f>'Nagata Tuna'!L85</f>
        <v>24.8</v>
      </c>
      <c r="D82" s="237">
        <f>'Nagata Tuna'!Y85</f>
        <v>9341.174871</v>
      </c>
      <c r="E82" s="239">
        <f t="shared" si="28"/>
        <v>231661.1368</v>
      </c>
      <c r="F82" s="238"/>
      <c r="G82" s="238"/>
      <c r="H82" s="239"/>
      <c r="I82" s="245">
        <f t="shared" si="29"/>
        <v>1011.3</v>
      </c>
      <c r="J82" s="246">
        <f t="shared" si="8"/>
        <v>9597.025602</v>
      </c>
      <c r="K82" s="247">
        <f t="shared" si="30"/>
        <v>9705471.991</v>
      </c>
    </row>
    <row r="83" ht="15.75" customHeight="1">
      <c r="A83" s="199">
        <v>76.0</v>
      </c>
      <c r="B83" s="232">
        <f>'Nagata Tuna'!B86</f>
        <v>45244</v>
      </c>
      <c r="C83" s="249">
        <f>'Nagata Tuna'!L86</f>
        <v>250</v>
      </c>
      <c r="D83" s="237">
        <f>'Nagata Tuna'!Y86</f>
        <v>9076.28003</v>
      </c>
      <c r="E83" s="239">
        <f t="shared" si="28"/>
        <v>2269070.007</v>
      </c>
      <c r="F83" s="238"/>
      <c r="G83" s="238"/>
      <c r="H83" s="239"/>
      <c r="I83" s="245">
        <f t="shared" si="29"/>
        <v>1261.3</v>
      </c>
      <c r="J83" s="246">
        <f t="shared" si="8"/>
        <v>9493.80956</v>
      </c>
      <c r="K83" s="247">
        <f t="shared" si="30"/>
        <v>11974542</v>
      </c>
    </row>
    <row r="84" ht="15.75" customHeight="1">
      <c r="A84" s="199">
        <v>77.0</v>
      </c>
      <c r="B84" s="232">
        <f>'Nagata Tuna'!B87</f>
        <v>45245</v>
      </c>
      <c r="C84" s="249">
        <f>'Nagata Tuna'!L87</f>
        <v>50</v>
      </c>
      <c r="D84" s="237">
        <f>'Nagata Tuna'!Y87</f>
        <v>9348.180903</v>
      </c>
      <c r="E84" s="239">
        <f t="shared" si="28"/>
        <v>467409.0452</v>
      </c>
      <c r="F84" s="238"/>
      <c r="G84" s="238"/>
      <c r="H84" s="239"/>
      <c r="I84" s="245">
        <f t="shared" si="29"/>
        <v>1311.3</v>
      </c>
      <c r="J84" s="246">
        <f t="shared" si="8"/>
        <v>9488.256725</v>
      </c>
      <c r="K84" s="247">
        <f t="shared" si="30"/>
        <v>12441951.04</v>
      </c>
    </row>
    <row r="85" ht="15.75" customHeight="1">
      <c r="A85" s="199">
        <v>78.0</v>
      </c>
      <c r="B85" s="232">
        <f>'Nagata Tuna'!B88</f>
        <v>45248</v>
      </c>
      <c r="C85" s="249">
        <f>'Nagata Tuna'!L88</f>
        <v>754.7</v>
      </c>
      <c r="D85" s="237">
        <f>'Nagata Tuna'!Y88</f>
        <v>9352.866983</v>
      </c>
      <c r="E85" s="239">
        <f t="shared" si="28"/>
        <v>7058608.712</v>
      </c>
      <c r="F85" s="238"/>
      <c r="G85" s="238"/>
      <c r="H85" s="239"/>
      <c r="I85" s="245">
        <f t="shared" si="29"/>
        <v>2066</v>
      </c>
      <c r="J85" s="246">
        <f t="shared" si="8"/>
        <v>9438.799495</v>
      </c>
      <c r="K85" s="247">
        <f t="shared" si="30"/>
        <v>19500559.76</v>
      </c>
    </row>
    <row r="86" ht="15.75" customHeight="1">
      <c r="A86" s="199">
        <v>79.0</v>
      </c>
      <c r="B86" s="232">
        <f>'Nagata Tuna'!B89</f>
        <v>45249</v>
      </c>
      <c r="C86" s="249">
        <f>'Nagata Tuna'!L89</f>
        <v>120</v>
      </c>
      <c r="D86" s="237">
        <f>'Nagata Tuna'!Y89</f>
        <v>8342.067601</v>
      </c>
      <c r="E86" s="239">
        <f t="shared" si="28"/>
        <v>1001048.112</v>
      </c>
      <c r="F86" s="238"/>
      <c r="G86" s="238"/>
      <c r="H86" s="239"/>
      <c r="I86" s="245">
        <f t="shared" si="29"/>
        <v>2186</v>
      </c>
      <c r="J86" s="246">
        <f t="shared" si="8"/>
        <v>9378.594633</v>
      </c>
      <c r="K86" s="247">
        <f t="shared" si="30"/>
        <v>20501607.87</v>
      </c>
    </row>
    <row r="87" ht="15.75" customHeight="1">
      <c r="A87" s="199">
        <v>80.0</v>
      </c>
      <c r="B87" s="232">
        <f>'Nagata Tuna'!B90</f>
        <v>45250</v>
      </c>
      <c r="C87" s="249">
        <f>'Nagata Tuna'!L90</f>
        <v>20</v>
      </c>
      <c r="D87" s="237">
        <f>'Nagata Tuna'!Y90</f>
        <v>8334.054728</v>
      </c>
      <c r="E87" s="239">
        <f t="shared" si="28"/>
        <v>166681.0946</v>
      </c>
      <c r="F87" s="238"/>
      <c r="G87" s="238"/>
      <c r="H87" s="239"/>
      <c r="I87" s="245">
        <f t="shared" si="29"/>
        <v>2206</v>
      </c>
      <c r="J87" s="246">
        <f t="shared" si="8"/>
        <v>9369.124643</v>
      </c>
      <c r="K87" s="247">
        <f t="shared" si="30"/>
        <v>20668288.96</v>
      </c>
    </row>
    <row r="88" ht="15.75" customHeight="1">
      <c r="A88" s="199">
        <v>81.0</v>
      </c>
      <c r="B88" s="232">
        <f>'Nagata Tuna'!B91</f>
        <v>45258</v>
      </c>
      <c r="C88" s="249">
        <f>'Nagata Tuna'!L91</f>
        <v>74</v>
      </c>
      <c r="D88" s="237">
        <f>'Nagata Tuna'!Y91</f>
        <v>8333.956968</v>
      </c>
      <c r="E88" s="239">
        <f t="shared" si="28"/>
        <v>616712.8156</v>
      </c>
      <c r="F88" s="238"/>
      <c r="G88" s="238"/>
      <c r="H88" s="239"/>
      <c r="I88" s="245">
        <f t="shared" si="29"/>
        <v>2280</v>
      </c>
      <c r="J88" s="246">
        <f t="shared" si="8"/>
        <v>9335.527096</v>
      </c>
      <c r="K88" s="247">
        <f t="shared" si="30"/>
        <v>21285001.78</v>
      </c>
    </row>
    <row r="89" ht="15.75" customHeight="1">
      <c r="A89" s="199">
        <v>82.0</v>
      </c>
      <c r="B89" s="232">
        <f>'Nagata Tuna'!B94</f>
        <v>45265</v>
      </c>
      <c r="C89" s="237">
        <f>'Nagata Tuna'!L94</f>
        <v>54.4</v>
      </c>
      <c r="D89" s="237">
        <f>'Nagata Tuna'!Y94</f>
        <v>8345.203189</v>
      </c>
      <c r="E89" s="239">
        <f t="shared" si="28"/>
        <v>453979.0535</v>
      </c>
      <c r="F89" s="238"/>
      <c r="G89" s="238"/>
      <c r="H89" s="239"/>
      <c r="I89" s="245">
        <f t="shared" si="29"/>
        <v>2334.4</v>
      </c>
      <c r="J89" s="246">
        <f t="shared" si="8"/>
        <v>9312.448951</v>
      </c>
      <c r="K89" s="247">
        <f t="shared" si="30"/>
        <v>21738980.83</v>
      </c>
    </row>
    <row r="90" ht="15.75" customHeight="1">
      <c r="A90" s="208">
        <v>83.0</v>
      </c>
      <c r="B90" s="234">
        <v>45265.0</v>
      </c>
      <c r="C90" s="228"/>
      <c r="D90" s="228"/>
      <c r="E90" s="241"/>
      <c r="F90" s="241">
        <f>16500-'Persediaan &amp; HPP Cakalang A-B'!F98</f>
        <v>850</v>
      </c>
      <c r="G90" s="244">
        <f>J89</f>
        <v>9312.448951</v>
      </c>
      <c r="H90" s="240">
        <f>F90*G90</f>
        <v>7915581.609</v>
      </c>
      <c r="I90" s="242">
        <f>I89-F90</f>
        <v>1484.4</v>
      </c>
      <c r="J90" s="243">
        <f t="shared" si="8"/>
        <v>9312.448951</v>
      </c>
      <c r="K90" s="244">
        <f>K89-H90</f>
        <v>13823399.22</v>
      </c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ht="15.75" customHeight="1">
      <c r="A91" s="199">
        <v>84.0</v>
      </c>
      <c r="B91" s="232">
        <f>'Nagata Tuna'!B95</f>
        <v>45266</v>
      </c>
      <c r="C91" s="249">
        <f>'Nagata Tuna'!L95</f>
        <v>150</v>
      </c>
      <c r="D91" s="237">
        <f>'Nagata Tuna'!Y95</f>
        <v>8366.970069</v>
      </c>
      <c r="E91" s="239">
        <f t="shared" ref="E91:E100" si="31">C91*D91</f>
        <v>1255045.51</v>
      </c>
      <c r="F91" s="238"/>
      <c r="G91" s="238"/>
      <c r="H91" s="239"/>
      <c r="I91" s="245">
        <f t="shared" ref="I91:I100" si="32">I90+C91</f>
        <v>1634.4</v>
      </c>
      <c r="J91" s="246">
        <f t="shared" si="8"/>
        <v>9225.675926</v>
      </c>
      <c r="K91" s="247">
        <f t="shared" ref="K91:K100" si="33">K90+E91</f>
        <v>15078444.73</v>
      </c>
    </row>
    <row r="92" ht="15.75" customHeight="1">
      <c r="A92" s="199">
        <v>85.0</v>
      </c>
      <c r="B92" s="232">
        <f>'Nagata Tuna'!B96</f>
        <v>45267</v>
      </c>
      <c r="C92" s="249">
        <f>'Nagata Tuna'!L96</f>
        <v>140</v>
      </c>
      <c r="D92" s="237">
        <f>'Nagata Tuna'!Y96</f>
        <v>8404.811887</v>
      </c>
      <c r="E92" s="239">
        <f t="shared" si="31"/>
        <v>1176673.664</v>
      </c>
      <c r="F92" s="238"/>
      <c r="G92" s="238"/>
      <c r="H92" s="239"/>
      <c r="I92" s="245">
        <f t="shared" si="32"/>
        <v>1774.4</v>
      </c>
      <c r="J92" s="246">
        <f t="shared" si="8"/>
        <v>9160.909827</v>
      </c>
      <c r="K92" s="247">
        <f t="shared" si="33"/>
        <v>16255118.4</v>
      </c>
    </row>
    <row r="93" ht="15.75" customHeight="1">
      <c r="A93" s="199">
        <v>86.0</v>
      </c>
      <c r="B93" s="232">
        <f>'Nagata Tuna'!B97</f>
        <v>45269</v>
      </c>
      <c r="C93" s="249">
        <f>'Nagata Tuna'!L97</f>
        <v>140</v>
      </c>
      <c r="D93" s="237">
        <f>'Nagata Tuna'!Y97</f>
        <v>8360.080563</v>
      </c>
      <c r="E93" s="239">
        <f t="shared" si="31"/>
        <v>1170411.279</v>
      </c>
      <c r="F93" s="238"/>
      <c r="G93" s="238"/>
      <c r="H93" s="239"/>
      <c r="I93" s="245">
        <f t="shared" si="32"/>
        <v>1914.4</v>
      </c>
      <c r="J93" s="246">
        <f t="shared" si="8"/>
        <v>9102.345213</v>
      </c>
      <c r="K93" s="247">
        <f t="shared" si="33"/>
        <v>17425529.68</v>
      </c>
    </row>
    <row r="94" ht="15.75" customHeight="1">
      <c r="A94" s="199">
        <v>87.0</v>
      </c>
      <c r="B94" s="232">
        <f>'Nagata Tuna'!B98</f>
        <v>45270</v>
      </c>
      <c r="C94" s="249">
        <f>'Nagata Tuna'!L98</f>
        <v>60</v>
      </c>
      <c r="D94" s="237">
        <f>'Nagata Tuna'!Y98</f>
        <v>8338.331828</v>
      </c>
      <c r="E94" s="239">
        <f t="shared" si="31"/>
        <v>500299.9097</v>
      </c>
      <c r="F94" s="238"/>
      <c r="G94" s="238"/>
      <c r="H94" s="239"/>
      <c r="I94" s="245">
        <f t="shared" si="32"/>
        <v>1974.4</v>
      </c>
      <c r="J94" s="246">
        <f t="shared" si="8"/>
        <v>9079.127627</v>
      </c>
      <c r="K94" s="247">
        <f t="shared" si="33"/>
        <v>17925829.59</v>
      </c>
    </row>
    <row r="95" ht="15.75" customHeight="1">
      <c r="A95" s="199">
        <v>88.0</v>
      </c>
      <c r="B95" s="232">
        <f>'Nagata Tuna'!B99</f>
        <v>45277</v>
      </c>
      <c r="C95" s="249">
        <f>'Nagata Tuna'!L99</f>
        <v>50.3</v>
      </c>
      <c r="D95" s="237">
        <f>'Nagata Tuna'!Y99</f>
        <v>8333.378383</v>
      </c>
      <c r="E95" s="239">
        <f t="shared" si="31"/>
        <v>419168.9327</v>
      </c>
      <c r="F95" s="238"/>
      <c r="G95" s="238"/>
      <c r="H95" s="239"/>
      <c r="I95" s="245">
        <f t="shared" si="32"/>
        <v>2024.7</v>
      </c>
      <c r="J95" s="246">
        <f t="shared" si="8"/>
        <v>9060.600839</v>
      </c>
      <c r="K95" s="247">
        <f t="shared" si="33"/>
        <v>18344998.52</v>
      </c>
    </row>
    <row r="96" ht="15.75" customHeight="1">
      <c r="A96" s="270">
        <v>89.0</v>
      </c>
      <c r="B96" s="232">
        <f>'Nagata Tuna'!B100</f>
        <v>45278</v>
      </c>
      <c r="C96" s="249">
        <f>'Nagata Tuna'!L100</f>
        <v>10</v>
      </c>
      <c r="D96" s="237">
        <f>'Nagata Tuna'!Y100</f>
        <v>8339.327672</v>
      </c>
      <c r="E96" s="239">
        <f t="shared" si="31"/>
        <v>83393.27672</v>
      </c>
      <c r="F96" s="238"/>
      <c r="G96" s="238"/>
      <c r="H96" s="239"/>
      <c r="I96" s="245">
        <f t="shared" si="32"/>
        <v>2034.7</v>
      </c>
      <c r="J96" s="246">
        <f t="shared" si="8"/>
        <v>9057.055977</v>
      </c>
      <c r="K96" s="247">
        <f t="shared" si="33"/>
        <v>18428391.8</v>
      </c>
    </row>
    <row r="97" ht="15.75" customHeight="1">
      <c r="A97" s="270">
        <v>90.0</v>
      </c>
      <c r="B97" s="232">
        <f>'Nagata Tuna'!B101</f>
        <v>45279</v>
      </c>
      <c r="C97" s="249">
        <f>'Nagata Tuna'!L101</f>
        <v>208.2</v>
      </c>
      <c r="D97" s="237">
        <f>'Nagata Tuna'!Y101</f>
        <v>8342.352688</v>
      </c>
      <c r="E97" s="239">
        <f t="shared" si="31"/>
        <v>1736877.83</v>
      </c>
      <c r="F97" s="238"/>
      <c r="G97" s="238"/>
      <c r="H97" s="239"/>
      <c r="I97" s="245">
        <f t="shared" si="32"/>
        <v>2242.9</v>
      </c>
      <c r="J97" s="246">
        <f t="shared" si="8"/>
        <v>8990.712749</v>
      </c>
      <c r="K97" s="247">
        <f t="shared" si="33"/>
        <v>20165269.63</v>
      </c>
    </row>
    <row r="98" ht="15.75" customHeight="1">
      <c r="A98" s="271">
        <v>91.0</v>
      </c>
      <c r="B98" s="232">
        <f>'Nagata Tuna'!B104</f>
        <v>45311</v>
      </c>
      <c r="C98" s="237">
        <f>'Nagata Tuna'!L104</f>
        <v>54.4</v>
      </c>
      <c r="D98" s="237">
        <f>'Nagata Tuna'!Y104</f>
        <v>8345.203189</v>
      </c>
      <c r="E98" s="239">
        <f t="shared" si="31"/>
        <v>453979.0535</v>
      </c>
      <c r="F98" s="238"/>
      <c r="G98" s="238"/>
      <c r="H98" s="239"/>
      <c r="I98" s="245">
        <f t="shared" si="32"/>
        <v>2297.3</v>
      </c>
      <c r="J98" s="246">
        <f t="shared" si="8"/>
        <v>8975.427101</v>
      </c>
      <c r="K98" s="247">
        <f t="shared" si="33"/>
        <v>20619248.68</v>
      </c>
    </row>
    <row r="99" ht="15.75" customHeight="1">
      <c r="A99" s="271">
        <v>92.0</v>
      </c>
      <c r="B99" s="232">
        <f>'Nagata Tuna'!B105</f>
        <v>45312</v>
      </c>
      <c r="C99" s="249">
        <f>'Nagata Tuna'!L105</f>
        <v>150</v>
      </c>
      <c r="D99" s="237">
        <f>'Nagata Tuna'!Y105</f>
        <v>8366.970069</v>
      </c>
      <c r="E99" s="239">
        <f t="shared" si="31"/>
        <v>1255045.51</v>
      </c>
      <c r="F99" s="238"/>
      <c r="G99" s="238"/>
      <c r="H99" s="239"/>
      <c r="I99" s="245">
        <f t="shared" si="32"/>
        <v>2447.3</v>
      </c>
      <c r="J99" s="246">
        <f t="shared" si="8"/>
        <v>8938.13353</v>
      </c>
      <c r="K99" s="247">
        <f t="shared" si="33"/>
        <v>21874294.19</v>
      </c>
    </row>
    <row r="100" ht="15.75" customHeight="1">
      <c r="A100" s="271">
        <v>93.0</v>
      </c>
      <c r="B100" s="232">
        <f>'Nagata Tuna'!B106</f>
        <v>45313</v>
      </c>
      <c r="C100" s="249">
        <f>'Nagata Tuna'!L106</f>
        <v>140</v>
      </c>
      <c r="D100" s="237">
        <f>'Nagata Tuna'!Y106</f>
        <v>8404.811887</v>
      </c>
      <c r="E100" s="239">
        <f t="shared" si="31"/>
        <v>1176673.664</v>
      </c>
      <c r="F100" s="238"/>
      <c r="G100" s="238"/>
      <c r="H100" s="239"/>
      <c r="I100" s="245">
        <f t="shared" si="32"/>
        <v>2587.3</v>
      </c>
      <c r="J100" s="246">
        <f t="shared" si="8"/>
        <v>8909.27525</v>
      </c>
      <c r="K100" s="247">
        <f t="shared" si="33"/>
        <v>23050967.85</v>
      </c>
    </row>
    <row r="101" ht="15.75" customHeight="1">
      <c r="A101" s="271">
        <v>94.0</v>
      </c>
      <c r="B101" s="259"/>
      <c r="C101" s="166"/>
      <c r="D101" s="166"/>
      <c r="E101" s="238"/>
      <c r="F101" s="238"/>
      <c r="G101" s="238"/>
      <c r="H101" s="239"/>
      <c r="I101" s="199"/>
      <c r="J101" s="246"/>
      <c r="K101" s="247"/>
    </row>
    <row r="102" ht="15.75" customHeight="1">
      <c r="A102" s="271">
        <v>95.0</v>
      </c>
      <c r="B102" s="259"/>
      <c r="C102" s="166"/>
      <c r="D102" s="166"/>
      <c r="E102" s="238"/>
      <c r="F102" s="238"/>
      <c r="G102" s="238"/>
      <c r="H102" s="239"/>
      <c r="I102" s="199"/>
      <c r="J102" s="246"/>
      <c r="K102" s="247"/>
    </row>
    <row r="103" ht="15.75" customHeight="1">
      <c r="A103" s="271">
        <v>96.0</v>
      </c>
      <c r="B103" s="259"/>
      <c r="C103" s="166"/>
      <c r="D103" s="166"/>
      <c r="E103" s="238"/>
      <c r="F103" s="238"/>
      <c r="G103" s="238"/>
      <c r="H103" s="239"/>
      <c r="I103" s="199"/>
      <c r="J103" s="246"/>
      <c r="K103" s="247"/>
    </row>
    <row r="104" ht="15.75" customHeight="1">
      <c r="A104" s="271">
        <v>97.0</v>
      </c>
      <c r="B104" s="259"/>
      <c r="C104" s="166"/>
      <c r="D104" s="166"/>
      <c r="E104" s="238"/>
      <c r="F104" s="238"/>
      <c r="G104" s="238"/>
      <c r="H104" s="239"/>
      <c r="I104" s="199"/>
      <c r="J104" s="246"/>
      <c r="K104" s="247"/>
    </row>
    <row r="105" ht="15.75" customHeight="1">
      <c r="A105" s="271">
        <v>98.0</v>
      </c>
      <c r="B105" s="259"/>
      <c r="C105" s="166"/>
      <c r="D105" s="166"/>
      <c r="E105" s="238"/>
      <c r="F105" s="238"/>
      <c r="G105" s="238"/>
      <c r="H105" s="239"/>
      <c r="I105" s="199"/>
      <c r="J105" s="246"/>
      <c r="K105" s="247"/>
    </row>
    <row r="106" ht="15.75" customHeight="1">
      <c r="A106" s="271">
        <v>99.0</v>
      </c>
      <c r="B106" s="259"/>
      <c r="C106" s="166"/>
      <c r="D106" s="166"/>
      <c r="E106" s="238"/>
      <c r="F106" s="238"/>
      <c r="G106" s="238"/>
      <c r="H106" s="239"/>
      <c r="I106" s="199"/>
      <c r="J106" s="246"/>
      <c r="K106" s="247"/>
    </row>
    <row r="107" ht="15.75" customHeight="1">
      <c r="A107" s="271">
        <v>100.0</v>
      </c>
      <c r="B107" s="259"/>
      <c r="C107" s="166"/>
      <c r="D107" s="166"/>
      <c r="E107" s="238"/>
      <c r="F107" s="238"/>
      <c r="G107" s="238"/>
      <c r="H107" s="239"/>
      <c r="I107" s="199"/>
      <c r="J107" s="246"/>
      <c r="K107" s="247"/>
    </row>
    <row r="108" ht="15.75" customHeight="1">
      <c r="A108" s="166"/>
      <c r="B108" s="259"/>
      <c r="C108" s="166"/>
      <c r="D108" s="166"/>
      <c r="E108" s="238"/>
      <c r="F108" s="238"/>
      <c r="G108" s="238"/>
      <c r="H108" s="239"/>
      <c r="I108" s="199"/>
      <c r="J108" s="246"/>
      <c r="K108" s="247"/>
    </row>
    <row r="109" ht="15.75" customHeight="1">
      <c r="A109" s="166"/>
      <c r="B109" s="259"/>
      <c r="C109" s="166"/>
      <c r="D109" s="166"/>
      <c r="E109" s="238"/>
      <c r="F109" s="238"/>
      <c r="G109" s="238"/>
      <c r="H109" s="239"/>
      <c r="I109" s="199"/>
      <c r="J109" s="246"/>
      <c r="K109" s="247"/>
    </row>
    <row r="110" ht="15.75" customHeight="1">
      <c r="A110" s="166"/>
      <c r="B110" s="259"/>
      <c r="C110" s="166"/>
      <c r="D110" s="166"/>
      <c r="E110" s="238"/>
      <c r="F110" s="238"/>
      <c r="G110" s="238"/>
      <c r="H110" s="239"/>
      <c r="I110" s="199"/>
      <c r="J110" s="246"/>
      <c r="K110" s="247"/>
    </row>
    <row r="111" ht="15.75" customHeight="1">
      <c r="B111" s="181"/>
      <c r="E111" s="183"/>
      <c r="F111" s="183"/>
      <c r="G111" s="183"/>
      <c r="H111" s="182"/>
      <c r="I111" s="171"/>
      <c r="J111" s="185"/>
      <c r="K111" s="207"/>
    </row>
    <row r="112" ht="15.75" customHeight="1">
      <c r="B112" s="181"/>
      <c r="E112" s="183"/>
      <c r="F112" s="183"/>
      <c r="G112" s="183"/>
      <c r="H112" s="182"/>
      <c r="I112" s="171"/>
      <c r="J112" s="185"/>
      <c r="K112" s="207"/>
    </row>
    <row r="113" ht="15.75" customHeight="1">
      <c r="B113" s="181"/>
      <c r="E113" s="183"/>
      <c r="F113" s="183"/>
      <c r="G113" s="183"/>
      <c r="H113" s="182"/>
      <c r="I113" s="171"/>
      <c r="J113" s="185"/>
      <c r="K113" s="207"/>
    </row>
    <row r="114" ht="15.75" customHeight="1">
      <c r="B114" s="181"/>
      <c r="E114" s="183"/>
      <c r="F114" s="183"/>
      <c r="G114" s="183"/>
      <c r="H114" s="182"/>
      <c r="I114" s="171"/>
      <c r="J114" s="185"/>
      <c r="K114" s="207"/>
    </row>
    <row r="115" ht="15.75" customHeight="1">
      <c r="B115" s="181"/>
      <c r="E115" s="183"/>
      <c r="F115" s="183"/>
      <c r="G115" s="183"/>
      <c r="H115" s="182"/>
      <c r="I115" s="171"/>
      <c r="J115" s="185"/>
      <c r="K115" s="207"/>
    </row>
    <row r="116" ht="15.75" customHeight="1">
      <c r="B116" s="181"/>
      <c r="E116" s="183"/>
      <c r="F116" s="183"/>
      <c r="G116" s="183"/>
      <c r="H116" s="182"/>
      <c r="I116" s="171"/>
      <c r="J116" s="185"/>
      <c r="K116" s="207"/>
    </row>
    <row r="117" ht="15.75" customHeight="1">
      <c r="B117" s="181"/>
      <c r="E117" s="183"/>
      <c r="F117" s="183"/>
      <c r="G117" s="183"/>
      <c r="H117" s="182"/>
      <c r="I117" s="171"/>
      <c r="J117" s="185"/>
      <c r="K117" s="207"/>
    </row>
    <row r="118" ht="15.75" customHeight="1">
      <c r="B118" s="181"/>
      <c r="E118" s="183"/>
      <c r="F118" s="183"/>
      <c r="G118" s="183"/>
      <c r="H118" s="182"/>
      <c r="I118" s="171"/>
      <c r="J118" s="185"/>
      <c r="K118" s="207"/>
    </row>
    <row r="119" ht="15.75" customHeight="1">
      <c r="B119" s="181"/>
      <c r="E119" s="183"/>
      <c r="F119" s="183"/>
      <c r="G119" s="183"/>
      <c r="H119" s="182"/>
      <c r="I119" s="171"/>
      <c r="J119" s="185"/>
      <c r="K119" s="207"/>
    </row>
    <row r="120" ht="15.75" customHeight="1">
      <c r="B120" s="181"/>
      <c r="E120" s="183"/>
      <c r="F120" s="183"/>
      <c r="G120" s="183"/>
      <c r="H120" s="182"/>
      <c r="I120" s="171"/>
      <c r="J120" s="185"/>
      <c r="K120" s="207"/>
    </row>
    <row r="121" ht="15.75" customHeight="1">
      <c r="B121" s="181"/>
      <c r="E121" s="183"/>
      <c r="F121" s="183"/>
      <c r="G121" s="183"/>
      <c r="H121" s="182"/>
      <c r="I121" s="171"/>
      <c r="J121" s="185"/>
      <c r="K121" s="207"/>
    </row>
    <row r="122" ht="15.75" customHeight="1">
      <c r="B122" s="181"/>
      <c r="E122" s="183"/>
      <c r="F122" s="183"/>
      <c r="G122" s="183"/>
      <c r="H122" s="182"/>
      <c r="I122" s="171"/>
      <c r="J122" s="185"/>
      <c r="K122" s="207"/>
    </row>
    <row r="123" ht="15.75" customHeight="1">
      <c r="B123" s="181"/>
      <c r="E123" s="183"/>
      <c r="F123" s="183"/>
      <c r="G123" s="183"/>
      <c r="H123" s="182"/>
      <c r="I123" s="171"/>
      <c r="J123" s="185"/>
      <c r="K123" s="207"/>
    </row>
    <row r="124" ht="15.75" customHeight="1">
      <c r="B124" s="181"/>
      <c r="E124" s="183"/>
      <c r="F124" s="183"/>
      <c r="G124" s="183"/>
      <c r="H124" s="182"/>
      <c r="I124" s="171"/>
      <c r="J124" s="185"/>
      <c r="K124" s="207"/>
    </row>
    <row r="125" ht="15.75" customHeight="1">
      <c r="B125" s="181"/>
      <c r="E125" s="183"/>
      <c r="F125" s="183"/>
      <c r="G125" s="183"/>
      <c r="H125" s="182"/>
      <c r="I125" s="171"/>
      <c r="J125" s="185"/>
      <c r="K125" s="207"/>
    </row>
    <row r="126" ht="15.75" customHeight="1">
      <c r="B126" s="181"/>
      <c r="E126" s="183"/>
      <c r="F126" s="183"/>
      <c r="G126" s="183"/>
      <c r="H126" s="182"/>
      <c r="I126" s="171"/>
      <c r="J126" s="185"/>
      <c r="K126" s="207"/>
    </row>
    <row r="127" ht="15.75" customHeight="1">
      <c r="B127" s="181"/>
      <c r="E127" s="183"/>
      <c r="F127" s="183"/>
      <c r="G127" s="183"/>
      <c r="H127" s="182"/>
      <c r="I127" s="171"/>
      <c r="J127" s="185"/>
      <c r="K127" s="207"/>
    </row>
    <row r="128" ht="15.75" customHeight="1">
      <c r="B128" s="181"/>
      <c r="E128" s="183"/>
      <c r="F128" s="183"/>
      <c r="G128" s="183"/>
      <c r="H128" s="182"/>
      <c r="I128" s="171"/>
      <c r="J128" s="185"/>
      <c r="K128" s="207"/>
    </row>
    <row r="129" ht="15.75" customHeight="1">
      <c r="B129" s="181"/>
      <c r="E129" s="183"/>
      <c r="F129" s="183"/>
      <c r="G129" s="183"/>
      <c r="H129" s="182"/>
      <c r="I129" s="171"/>
      <c r="J129" s="185"/>
      <c r="K129" s="207"/>
    </row>
    <row r="130" ht="15.75" customHeight="1">
      <c r="B130" s="181"/>
      <c r="E130" s="183"/>
      <c r="F130" s="183"/>
      <c r="G130" s="183"/>
      <c r="H130" s="182"/>
      <c r="I130" s="171"/>
      <c r="J130" s="185"/>
      <c r="K130" s="207"/>
    </row>
    <row r="131" ht="15.75" customHeight="1">
      <c r="B131" s="181"/>
      <c r="E131" s="183"/>
      <c r="F131" s="183"/>
      <c r="G131" s="183"/>
      <c r="H131" s="182"/>
      <c r="I131" s="171"/>
      <c r="J131" s="185"/>
      <c r="K131" s="207"/>
    </row>
    <row r="132" ht="15.75" customHeight="1">
      <c r="B132" s="181"/>
      <c r="E132" s="183"/>
      <c r="F132" s="183"/>
      <c r="G132" s="183"/>
      <c r="H132" s="182"/>
      <c r="I132" s="171"/>
      <c r="J132" s="185"/>
      <c r="K132" s="207"/>
    </row>
    <row r="133" ht="15.75" customHeight="1">
      <c r="B133" s="181"/>
      <c r="E133" s="183"/>
      <c r="F133" s="183"/>
      <c r="G133" s="183"/>
      <c r="H133" s="182"/>
      <c r="I133" s="171"/>
      <c r="J133" s="185"/>
      <c r="K133" s="207"/>
    </row>
    <row r="134" ht="15.75" customHeight="1">
      <c r="B134" s="181"/>
      <c r="E134" s="183"/>
      <c r="F134" s="183"/>
      <c r="G134" s="183"/>
      <c r="H134" s="182"/>
      <c r="I134" s="171"/>
      <c r="J134" s="185"/>
      <c r="K134" s="207"/>
    </row>
    <row r="135" ht="15.75" customHeight="1">
      <c r="B135" s="181"/>
      <c r="E135" s="183"/>
      <c r="F135" s="183"/>
      <c r="G135" s="183"/>
      <c r="H135" s="182"/>
      <c r="I135" s="171"/>
      <c r="J135" s="185"/>
      <c r="K135" s="207"/>
    </row>
    <row r="136" ht="15.75" customHeight="1">
      <c r="B136" s="181"/>
      <c r="E136" s="183"/>
      <c r="F136" s="183"/>
      <c r="G136" s="183"/>
      <c r="H136" s="182"/>
      <c r="I136" s="171"/>
      <c r="J136" s="185"/>
      <c r="K136" s="207"/>
    </row>
    <row r="137" ht="15.75" customHeight="1">
      <c r="B137" s="181"/>
      <c r="E137" s="183"/>
      <c r="F137" s="183"/>
      <c r="G137" s="183"/>
      <c r="H137" s="182"/>
      <c r="I137" s="171"/>
      <c r="J137" s="185"/>
      <c r="K137" s="207"/>
    </row>
    <row r="138" ht="15.75" customHeight="1">
      <c r="B138" s="181"/>
      <c r="E138" s="183"/>
      <c r="F138" s="183"/>
      <c r="G138" s="183"/>
      <c r="H138" s="182"/>
      <c r="I138" s="171"/>
      <c r="J138" s="185"/>
      <c r="K138" s="207"/>
    </row>
    <row r="139" ht="15.75" customHeight="1">
      <c r="B139" s="181"/>
      <c r="E139" s="183"/>
      <c r="F139" s="183"/>
      <c r="G139" s="183"/>
      <c r="H139" s="182"/>
      <c r="I139" s="171"/>
      <c r="J139" s="185"/>
      <c r="K139" s="207"/>
    </row>
    <row r="140" ht="15.75" customHeight="1">
      <c r="B140" s="181"/>
      <c r="E140" s="183"/>
      <c r="F140" s="183"/>
      <c r="G140" s="183"/>
      <c r="H140" s="182"/>
      <c r="I140" s="171"/>
      <c r="J140" s="185"/>
      <c r="K140" s="207"/>
    </row>
    <row r="141" ht="15.75" customHeight="1">
      <c r="B141" s="181"/>
      <c r="E141" s="183"/>
      <c r="F141" s="183"/>
      <c r="G141" s="183"/>
      <c r="H141" s="182"/>
      <c r="I141" s="171"/>
      <c r="J141" s="185"/>
      <c r="K141" s="207"/>
    </row>
    <row r="142" ht="15.75" customHeight="1">
      <c r="B142" s="181"/>
      <c r="E142" s="183"/>
      <c r="F142" s="183"/>
      <c r="G142" s="183"/>
      <c r="H142" s="182"/>
      <c r="I142" s="171"/>
      <c r="J142" s="185"/>
      <c r="K142" s="207"/>
    </row>
    <row r="143" ht="15.75" customHeight="1">
      <c r="B143" s="181"/>
      <c r="E143" s="183"/>
      <c r="F143" s="183"/>
      <c r="G143" s="183"/>
      <c r="H143" s="182"/>
      <c r="I143" s="171"/>
      <c r="J143" s="185"/>
      <c r="K143" s="207"/>
    </row>
    <row r="144" ht="15.75" customHeight="1">
      <c r="B144" s="181"/>
      <c r="E144" s="183"/>
      <c r="F144" s="183"/>
      <c r="G144" s="183"/>
      <c r="H144" s="182"/>
      <c r="I144" s="171"/>
      <c r="J144" s="185"/>
      <c r="K144" s="207"/>
    </row>
    <row r="145" ht="15.75" customHeight="1">
      <c r="B145" s="181"/>
      <c r="E145" s="183"/>
      <c r="F145" s="183"/>
      <c r="G145" s="183"/>
      <c r="H145" s="182"/>
      <c r="I145" s="171"/>
      <c r="J145" s="185"/>
      <c r="K145" s="207"/>
    </row>
    <row r="146" ht="15.75" customHeight="1">
      <c r="B146" s="181"/>
      <c r="E146" s="183"/>
      <c r="F146" s="183"/>
      <c r="G146" s="183"/>
      <c r="H146" s="182"/>
      <c r="I146" s="171"/>
      <c r="J146" s="185"/>
      <c r="K146" s="207"/>
    </row>
    <row r="147" ht="15.75" customHeight="1">
      <c r="B147" s="181"/>
      <c r="E147" s="183"/>
      <c r="F147" s="183"/>
      <c r="G147" s="183"/>
      <c r="H147" s="182"/>
      <c r="I147" s="171"/>
      <c r="J147" s="185"/>
      <c r="K147" s="207"/>
    </row>
    <row r="148" ht="15.75" customHeight="1">
      <c r="B148" s="181"/>
      <c r="E148" s="183"/>
      <c r="F148" s="183"/>
      <c r="G148" s="183"/>
      <c r="H148" s="182"/>
      <c r="I148" s="171"/>
      <c r="J148" s="185"/>
      <c r="K148" s="207"/>
    </row>
    <row r="149" ht="15.75" customHeight="1">
      <c r="B149" s="181"/>
      <c r="E149" s="183"/>
      <c r="F149" s="183"/>
      <c r="G149" s="183"/>
      <c r="H149" s="182"/>
      <c r="I149" s="171"/>
      <c r="J149" s="185"/>
      <c r="K149" s="207"/>
    </row>
    <row r="150" ht="15.75" customHeight="1">
      <c r="B150" s="181"/>
      <c r="E150" s="183"/>
      <c r="F150" s="183"/>
      <c r="G150" s="183"/>
      <c r="H150" s="182"/>
      <c r="I150" s="171"/>
      <c r="J150" s="185"/>
      <c r="K150" s="207"/>
    </row>
    <row r="151" ht="15.75" customHeight="1">
      <c r="B151" s="181"/>
      <c r="E151" s="183"/>
      <c r="F151" s="183"/>
      <c r="G151" s="183"/>
      <c r="H151" s="182"/>
      <c r="I151" s="171"/>
      <c r="J151" s="185"/>
      <c r="K151" s="207"/>
    </row>
    <row r="152" ht="15.75" customHeight="1">
      <c r="B152" s="181"/>
      <c r="E152" s="183"/>
      <c r="F152" s="183"/>
      <c r="G152" s="183"/>
      <c r="H152" s="182"/>
      <c r="I152" s="171"/>
      <c r="J152" s="185"/>
      <c r="K152" s="207"/>
    </row>
    <row r="153" ht="15.75" customHeight="1">
      <c r="B153" s="181"/>
      <c r="E153" s="183"/>
      <c r="F153" s="183"/>
      <c r="G153" s="183"/>
      <c r="H153" s="182"/>
      <c r="I153" s="171"/>
      <c r="J153" s="185"/>
      <c r="K153" s="207"/>
    </row>
    <row r="154" ht="15.75" customHeight="1">
      <c r="B154" s="181"/>
      <c r="E154" s="183"/>
      <c r="F154" s="183"/>
      <c r="G154" s="183"/>
      <c r="H154" s="182"/>
      <c r="I154" s="171"/>
      <c r="J154" s="185"/>
      <c r="K154" s="207"/>
    </row>
    <row r="155" ht="15.75" customHeight="1">
      <c r="B155" s="181"/>
      <c r="E155" s="183"/>
      <c r="F155" s="183"/>
      <c r="G155" s="183"/>
      <c r="H155" s="182"/>
      <c r="I155" s="171"/>
      <c r="J155" s="185"/>
      <c r="K155" s="207"/>
    </row>
    <row r="156" ht="15.75" customHeight="1">
      <c r="B156" s="181"/>
      <c r="E156" s="183"/>
      <c r="F156" s="183"/>
      <c r="G156" s="183"/>
      <c r="H156" s="182"/>
      <c r="I156" s="171"/>
      <c r="J156" s="185"/>
      <c r="K156" s="207"/>
    </row>
    <row r="157" ht="15.75" customHeight="1">
      <c r="B157" s="181"/>
      <c r="E157" s="183"/>
      <c r="F157" s="183"/>
      <c r="G157" s="183"/>
      <c r="H157" s="182"/>
      <c r="I157" s="171"/>
      <c r="J157" s="185"/>
      <c r="K157" s="207"/>
    </row>
    <row r="158" ht="15.75" customHeight="1">
      <c r="B158" s="181"/>
      <c r="E158" s="183"/>
      <c r="F158" s="183"/>
      <c r="G158" s="183"/>
      <c r="H158" s="182"/>
      <c r="I158" s="171"/>
      <c r="J158" s="185"/>
      <c r="K158" s="207"/>
    </row>
    <row r="159" ht="15.75" customHeight="1">
      <c r="B159" s="181"/>
      <c r="E159" s="183"/>
      <c r="F159" s="183"/>
      <c r="G159" s="183"/>
      <c r="H159" s="182"/>
      <c r="I159" s="171"/>
      <c r="J159" s="185"/>
      <c r="K159" s="207"/>
    </row>
    <row r="160" ht="15.75" customHeight="1">
      <c r="B160" s="181"/>
      <c r="E160" s="183"/>
      <c r="F160" s="183"/>
      <c r="G160" s="183"/>
      <c r="H160" s="182"/>
      <c r="I160" s="171"/>
      <c r="J160" s="185"/>
      <c r="K160" s="207"/>
    </row>
    <row r="161" ht="15.75" customHeight="1">
      <c r="B161" s="181"/>
      <c r="E161" s="183"/>
      <c r="F161" s="183"/>
      <c r="G161" s="183"/>
      <c r="H161" s="182"/>
      <c r="I161" s="171"/>
      <c r="J161" s="185"/>
      <c r="K161" s="207"/>
    </row>
    <row r="162" ht="15.75" customHeight="1">
      <c r="B162" s="181"/>
      <c r="E162" s="183"/>
      <c r="F162" s="183"/>
      <c r="G162" s="183"/>
      <c r="H162" s="182"/>
      <c r="I162" s="171"/>
      <c r="J162" s="185"/>
      <c r="K162" s="207"/>
    </row>
    <row r="163" ht="15.75" customHeight="1">
      <c r="B163" s="181"/>
      <c r="E163" s="183"/>
      <c r="F163" s="183"/>
      <c r="G163" s="183"/>
      <c r="H163" s="182"/>
      <c r="I163" s="171"/>
      <c r="J163" s="185"/>
      <c r="K163" s="207"/>
    </row>
    <row r="164" ht="15.75" customHeight="1">
      <c r="B164" s="181"/>
      <c r="E164" s="183"/>
      <c r="F164" s="183"/>
      <c r="G164" s="183"/>
      <c r="H164" s="182"/>
      <c r="I164" s="171"/>
      <c r="J164" s="185"/>
      <c r="K164" s="207"/>
    </row>
    <row r="165" ht="15.75" customHeight="1">
      <c r="B165" s="181"/>
      <c r="E165" s="183"/>
      <c r="F165" s="183"/>
      <c r="G165" s="183"/>
      <c r="H165" s="182"/>
      <c r="I165" s="171"/>
      <c r="J165" s="185"/>
      <c r="K165" s="207"/>
    </row>
    <row r="166" ht="15.75" customHeight="1">
      <c r="B166" s="181"/>
      <c r="E166" s="183"/>
      <c r="F166" s="183"/>
      <c r="G166" s="183"/>
      <c r="H166" s="182"/>
      <c r="I166" s="171"/>
      <c r="J166" s="185"/>
      <c r="K166" s="207"/>
    </row>
    <row r="167" ht="15.75" customHeight="1">
      <c r="B167" s="181"/>
      <c r="E167" s="183"/>
      <c r="F167" s="183"/>
      <c r="G167" s="183"/>
      <c r="H167" s="182"/>
      <c r="I167" s="171"/>
      <c r="J167" s="185"/>
      <c r="K167" s="207"/>
    </row>
    <row r="168" ht="15.75" customHeight="1">
      <c r="B168" s="181"/>
      <c r="E168" s="183"/>
      <c r="F168" s="183"/>
      <c r="G168" s="183"/>
      <c r="H168" s="182"/>
      <c r="I168" s="171"/>
      <c r="J168" s="185"/>
      <c r="K168" s="207"/>
    </row>
    <row r="169" ht="15.75" customHeight="1">
      <c r="B169" s="181"/>
      <c r="E169" s="183"/>
      <c r="F169" s="183"/>
      <c r="G169" s="183"/>
      <c r="H169" s="182"/>
      <c r="I169" s="171"/>
      <c r="J169" s="185"/>
      <c r="K169" s="207"/>
    </row>
    <row r="170" ht="15.75" customHeight="1">
      <c r="B170" s="181"/>
      <c r="E170" s="183"/>
      <c r="F170" s="183"/>
      <c r="G170" s="183"/>
      <c r="H170" s="182"/>
      <c r="I170" s="171"/>
      <c r="J170" s="185"/>
      <c r="K170" s="207"/>
    </row>
    <row r="171" ht="15.75" customHeight="1">
      <c r="B171" s="181"/>
      <c r="E171" s="183"/>
      <c r="F171" s="183"/>
      <c r="G171" s="183"/>
      <c r="H171" s="182"/>
      <c r="I171" s="171"/>
      <c r="J171" s="185"/>
      <c r="K171" s="207"/>
    </row>
    <row r="172" ht="15.75" customHeight="1">
      <c r="B172" s="181"/>
      <c r="E172" s="183"/>
      <c r="F172" s="183"/>
      <c r="G172" s="183"/>
      <c r="H172" s="182"/>
      <c r="I172" s="171"/>
      <c r="J172" s="185"/>
      <c r="K172" s="207"/>
    </row>
    <row r="173" ht="15.75" customHeight="1">
      <c r="B173" s="181"/>
      <c r="E173" s="183"/>
      <c r="F173" s="183"/>
      <c r="G173" s="183"/>
      <c r="H173" s="182"/>
      <c r="I173" s="171"/>
      <c r="J173" s="185"/>
      <c r="K173" s="207"/>
    </row>
    <row r="174" ht="15.75" customHeight="1">
      <c r="B174" s="181"/>
      <c r="E174" s="183"/>
      <c r="F174" s="183"/>
      <c r="G174" s="183"/>
      <c r="H174" s="182"/>
      <c r="I174" s="171"/>
      <c r="J174" s="185"/>
      <c r="K174" s="207"/>
    </row>
    <row r="175" ht="15.75" customHeight="1">
      <c r="B175" s="181"/>
      <c r="E175" s="183"/>
      <c r="F175" s="183"/>
      <c r="G175" s="183"/>
      <c r="H175" s="182"/>
      <c r="I175" s="171"/>
      <c r="J175" s="185"/>
      <c r="K175" s="207"/>
    </row>
    <row r="176" ht="15.75" customHeight="1">
      <c r="B176" s="181"/>
      <c r="E176" s="183"/>
      <c r="F176" s="183"/>
      <c r="G176" s="183"/>
      <c r="H176" s="182"/>
      <c r="I176" s="171"/>
      <c r="J176" s="185"/>
      <c r="K176" s="207"/>
    </row>
    <row r="177" ht="15.75" customHeight="1">
      <c r="B177" s="181"/>
      <c r="E177" s="183"/>
      <c r="F177" s="183"/>
      <c r="G177" s="183"/>
      <c r="H177" s="182"/>
      <c r="I177" s="171"/>
      <c r="J177" s="185"/>
      <c r="K177" s="207"/>
    </row>
    <row r="178" ht="15.75" customHeight="1">
      <c r="B178" s="181"/>
      <c r="E178" s="183"/>
      <c r="F178" s="183"/>
      <c r="G178" s="183"/>
      <c r="H178" s="182"/>
      <c r="I178" s="171"/>
      <c r="J178" s="185"/>
      <c r="K178" s="207"/>
    </row>
    <row r="179" ht="15.75" customHeight="1">
      <c r="B179" s="181"/>
      <c r="E179" s="183"/>
      <c r="F179" s="183"/>
      <c r="G179" s="183"/>
      <c r="H179" s="182"/>
      <c r="I179" s="171"/>
      <c r="J179" s="185"/>
      <c r="K179" s="207"/>
    </row>
    <row r="180" ht="15.75" customHeight="1">
      <c r="B180" s="181"/>
      <c r="E180" s="183"/>
      <c r="F180" s="183"/>
      <c r="G180" s="183"/>
      <c r="H180" s="182"/>
      <c r="I180" s="171"/>
      <c r="J180" s="185"/>
      <c r="K180" s="207"/>
    </row>
    <row r="181" ht="15.75" customHeight="1">
      <c r="B181" s="181"/>
      <c r="E181" s="183"/>
      <c r="F181" s="183"/>
      <c r="G181" s="183"/>
      <c r="H181" s="182"/>
      <c r="I181" s="171"/>
      <c r="J181" s="185"/>
      <c r="K181" s="207"/>
    </row>
    <row r="182" ht="15.75" customHeight="1">
      <c r="B182" s="181"/>
      <c r="E182" s="183"/>
      <c r="F182" s="183"/>
      <c r="G182" s="183"/>
      <c r="H182" s="182"/>
      <c r="I182" s="171"/>
      <c r="J182" s="185"/>
      <c r="K182" s="207"/>
    </row>
    <row r="183" ht="15.75" customHeight="1">
      <c r="B183" s="181"/>
      <c r="E183" s="183"/>
      <c r="F183" s="183"/>
      <c r="G183" s="183"/>
      <c r="H183" s="182"/>
      <c r="I183" s="171"/>
      <c r="J183" s="185"/>
      <c r="K183" s="207"/>
    </row>
    <row r="184" ht="15.75" customHeight="1">
      <c r="B184" s="181"/>
      <c r="E184" s="183"/>
      <c r="F184" s="183"/>
      <c r="G184" s="183"/>
      <c r="H184" s="182"/>
      <c r="I184" s="171"/>
      <c r="J184" s="185"/>
      <c r="K184" s="207"/>
    </row>
    <row r="185" ht="15.75" customHeight="1">
      <c r="B185" s="181"/>
      <c r="E185" s="183"/>
      <c r="F185" s="183"/>
      <c r="G185" s="183"/>
      <c r="H185" s="182"/>
      <c r="I185" s="171"/>
      <c r="J185" s="185"/>
      <c r="K185" s="207"/>
    </row>
    <row r="186" ht="15.75" customHeight="1">
      <c r="B186" s="181"/>
      <c r="E186" s="183"/>
      <c r="F186" s="183"/>
      <c r="G186" s="183"/>
      <c r="H186" s="182"/>
      <c r="I186" s="171"/>
      <c r="J186" s="185"/>
      <c r="K186" s="207"/>
    </row>
    <row r="187" ht="15.75" customHeight="1">
      <c r="B187" s="181"/>
      <c r="E187" s="183"/>
      <c r="F187" s="183"/>
      <c r="G187" s="183"/>
      <c r="H187" s="182"/>
      <c r="I187" s="171"/>
      <c r="J187" s="185"/>
      <c r="K187" s="207"/>
    </row>
    <row r="188" ht="15.75" customHeight="1">
      <c r="B188" s="181"/>
      <c r="E188" s="183"/>
      <c r="F188" s="183"/>
      <c r="G188" s="183"/>
      <c r="H188" s="182"/>
      <c r="I188" s="171"/>
      <c r="J188" s="185"/>
      <c r="K188" s="207"/>
    </row>
    <row r="189" ht="15.75" customHeight="1">
      <c r="B189" s="181"/>
      <c r="E189" s="183"/>
      <c r="F189" s="183"/>
      <c r="G189" s="183"/>
      <c r="H189" s="182"/>
      <c r="I189" s="171"/>
      <c r="J189" s="185"/>
      <c r="K189" s="207"/>
    </row>
    <row r="190" ht="15.75" customHeight="1">
      <c r="B190" s="181"/>
      <c r="E190" s="183"/>
      <c r="F190" s="183"/>
      <c r="G190" s="183"/>
      <c r="H190" s="182"/>
      <c r="I190" s="171"/>
      <c r="J190" s="185"/>
      <c r="K190" s="207"/>
    </row>
    <row r="191" ht="15.75" customHeight="1">
      <c r="B191" s="181"/>
      <c r="E191" s="183"/>
      <c r="F191" s="183"/>
      <c r="G191" s="183"/>
      <c r="H191" s="182"/>
      <c r="I191" s="171"/>
      <c r="J191" s="185"/>
      <c r="K191" s="207"/>
    </row>
    <row r="192" ht="15.75" customHeight="1">
      <c r="B192" s="181"/>
      <c r="E192" s="183"/>
      <c r="F192" s="183"/>
      <c r="G192" s="183"/>
      <c r="H192" s="182"/>
      <c r="I192" s="171"/>
      <c r="J192" s="185"/>
      <c r="K192" s="207"/>
    </row>
    <row r="193" ht="15.75" customHeight="1">
      <c r="B193" s="181"/>
      <c r="E193" s="183"/>
      <c r="F193" s="183"/>
      <c r="G193" s="183"/>
      <c r="H193" s="182"/>
      <c r="I193" s="171"/>
      <c r="J193" s="185"/>
      <c r="K193" s="207"/>
    </row>
    <row r="194" ht="15.75" customHeight="1">
      <c r="B194" s="181"/>
      <c r="E194" s="183"/>
      <c r="F194" s="183"/>
      <c r="G194" s="183"/>
      <c r="H194" s="182"/>
      <c r="I194" s="171"/>
      <c r="J194" s="185"/>
      <c r="K194" s="207"/>
    </row>
    <row r="195" ht="15.75" customHeight="1">
      <c r="B195" s="181"/>
      <c r="E195" s="183"/>
      <c r="F195" s="183"/>
      <c r="G195" s="183"/>
      <c r="H195" s="182"/>
      <c r="I195" s="171"/>
      <c r="J195" s="185"/>
      <c r="K195" s="207"/>
    </row>
    <row r="196" ht="15.75" customHeight="1">
      <c r="B196" s="181"/>
      <c r="E196" s="183"/>
      <c r="F196" s="183"/>
      <c r="G196" s="183"/>
      <c r="H196" s="182"/>
      <c r="I196" s="171"/>
      <c r="J196" s="185"/>
      <c r="K196" s="207"/>
    </row>
    <row r="197" ht="15.75" customHeight="1">
      <c r="B197" s="181"/>
      <c r="E197" s="183"/>
      <c r="F197" s="183"/>
      <c r="G197" s="183"/>
      <c r="H197" s="182"/>
      <c r="I197" s="171"/>
      <c r="J197" s="185"/>
      <c r="K197" s="207"/>
    </row>
    <row r="198" ht="15.75" customHeight="1">
      <c r="B198" s="181"/>
      <c r="E198" s="183"/>
      <c r="F198" s="183"/>
      <c r="G198" s="183"/>
      <c r="H198" s="182"/>
      <c r="I198" s="171"/>
      <c r="J198" s="185"/>
      <c r="K198" s="207"/>
    </row>
    <row r="199" ht="15.75" customHeight="1">
      <c r="B199" s="181"/>
      <c r="E199" s="183"/>
      <c r="F199" s="183"/>
      <c r="G199" s="183"/>
      <c r="H199" s="182"/>
      <c r="I199" s="171"/>
      <c r="J199" s="185"/>
      <c r="K199" s="207"/>
    </row>
    <row r="200" ht="15.75" customHeight="1">
      <c r="B200" s="181"/>
      <c r="E200" s="183"/>
      <c r="F200" s="183"/>
      <c r="G200" s="183"/>
      <c r="H200" s="182"/>
      <c r="I200" s="171"/>
      <c r="J200" s="185"/>
      <c r="K200" s="207"/>
    </row>
    <row r="201" ht="15.75" customHeight="1">
      <c r="B201" s="181"/>
      <c r="E201" s="183"/>
      <c r="F201" s="183"/>
      <c r="G201" s="183"/>
      <c r="H201" s="182"/>
      <c r="I201" s="171"/>
      <c r="J201" s="185"/>
      <c r="K201" s="207"/>
    </row>
    <row r="202" ht="15.75" customHeight="1">
      <c r="B202" s="181"/>
      <c r="E202" s="183"/>
      <c r="F202" s="183"/>
      <c r="G202" s="183"/>
      <c r="H202" s="182"/>
      <c r="I202" s="171"/>
      <c r="J202" s="185"/>
      <c r="K202" s="207"/>
    </row>
    <row r="203" ht="15.75" customHeight="1">
      <c r="B203" s="181"/>
      <c r="E203" s="183"/>
      <c r="F203" s="183"/>
      <c r="G203" s="183"/>
      <c r="H203" s="182"/>
      <c r="I203" s="171"/>
      <c r="J203" s="185"/>
      <c r="K203" s="207"/>
    </row>
    <row r="204" ht="15.75" customHeight="1">
      <c r="B204" s="181"/>
      <c r="E204" s="183"/>
      <c r="F204" s="183"/>
      <c r="G204" s="183"/>
      <c r="H204" s="182"/>
      <c r="I204" s="171"/>
      <c r="J204" s="185"/>
      <c r="K204" s="207"/>
    </row>
    <row r="205" ht="15.75" customHeight="1">
      <c r="B205" s="181"/>
      <c r="E205" s="183"/>
      <c r="F205" s="183"/>
      <c r="G205" s="183"/>
      <c r="H205" s="182"/>
      <c r="I205" s="171"/>
      <c r="J205" s="185"/>
      <c r="K205" s="207"/>
    </row>
    <row r="206" ht="15.75" customHeight="1">
      <c r="B206" s="181"/>
      <c r="E206" s="183"/>
      <c r="F206" s="183"/>
      <c r="G206" s="183"/>
      <c r="H206" s="182"/>
      <c r="I206" s="171"/>
      <c r="J206" s="185"/>
      <c r="K206" s="207"/>
    </row>
    <row r="207" ht="15.75" customHeight="1">
      <c r="B207" s="181"/>
      <c r="E207" s="183"/>
      <c r="F207" s="183"/>
      <c r="G207" s="183"/>
      <c r="H207" s="182"/>
      <c r="I207" s="171"/>
      <c r="J207" s="185"/>
      <c r="K207" s="207"/>
    </row>
    <row r="208" ht="15.75" customHeight="1">
      <c r="B208" s="181"/>
      <c r="E208" s="183"/>
      <c r="F208" s="183"/>
      <c r="G208" s="183"/>
      <c r="H208" s="182"/>
      <c r="I208" s="171"/>
      <c r="J208" s="185"/>
      <c r="K208" s="207"/>
    </row>
    <row r="209" ht="15.75" customHeight="1">
      <c r="B209" s="181"/>
      <c r="E209" s="183"/>
      <c r="F209" s="183"/>
      <c r="G209" s="183"/>
      <c r="H209" s="182"/>
      <c r="I209" s="171"/>
      <c r="J209" s="185"/>
      <c r="K209" s="207"/>
    </row>
    <row r="210" ht="15.75" customHeight="1">
      <c r="B210" s="181"/>
      <c r="E210" s="183"/>
      <c r="F210" s="183"/>
      <c r="G210" s="183"/>
      <c r="H210" s="182"/>
      <c r="I210" s="171"/>
      <c r="J210" s="185"/>
      <c r="K210" s="207"/>
    </row>
    <row r="211" ht="15.75" customHeight="1">
      <c r="B211" s="181"/>
      <c r="E211" s="183"/>
      <c r="F211" s="183"/>
      <c r="G211" s="183"/>
      <c r="H211" s="182"/>
      <c r="I211" s="171"/>
      <c r="J211" s="185"/>
      <c r="K211" s="207"/>
    </row>
    <row r="212" ht="15.75" customHeight="1">
      <c r="B212" s="181"/>
      <c r="E212" s="183"/>
      <c r="F212" s="183"/>
      <c r="G212" s="183"/>
      <c r="H212" s="182"/>
      <c r="I212" s="171"/>
      <c r="J212" s="185"/>
      <c r="K212" s="207"/>
    </row>
    <row r="213" ht="15.75" customHeight="1">
      <c r="B213" s="181"/>
      <c r="E213" s="183"/>
      <c r="F213" s="183"/>
      <c r="G213" s="183"/>
      <c r="H213" s="182"/>
      <c r="I213" s="171"/>
      <c r="J213" s="185"/>
      <c r="K213" s="207"/>
    </row>
    <row r="214" ht="15.75" customHeight="1">
      <c r="B214" s="181"/>
      <c r="E214" s="183"/>
      <c r="F214" s="183"/>
      <c r="G214" s="183"/>
      <c r="H214" s="182"/>
      <c r="I214" s="171"/>
      <c r="J214" s="185"/>
      <c r="K214" s="207"/>
    </row>
    <row r="215" ht="15.75" customHeight="1">
      <c r="B215" s="181"/>
      <c r="E215" s="183"/>
      <c r="F215" s="183"/>
      <c r="G215" s="183"/>
      <c r="H215" s="182"/>
      <c r="I215" s="171"/>
      <c r="J215" s="185"/>
      <c r="K215" s="207"/>
    </row>
    <row r="216" ht="15.75" customHeight="1">
      <c r="B216" s="181"/>
      <c r="E216" s="183"/>
      <c r="F216" s="183"/>
      <c r="G216" s="183"/>
      <c r="H216" s="182"/>
      <c r="I216" s="171"/>
      <c r="J216" s="185"/>
      <c r="K216" s="207"/>
    </row>
    <row r="217" ht="15.75" customHeight="1">
      <c r="B217" s="181"/>
      <c r="E217" s="183"/>
      <c r="F217" s="183"/>
      <c r="G217" s="183"/>
      <c r="H217" s="182"/>
      <c r="I217" s="171"/>
      <c r="J217" s="185"/>
      <c r="K217" s="207"/>
    </row>
    <row r="218" ht="15.75" customHeight="1">
      <c r="B218" s="181"/>
      <c r="E218" s="183"/>
      <c r="F218" s="183"/>
      <c r="G218" s="183"/>
      <c r="H218" s="182"/>
      <c r="I218" s="171"/>
      <c r="J218" s="185"/>
      <c r="K218" s="207"/>
    </row>
    <row r="219" ht="15.75" customHeight="1">
      <c r="B219" s="181"/>
      <c r="E219" s="183"/>
      <c r="F219" s="183"/>
      <c r="G219" s="183"/>
      <c r="H219" s="182"/>
      <c r="I219" s="171"/>
      <c r="J219" s="185"/>
      <c r="K219" s="207"/>
    </row>
    <row r="220" ht="15.75" customHeight="1">
      <c r="B220" s="181"/>
      <c r="E220" s="183"/>
      <c r="F220" s="183"/>
      <c r="G220" s="183"/>
      <c r="H220" s="182"/>
      <c r="I220" s="171"/>
      <c r="J220" s="185"/>
      <c r="K220" s="207"/>
    </row>
    <row r="221" ht="15.75" customHeight="1">
      <c r="B221" s="181"/>
      <c r="E221" s="183"/>
      <c r="F221" s="183"/>
      <c r="G221" s="183"/>
      <c r="H221" s="182"/>
      <c r="I221" s="171"/>
      <c r="J221" s="185"/>
      <c r="K221" s="207"/>
    </row>
    <row r="222" ht="15.75" customHeight="1">
      <c r="B222" s="181"/>
      <c r="E222" s="183"/>
      <c r="F222" s="183"/>
      <c r="G222" s="183"/>
      <c r="H222" s="182"/>
      <c r="I222" s="171"/>
      <c r="J222" s="185"/>
      <c r="K222" s="207"/>
    </row>
    <row r="223" ht="15.75" customHeight="1">
      <c r="B223" s="181"/>
      <c r="E223" s="183"/>
      <c r="F223" s="183"/>
      <c r="G223" s="183"/>
      <c r="H223" s="182"/>
      <c r="I223" s="171"/>
      <c r="J223" s="185"/>
      <c r="K223" s="207"/>
    </row>
    <row r="224" ht="15.75" customHeight="1">
      <c r="B224" s="181"/>
      <c r="E224" s="183"/>
      <c r="F224" s="183"/>
      <c r="G224" s="183"/>
      <c r="H224" s="182"/>
      <c r="I224" s="171"/>
      <c r="J224" s="185"/>
      <c r="K224" s="207"/>
    </row>
    <row r="225" ht="15.75" customHeight="1">
      <c r="B225" s="181"/>
      <c r="E225" s="183"/>
      <c r="F225" s="183"/>
      <c r="G225" s="183"/>
      <c r="H225" s="182"/>
      <c r="I225" s="171"/>
      <c r="J225" s="185"/>
      <c r="K225" s="207"/>
    </row>
    <row r="226" ht="15.75" customHeight="1">
      <c r="B226" s="181"/>
      <c r="E226" s="183"/>
      <c r="F226" s="183"/>
      <c r="G226" s="183"/>
      <c r="H226" s="182"/>
      <c r="I226" s="171"/>
      <c r="J226" s="185"/>
      <c r="K226" s="207"/>
    </row>
    <row r="227" ht="15.75" customHeight="1">
      <c r="B227" s="181"/>
      <c r="E227" s="183"/>
      <c r="F227" s="183"/>
      <c r="G227" s="183"/>
      <c r="H227" s="182"/>
      <c r="I227" s="171"/>
      <c r="J227" s="185"/>
      <c r="K227" s="207"/>
    </row>
    <row r="228" ht="15.75" customHeight="1">
      <c r="B228" s="181"/>
      <c r="E228" s="183"/>
      <c r="F228" s="183"/>
      <c r="G228" s="183"/>
      <c r="H228" s="182"/>
      <c r="I228" s="171"/>
      <c r="J228" s="185"/>
      <c r="K228" s="207"/>
    </row>
    <row r="229" ht="15.75" customHeight="1">
      <c r="B229" s="181"/>
      <c r="E229" s="183"/>
      <c r="F229" s="183"/>
      <c r="G229" s="183"/>
      <c r="H229" s="182"/>
      <c r="I229" s="171"/>
      <c r="J229" s="185"/>
      <c r="K229" s="207"/>
    </row>
    <row r="230" ht="15.75" customHeight="1">
      <c r="B230" s="181"/>
      <c r="E230" s="183"/>
      <c r="F230" s="183"/>
      <c r="G230" s="183"/>
      <c r="H230" s="182"/>
      <c r="I230" s="171"/>
      <c r="J230" s="185"/>
      <c r="K230" s="207"/>
    </row>
    <row r="231" ht="15.75" customHeight="1">
      <c r="B231" s="181"/>
      <c r="E231" s="183"/>
      <c r="F231" s="183"/>
      <c r="G231" s="183"/>
      <c r="H231" s="182"/>
      <c r="I231" s="171"/>
      <c r="J231" s="185"/>
      <c r="K231" s="207"/>
    </row>
    <row r="232" ht="15.75" customHeight="1">
      <c r="B232" s="181"/>
      <c r="E232" s="183"/>
      <c r="F232" s="183"/>
      <c r="G232" s="183"/>
      <c r="H232" s="182"/>
      <c r="I232" s="171"/>
      <c r="J232" s="185"/>
      <c r="K232" s="207"/>
    </row>
    <row r="233" ht="15.75" customHeight="1">
      <c r="B233" s="181"/>
      <c r="E233" s="183"/>
      <c r="F233" s="183"/>
      <c r="G233" s="183"/>
      <c r="H233" s="182"/>
      <c r="I233" s="171"/>
      <c r="J233" s="185"/>
      <c r="K233" s="207"/>
    </row>
    <row r="234" ht="15.75" customHeight="1">
      <c r="B234" s="181"/>
      <c r="E234" s="183"/>
      <c r="F234" s="183"/>
      <c r="G234" s="183"/>
      <c r="H234" s="182"/>
      <c r="I234" s="171"/>
      <c r="J234" s="185"/>
      <c r="K234" s="207"/>
    </row>
    <row r="235" ht="15.75" customHeight="1">
      <c r="B235" s="181"/>
      <c r="E235" s="183"/>
      <c r="F235" s="183"/>
      <c r="G235" s="183"/>
      <c r="H235" s="182"/>
      <c r="I235" s="171"/>
      <c r="J235" s="185"/>
      <c r="K235" s="207"/>
    </row>
    <row r="236" ht="15.75" customHeight="1">
      <c r="B236" s="181"/>
      <c r="E236" s="183"/>
      <c r="F236" s="183"/>
      <c r="G236" s="183"/>
      <c r="H236" s="182"/>
      <c r="I236" s="171"/>
      <c r="J236" s="185"/>
      <c r="K236" s="207"/>
    </row>
    <row r="237" ht="15.75" customHeight="1">
      <c r="B237" s="181"/>
      <c r="E237" s="183"/>
      <c r="F237" s="183"/>
      <c r="G237" s="183"/>
      <c r="H237" s="182"/>
      <c r="I237" s="171"/>
      <c r="J237" s="185"/>
      <c r="K237" s="207"/>
    </row>
    <row r="238" ht="15.75" customHeight="1">
      <c r="B238" s="181"/>
      <c r="E238" s="183"/>
      <c r="F238" s="183"/>
      <c r="G238" s="183"/>
      <c r="H238" s="182"/>
      <c r="I238" s="171"/>
      <c r="J238" s="185"/>
      <c r="K238" s="207"/>
    </row>
    <row r="239" ht="15.75" customHeight="1">
      <c r="B239" s="181"/>
      <c r="E239" s="183"/>
      <c r="F239" s="183"/>
      <c r="G239" s="183"/>
      <c r="H239" s="182"/>
      <c r="I239" s="171"/>
      <c r="J239" s="185"/>
      <c r="K239" s="207"/>
    </row>
    <row r="240" ht="15.75" customHeight="1">
      <c r="B240" s="181"/>
      <c r="E240" s="183"/>
      <c r="F240" s="183"/>
      <c r="G240" s="183"/>
      <c r="H240" s="182"/>
      <c r="I240" s="171"/>
      <c r="J240" s="185"/>
      <c r="K240" s="207"/>
    </row>
    <row r="241" ht="15.75" customHeight="1">
      <c r="B241" s="181"/>
      <c r="E241" s="183"/>
      <c r="F241" s="183"/>
      <c r="G241" s="183"/>
      <c r="H241" s="182"/>
      <c r="I241" s="171"/>
      <c r="J241" s="185"/>
      <c r="K241" s="207"/>
    </row>
    <row r="242" ht="15.75" customHeight="1">
      <c r="B242" s="181"/>
      <c r="E242" s="183"/>
      <c r="F242" s="183"/>
      <c r="G242" s="183"/>
      <c r="H242" s="182"/>
      <c r="I242" s="171"/>
      <c r="J242" s="185"/>
      <c r="K242" s="207"/>
    </row>
    <row r="243" ht="15.75" customHeight="1">
      <c r="B243" s="181"/>
      <c r="E243" s="183"/>
      <c r="F243" s="183"/>
      <c r="G243" s="183"/>
      <c r="H243" s="182"/>
      <c r="I243" s="171"/>
      <c r="J243" s="185"/>
      <c r="K243" s="207"/>
    </row>
    <row r="244" ht="15.75" customHeight="1">
      <c r="B244" s="181"/>
      <c r="E244" s="183"/>
      <c r="F244" s="183"/>
      <c r="G244" s="183"/>
      <c r="H244" s="182"/>
      <c r="I244" s="171"/>
      <c r="J244" s="185"/>
      <c r="K244" s="207"/>
    </row>
    <row r="245" ht="15.75" customHeight="1">
      <c r="B245" s="181"/>
      <c r="E245" s="183"/>
      <c r="F245" s="183"/>
      <c r="G245" s="183"/>
      <c r="H245" s="182"/>
      <c r="I245" s="171"/>
      <c r="J245" s="185"/>
      <c r="K245" s="207"/>
    </row>
    <row r="246" ht="15.75" customHeight="1">
      <c r="B246" s="181"/>
      <c r="E246" s="183"/>
      <c r="F246" s="183"/>
      <c r="G246" s="183"/>
      <c r="H246" s="182"/>
      <c r="I246" s="171"/>
      <c r="J246" s="185"/>
      <c r="K246" s="207"/>
    </row>
    <row r="247" ht="15.75" customHeight="1">
      <c r="B247" s="181"/>
      <c r="E247" s="183"/>
      <c r="F247" s="183"/>
      <c r="G247" s="183"/>
      <c r="H247" s="182"/>
      <c r="I247" s="171"/>
      <c r="J247" s="185"/>
      <c r="K247" s="207"/>
    </row>
    <row r="248" ht="15.75" customHeight="1">
      <c r="B248" s="181"/>
      <c r="E248" s="183"/>
      <c r="F248" s="183"/>
      <c r="G248" s="183"/>
      <c r="H248" s="182"/>
      <c r="I248" s="171"/>
      <c r="J248" s="185"/>
      <c r="K248" s="207"/>
    </row>
    <row r="249" ht="15.75" customHeight="1">
      <c r="B249" s="181"/>
      <c r="E249" s="183"/>
      <c r="F249" s="183"/>
      <c r="G249" s="183"/>
      <c r="H249" s="182"/>
      <c r="I249" s="171"/>
      <c r="J249" s="185"/>
      <c r="K249" s="207"/>
    </row>
    <row r="250" ht="15.75" customHeight="1">
      <c r="B250" s="181"/>
      <c r="E250" s="183"/>
      <c r="F250" s="183"/>
      <c r="G250" s="183"/>
      <c r="H250" s="182"/>
      <c r="I250" s="171"/>
      <c r="J250" s="185"/>
      <c r="K250" s="207"/>
    </row>
    <row r="251" ht="15.75" customHeight="1">
      <c r="B251" s="181"/>
      <c r="E251" s="183"/>
      <c r="F251" s="183"/>
      <c r="G251" s="183"/>
      <c r="H251" s="182"/>
      <c r="I251" s="171"/>
      <c r="J251" s="185"/>
      <c r="K251" s="207"/>
    </row>
    <row r="252" ht="15.75" customHeight="1">
      <c r="B252" s="181"/>
      <c r="E252" s="183"/>
      <c r="F252" s="183"/>
      <c r="G252" s="183"/>
      <c r="H252" s="182"/>
      <c r="I252" s="171"/>
      <c r="J252" s="185"/>
      <c r="K252" s="207"/>
    </row>
    <row r="253" ht="15.75" customHeight="1">
      <c r="B253" s="181"/>
      <c r="E253" s="183"/>
      <c r="F253" s="183"/>
      <c r="G253" s="183"/>
      <c r="H253" s="182"/>
      <c r="I253" s="171"/>
      <c r="J253" s="185"/>
      <c r="K253" s="207"/>
    </row>
    <row r="254" ht="15.75" customHeight="1">
      <c r="B254" s="181"/>
      <c r="E254" s="183"/>
      <c r="F254" s="183"/>
      <c r="G254" s="183"/>
      <c r="H254" s="182"/>
      <c r="I254" s="171"/>
      <c r="J254" s="185"/>
      <c r="K254" s="207"/>
    </row>
    <row r="255" ht="15.75" customHeight="1">
      <c r="B255" s="181"/>
      <c r="E255" s="183"/>
      <c r="F255" s="183"/>
      <c r="G255" s="183"/>
      <c r="H255" s="182"/>
      <c r="I255" s="171"/>
      <c r="J255" s="185"/>
      <c r="K255" s="207"/>
    </row>
    <row r="256" ht="15.75" customHeight="1">
      <c r="B256" s="181"/>
      <c r="E256" s="183"/>
      <c r="F256" s="183"/>
      <c r="G256" s="183"/>
      <c r="H256" s="182"/>
      <c r="I256" s="171"/>
      <c r="J256" s="185"/>
      <c r="K256" s="207"/>
    </row>
    <row r="257" ht="15.75" customHeight="1">
      <c r="B257" s="181"/>
      <c r="E257" s="183"/>
      <c r="F257" s="183"/>
      <c r="G257" s="183"/>
      <c r="H257" s="182"/>
      <c r="I257" s="171"/>
      <c r="J257" s="185"/>
      <c r="K257" s="207"/>
    </row>
    <row r="258" ht="15.75" customHeight="1">
      <c r="B258" s="181"/>
      <c r="E258" s="183"/>
      <c r="F258" s="183"/>
      <c r="G258" s="183"/>
      <c r="H258" s="182"/>
      <c r="I258" s="171"/>
      <c r="J258" s="185"/>
      <c r="K258" s="207"/>
    </row>
    <row r="259" ht="15.75" customHeight="1">
      <c r="B259" s="181"/>
      <c r="E259" s="183"/>
      <c r="F259" s="183"/>
      <c r="G259" s="183"/>
      <c r="H259" s="182"/>
      <c r="I259" s="171"/>
      <c r="J259" s="185"/>
      <c r="K259" s="207"/>
    </row>
    <row r="260" ht="15.75" customHeight="1">
      <c r="B260" s="181"/>
      <c r="E260" s="183"/>
      <c r="F260" s="183"/>
      <c r="G260" s="183"/>
      <c r="H260" s="182"/>
      <c r="I260" s="171"/>
      <c r="J260" s="185"/>
      <c r="K260" s="207"/>
    </row>
    <row r="261" ht="15.75" customHeight="1">
      <c r="B261" s="181"/>
      <c r="E261" s="183"/>
      <c r="F261" s="183"/>
      <c r="G261" s="183"/>
      <c r="H261" s="182"/>
      <c r="I261" s="171"/>
      <c r="J261" s="185"/>
      <c r="K261" s="207"/>
    </row>
    <row r="262" ht="15.75" customHeight="1">
      <c r="B262" s="181"/>
      <c r="E262" s="183"/>
      <c r="F262" s="183"/>
      <c r="G262" s="183"/>
      <c r="H262" s="182"/>
      <c r="I262" s="171"/>
      <c r="J262" s="185"/>
      <c r="K262" s="207"/>
    </row>
    <row r="263" ht="15.75" customHeight="1">
      <c r="B263" s="181"/>
      <c r="E263" s="183"/>
      <c r="F263" s="183"/>
      <c r="G263" s="183"/>
      <c r="H263" s="182"/>
      <c r="I263" s="171"/>
      <c r="J263" s="185"/>
      <c r="K263" s="207"/>
    </row>
    <row r="264" ht="15.75" customHeight="1">
      <c r="B264" s="181"/>
      <c r="E264" s="183"/>
      <c r="F264" s="183"/>
      <c r="G264" s="183"/>
      <c r="H264" s="182"/>
      <c r="I264" s="171"/>
      <c r="J264" s="185"/>
      <c r="K264" s="207"/>
    </row>
    <row r="265" ht="15.75" customHeight="1">
      <c r="B265" s="181"/>
      <c r="E265" s="183"/>
      <c r="F265" s="183"/>
      <c r="G265" s="183"/>
      <c r="H265" s="182"/>
      <c r="I265" s="171"/>
      <c r="J265" s="185"/>
      <c r="K265" s="207"/>
    </row>
    <row r="266" ht="15.75" customHeight="1">
      <c r="B266" s="181"/>
      <c r="E266" s="183"/>
      <c r="F266" s="183"/>
      <c r="G266" s="183"/>
      <c r="H266" s="182"/>
      <c r="I266" s="171"/>
      <c r="J266" s="185"/>
      <c r="K266" s="207"/>
    </row>
    <row r="267" ht="15.75" customHeight="1">
      <c r="B267" s="181"/>
      <c r="E267" s="183"/>
      <c r="F267" s="183"/>
      <c r="G267" s="183"/>
      <c r="H267" s="182"/>
      <c r="I267" s="171"/>
      <c r="J267" s="185"/>
      <c r="K267" s="207"/>
    </row>
    <row r="268" ht="15.75" customHeight="1">
      <c r="B268" s="181"/>
      <c r="E268" s="183"/>
      <c r="F268" s="183"/>
      <c r="G268" s="183"/>
      <c r="H268" s="182"/>
      <c r="I268" s="171"/>
      <c r="J268" s="185"/>
      <c r="K268" s="207"/>
    </row>
    <row r="269" ht="15.75" customHeight="1">
      <c r="B269" s="181"/>
      <c r="E269" s="183"/>
      <c r="F269" s="183"/>
      <c r="G269" s="183"/>
      <c r="H269" s="182"/>
      <c r="I269" s="171"/>
      <c r="J269" s="185"/>
      <c r="K269" s="207"/>
    </row>
    <row r="270" ht="15.75" customHeight="1">
      <c r="B270" s="181"/>
      <c r="E270" s="183"/>
      <c r="F270" s="183"/>
      <c r="G270" s="183"/>
      <c r="H270" s="182"/>
      <c r="I270" s="171"/>
      <c r="J270" s="185"/>
      <c r="K270" s="207"/>
    </row>
    <row r="271" ht="15.75" customHeight="1">
      <c r="B271" s="181"/>
      <c r="E271" s="183"/>
      <c r="F271" s="183"/>
      <c r="G271" s="183"/>
      <c r="H271" s="182"/>
      <c r="I271" s="171"/>
      <c r="J271" s="185"/>
      <c r="K271" s="207"/>
    </row>
    <row r="272" ht="15.75" customHeight="1">
      <c r="B272" s="181"/>
      <c r="E272" s="183"/>
      <c r="F272" s="183"/>
      <c r="G272" s="183"/>
      <c r="H272" s="182"/>
      <c r="I272" s="171"/>
      <c r="J272" s="185"/>
      <c r="K272" s="207"/>
    </row>
    <row r="273" ht="15.75" customHeight="1">
      <c r="B273" s="181"/>
      <c r="E273" s="183"/>
      <c r="F273" s="183"/>
      <c r="G273" s="183"/>
      <c r="H273" s="182"/>
      <c r="I273" s="171"/>
      <c r="J273" s="185"/>
      <c r="K273" s="207"/>
    </row>
    <row r="274" ht="15.75" customHeight="1">
      <c r="B274" s="181"/>
      <c r="E274" s="183"/>
      <c r="F274" s="183"/>
      <c r="G274" s="183"/>
      <c r="H274" s="182"/>
      <c r="I274" s="171"/>
      <c r="J274" s="185"/>
      <c r="K274" s="207"/>
    </row>
    <row r="275" ht="15.75" customHeight="1">
      <c r="B275" s="181"/>
      <c r="E275" s="183"/>
      <c r="F275" s="183"/>
      <c r="G275" s="183"/>
      <c r="H275" s="182"/>
      <c r="I275" s="171"/>
      <c r="J275" s="185"/>
      <c r="K275" s="207"/>
    </row>
    <row r="276" ht="15.75" customHeight="1">
      <c r="B276" s="181"/>
      <c r="E276" s="183"/>
      <c r="F276" s="183"/>
      <c r="G276" s="183"/>
      <c r="H276" s="182"/>
      <c r="I276" s="171"/>
      <c r="J276" s="185"/>
      <c r="K276" s="207"/>
    </row>
    <row r="277" ht="15.75" customHeight="1">
      <c r="B277" s="181"/>
      <c r="E277" s="183"/>
      <c r="F277" s="183"/>
      <c r="G277" s="183"/>
      <c r="H277" s="182"/>
      <c r="I277" s="171"/>
      <c r="J277" s="185"/>
      <c r="K277" s="207"/>
    </row>
    <row r="278" ht="15.75" customHeight="1">
      <c r="B278" s="181"/>
      <c r="E278" s="183"/>
      <c r="F278" s="183"/>
      <c r="G278" s="183"/>
      <c r="H278" s="182"/>
      <c r="I278" s="171"/>
      <c r="J278" s="185"/>
      <c r="K278" s="207"/>
    </row>
    <row r="279" ht="15.75" customHeight="1">
      <c r="B279" s="181"/>
      <c r="E279" s="183"/>
      <c r="F279" s="183"/>
      <c r="G279" s="183"/>
      <c r="H279" s="182"/>
      <c r="I279" s="171"/>
      <c r="J279" s="185"/>
      <c r="K279" s="207"/>
    </row>
    <row r="280" ht="15.75" customHeight="1">
      <c r="B280" s="181"/>
      <c r="E280" s="183"/>
      <c r="F280" s="183"/>
      <c r="G280" s="183"/>
      <c r="H280" s="182"/>
      <c r="I280" s="171"/>
      <c r="J280" s="185"/>
      <c r="K280" s="207"/>
    </row>
    <row r="281" ht="15.75" customHeight="1">
      <c r="B281" s="181"/>
      <c r="E281" s="183"/>
      <c r="F281" s="183"/>
      <c r="G281" s="183"/>
      <c r="H281" s="182"/>
      <c r="I281" s="171"/>
      <c r="J281" s="185"/>
      <c r="K281" s="207"/>
    </row>
    <row r="282" ht="15.75" customHeight="1">
      <c r="B282" s="181"/>
      <c r="E282" s="183"/>
      <c r="F282" s="183"/>
      <c r="G282" s="183"/>
      <c r="H282" s="182"/>
      <c r="I282" s="171"/>
      <c r="J282" s="185"/>
      <c r="K282" s="207"/>
    </row>
    <row r="283" ht="15.75" customHeight="1">
      <c r="B283" s="181"/>
      <c r="E283" s="183"/>
      <c r="F283" s="183"/>
      <c r="G283" s="183"/>
      <c r="H283" s="182"/>
      <c r="I283" s="171"/>
      <c r="J283" s="185"/>
      <c r="K283" s="207"/>
    </row>
    <row r="284" ht="15.75" customHeight="1">
      <c r="B284" s="181"/>
      <c r="E284" s="183"/>
      <c r="F284" s="183"/>
      <c r="G284" s="183"/>
      <c r="H284" s="182"/>
      <c r="I284" s="171"/>
      <c r="J284" s="185"/>
      <c r="K284" s="207"/>
    </row>
    <row r="285" ht="15.75" customHeight="1">
      <c r="B285" s="181"/>
      <c r="E285" s="183"/>
      <c r="F285" s="183"/>
      <c r="G285" s="183"/>
      <c r="H285" s="182"/>
      <c r="I285" s="171"/>
      <c r="J285" s="185"/>
      <c r="K285" s="207"/>
    </row>
    <row r="286" ht="15.75" customHeight="1">
      <c r="B286" s="181"/>
      <c r="E286" s="183"/>
      <c r="F286" s="183"/>
      <c r="G286" s="183"/>
      <c r="H286" s="182"/>
      <c r="I286" s="171"/>
      <c r="J286" s="185"/>
      <c r="K286" s="207"/>
    </row>
    <row r="287" ht="15.75" customHeight="1">
      <c r="B287" s="181"/>
      <c r="E287" s="183"/>
      <c r="F287" s="183"/>
      <c r="G287" s="183"/>
      <c r="H287" s="182"/>
      <c r="I287" s="171"/>
      <c r="J287" s="185"/>
      <c r="K287" s="207"/>
    </row>
    <row r="288" ht="15.75" customHeight="1">
      <c r="B288" s="181"/>
      <c r="E288" s="183"/>
      <c r="F288" s="183"/>
      <c r="G288" s="183"/>
      <c r="H288" s="182"/>
      <c r="I288" s="171"/>
      <c r="J288" s="185"/>
      <c r="K288" s="207"/>
    </row>
    <row r="289" ht="15.75" customHeight="1">
      <c r="B289" s="181"/>
      <c r="E289" s="183"/>
      <c r="F289" s="183"/>
      <c r="G289" s="183"/>
      <c r="H289" s="182"/>
      <c r="I289" s="171"/>
      <c r="J289" s="185"/>
      <c r="K289" s="207"/>
    </row>
    <row r="290" ht="15.75" customHeight="1">
      <c r="B290" s="181"/>
      <c r="E290" s="183"/>
      <c r="F290" s="183"/>
      <c r="G290" s="183"/>
      <c r="H290" s="182"/>
      <c r="I290" s="171"/>
      <c r="J290" s="185"/>
      <c r="K290" s="207"/>
    </row>
    <row r="291" ht="15.75" customHeight="1">
      <c r="B291" s="181"/>
      <c r="E291" s="183"/>
      <c r="F291" s="183"/>
      <c r="G291" s="183"/>
      <c r="H291" s="182"/>
      <c r="I291" s="171"/>
      <c r="J291" s="185"/>
      <c r="K291" s="207"/>
    </row>
    <row r="292" ht="15.75" customHeight="1">
      <c r="B292" s="181"/>
      <c r="E292" s="183"/>
      <c r="F292" s="183"/>
      <c r="G292" s="183"/>
      <c r="H292" s="182"/>
      <c r="I292" s="171"/>
      <c r="J292" s="185"/>
      <c r="K292" s="207"/>
    </row>
    <row r="293" ht="15.75" customHeight="1">
      <c r="B293" s="181"/>
      <c r="E293" s="183"/>
      <c r="F293" s="183"/>
      <c r="G293" s="183"/>
      <c r="H293" s="182"/>
      <c r="I293" s="171"/>
      <c r="J293" s="185"/>
      <c r="K293" s="207"/>
    </row>
    <row r="294" ht="15.75" customHeight="1">
      <c r="B294" s="181"/>
      <c r="E294" s="183"/>
      <c r="F294" s="183"/>
      <c r="G294" s="183"/>
      <c r="H294" s="182"/>
      <c r="I294" s="171"/>
      <c r="J294" s="185"/>
      <c r="K294" s="207"/>
    </row>
    <row r="295" ht="15.75" customHeight="1">
      <c r="B295" s="181"/>
      <c r="E295" s="183"/>
      <c r="F295" s="183"/>
      <c r="G295" s="183"/>
      <c r="H295" s="182"/>
      <c r="I295" s="171"/>
      <c r="J295" s="185"/>
      <c r="K295" s="207"/>
    </row>
    <row r="296" ht="15.75" customHeight="1">
      <c r="B296" s="181"/>
      <c r="E296" s="183"/>
      <c r="F296" s="183"/>
      <c r="G296" s="183"/>
      <c r="H296" s="182"/>
      <c r="I296" s="171"/>
      <c r="J296" s="185"/>
      <c r="K296" s="207"/>
    </row>
    <row r="297" ht="15.75" customHeight="1">
      <c r="B297" s="181"/>
      <c r="E297" s="183"/>
      <c r="F297" s="183"/>
      <c r="G297" s="183"/>
      <c r="H297" s="182"/>
      <c r="I297" s="171"/>
      <c r="J297" s="185"/>
      <c r="K297" s="207"/>
    </row>
    <row r="298" ht="15.75" customHeight="1">
      <c r="B298" s="181"/>
      <c r="E298" s="183"/>
      <c r="F298" s="183"/>
      <c r="G298" s="183"/>
      <c r="H298" s="182"/>
      <c r="I298" s="171"/>
      <c r="J298" s="185"/>
      <c r="K298" s="207"/>
    </row>
    <row r="299" ht="15.75" customHeight="1">
      <c r="B299" s="181"/>
      <c r="E299" s="183"/>
      <c r="F299" s="183"/>
      <c r="G299" s="183"/>
      <c r="H299" s="182"/>
      <c r="I299" s="171"/>
      <c r="J299" s="185"/>
      <c r="K299" s="207"/>
    </row>
    <row r="300" ht="15.75" customHeight="1">
      <c r="B300" s="181"/>
      <c r="E300" s="183"/>
      <c r="F300" s="183"/>
      <c r="G300" s="183"/>
      <c r="H300" s="182"/>
      <c r="I300" s="171"/>
      <c r="J300" s="185"/>
      <c r="K300" s="207"/>
    </row>
    <row r="301" ht="15.75" customHeight="1">
      <c r="B301" s="181"/>
      <c r="E301" s="183"/>
      <c r="F301" s="183"/>
      <c r="G301" s="183"/>
      <c r="H301" s="182"/>
      <c r="I301" s="171"/>
      <c r="J301" s="185"/>
      <c r="K301" s="207"/>
    </row>
    <row r="302" ht="15.75" customHeight="1">
      <c r="B302" s="181"/>
      <c r="E302" s="183"/>
      <c r="F302" s="183"/>
      <c r="G302" s="183"/>
      <c r="H302" s="182"/>
      <c r="I302" s="171"/>
      <c r="J302" s="185"/>
      <c r="K302" s="207"/>
    </row>
    <row r="303" ht="15.75" customHeight="1">
      <c r="B303" s="181"/>
      <c r="E303" s="183"/>
      <c r="F303" s="183"/>
      <c r="G303" s="183"/>
      <c r="H303" s="182"/>
      <c r="I303" s="171"/>
      <c r="J303" s="185"/>
      <c r="K303" s="207"/>
    </row>
    <row r="304" ht="15.75" customHeight="1">
      <c r="B304" s="181"/>
      <c r="E304" s="183"/>
      <c r="F304" s="183"/>
      <c r="G304" s="183"/>
      <c r="H304" s="182"/>
      <c r="I304" s="171"/>
      <c r="J304" s="185"/>
      <c r="K304" s="207"/>
    </row>
    <row r="305" ht="15.75" customHeight="1">
      <c r="B305" s="181"/>
      <c r="E305" s="183"/>
      <c r="F305" s="183"/>
      <c r="G305" s="183"/>
      <c r="H305" s="182"/>
      <c r="I305" s="171"/>
      <c r="J305" s="185"/>
      <c r="K305" s="207"/>
    </row>
    <row r="306" ht="15.75" customHeight="1">
      <c r="B306" s="181"/>
      <c r="E306" s="183"/>
      <c r="F306" s="183"/>
      <c r="G306" s="183"/>
      <c r="H306" s="182"/>
      <c r="I306" s="171"/>
      <c r="J306" s="185"/>
      <c r="K306" s="207"/>
    </row>
    <row r="307" ht="15.75" customHeight="1">
      <c r="B307" s="181"/>
      <c r="E307" s="183"/>
      <c r="F307" s="183"/>
      <c r="G307" s="183"/>
      <c r="H307" s="182"/>
      <c r="I307" s="171"/>
      <c r="J307" s="185"/>
      <c r="K307" s="207"/>
    </row>
    <row r="308" ht="15.75" customHeight="1">
      <c r="B308" s="181"/>
      <c r="E308" s="183"/>
      <c r="F308" s="183"/>
      <c r="G308" s="183"/>
      <c r="H308" s="182"/>
      <c r="I308" s="171"/>
      <c r="J308" s="185"/>
      <c r="K308" s="207"/>
    </row>
    <row r="309" ht="15.75" customHeight="1">
      <c r="B309" s="181"/>
      <c r="E309" s="183"/>
      <c r="F309" s="183"/>
      <c r="G309" s="183"/>
      <c r="H309" s="182"/>
      <c r="I309" s="171"/>
      <c r="J309" s="185"/>
      <c r="K309" s="207"/>
    </row>
    <row r="310" ht="15.75" customHeight="1">
      <c r="B310" s="181"/>
      <c r="E310" s="183"/>
      <c r="F310" s="183"/>
      <c r="G310" s="183"/>
      <c r="H310" s="182"/>
      <c r="I310" s="171"/>
      <c r="J310" s="185"/>
      <c r="K310" s="207"/>
    </row>
    <row r="311" ht="15.75" customHeight="1">
      <c r="B311" s="181"/>
      <c r="E311" s="183"/>
      <c r="F311" s="183"/>
      <c r="G311" s="183"/>
      <c r="H311" s="182"/>
      <c r="I311" s="171"/>
      <c r="J311" s="185"/>
      <c r="K311" s="207"/>
    </row>
    <row r="312" ht="15.75" customHeight="1">
      <c r="B312" s="181"/>
      <c r="E312" s="183"/>
      <c r="F312" s="183"/>
      <c r="G312" s="183"/>
      <c r="H312" s="182"/>
      <c r="I312" s="171"/>
      <c r="J312" s="185"/>
      <c r="K312" s="207"/>
    </row>
    <row r="313" ht="15.75" customHeight="1">
      <c r="B313" s="181"/>
      <c r="E313" s="183"/>
      <c r="F313" s="183"/>
      <c r="G313" s="183"/>
      <c r="H313" s="182"/>
      <c r="I313" s="171"/>
      <c r="J313" s="185"/>
      <c r="K313" s="207"/>
    </row>
    <row r="314" ht="15.75" customHeight="1">
      <c r="B314" s="181"/>
      <c r="E314" s="183"/>
      <c r="F314" s="183"/>
      <c r="G314" s="183"/>
      <c r="H314" s="182"/>
      <c r="I314" s="171"/>
      <c r="J314" s="185"/>
      <c r="K314" s="207"/>
    </row>
    <row r="315" ht="15.75" customHeight="1">
      <c r="B315" s="181"/>
      <c r="E315" s="183"/>
      <c r="F315" s="183"/>
      <c r="G315" s="183"/>
      <c r="H315" s="182"/>
      <c r="I315" s="171"/>
      <c r="J315" s="185"/>
      <c r="K315" s="207"/>
    </row>
    <row r="316" ht="15.75" customHeight="1">
      <c r="B316" s="181"/>
      <c r="E316" s="183"/>
      <c r="F316" s="183"/>
      <c r="G316" s="183"/>
      <c r="H316" s="182"/>
      <c r="I316" s="171"/>
      <c r="J316" s="185"/>
      <c r="K316" s="207"/>
    </row>
    <row r="317" ht="15.75" customHeight="1">
      <c r="B317" s="181"/>
      <c r="E317" s="183"/>
      <c r="F317" s="183"/>
      <c r="G317" s="183"/>
      <c r="H317" s="182"/>
      <c r="I317" s="171"/>
      <c r="J317" s="185"/>
      <c r="K317" s="207"/>
    </row>
    <row r="318" ht="15.75" customHeight="1">
      <c r="B318" s="181"/>
      <c r="E318" s="183"/>
      <c r="F318" s="183"/>
      <c r="G318" s="183"/>
      <c r="H318" s="182"/>
      <c r="I318" s="171"/>
      <c r="J318" s="185"/>
      <c r="K318" s="207"/>
    </row>
    <row r="319" ht="15.75" customHeight="1">
      <c r="B319" s="181"/>
      <c r="E319" s="183"/>
      <c r="F319" s="183"/>
      <c r="G319" s="183"/>
      <c r="H319" s="182"/>
      <c r="I319" s="171"/>
      <c r="J319" s="185"/>
      <c r="K319" s="207"/>
    </row>
    <row r="320" ht="15.75" customHeight="1">
      <c r="B320" s="181"/>
      <c r="E320" s="183"/>
      <c r="F320" s="183"/>
      <c r="G320" s="183"/>
      <c r="H320" s="182"/>
      <c r="I320" s="171"/>
      <c r="J320" s="185"/>
      <c r="K320" s="207"/>
    </row>
    <row r="321" ht="15.75" customHeight="1">
      <c r="B321" s="181"/>
      <c r="E321" s="183"/>
      <c r="F321" s="183"/>
      <c r="G321" s="183"/>
      <c r="H321" s="182"/>
      <c r="I321" s="171"/>
      <c r="J321" s="185"/>
      <c r="K321" s="207"/>
    </row>
    <row r="322" ht="15.75" customHeight="1">
      <c r="B322" s="181"/>
      <c r="E322" s="183"/>
      <c r="F322" s="183"/>
      <c r="G322" s="183"/>
      <c r="H322" s="182"/>
      <c r="I322" s="171"/>
      <c r="J322" s="185"/>
      <c r="K322" s="207"/>
    </row>
    <row r="323" ht="15.75" customHeight="1">
      <c r="B323" s="181"/>
      <c r="E323" s="183"/>
      <c r="F323" s="183"/>
      <c r="G323" s="183"/>
      <c r="H323" s="182"/>
      <c r="I323" s="171"/>
      <c r="J323" s="185"/>
      <c r="K323" s="207"/>
    </row>
    <row r="324" ht="15.75" customHeight="1">
      <c r="B324" s="181"/>
      <c r="E324" s="183"/>
      <c r="F324" s="183"/>
      <c r="G324" s="183"/>
      <c r="H324" s="182"/>
      <c r="I324" s="171"/>
      <c r="J324" s="185"/>
      <c r="K324" s="207"/>
    </row>
    <row r="325" ht="15.75" customHeight="1">
      <c r="B325" s="181"/>
      <c r="E325" s="183"/>
      <c r="F325" s="183"/>
      <c r="G325" s="183"/>
      <c r="H325" s="182"/>
      <c r="I325" s="171"/>
      <c r="J325" s="185"/>
      <c r="K325" s="207"/>
    </row>
    <row r="326" ht="15.75" customHeight="1">
      <c r="B326" s="181"/>
      <c r="E326" s="183"/>
      <c r="F326" s="183"/>
      <c r="G326" s="183"/>
      <c r="H326" s="182"/>
      <c r="I326" s="171"/>
      <c r="J326" s="185"/>
      <c r="K326" s="207"/>
    </row>
    <row r="327" ht="15.75" customHeight="1">
      <c r="B327" s="181"/>
      <c r="E327" s="183"/>
      <c r="F327" s="183"/>
      <c r="G327" s="183"/>
      <c r="H327" s="182"/>
      <c r="I327" s="171"/>
      <c r="J327" s="185"/>
      <c r="K327" s="207"/>
    </row>
    <row r="328" ht="15.75" customHeight="1">
      <c r="B328" s="181"/>
      <c r="E328" s="183"/>
      <c r="F328" s="183"/>
      <c r="G328" s="183"/>
      <c r="H328" s="182"/>
      <c r="I328" s="171"/>
      <c r="J328" s="185"/>
      <c r="K328" s="207"/>
    </row>
    <row r="329" ht="15.75" customHeight="1">
      <c r="B329" s="181"/>
      <c r="E329" s="183"/>
      <c r="F329" s="183"/>
      <c r="G329" s="183"/>
      <c r="H329" s="182"/>
      <c r="I329" s="171"/>
      <c r="J329" s="185"/>
      <c r="K329" s="207"/>
    </row>
    <row r="330" ht="15.75" customHeight="1">
      <c r="B330" s="181"/>
      <c r="E330" s="183"/>
      <c r="F330" s="183"/>
      <c r="G330" s="183"/>
      <c r="H330" s="182"/>
      <c r="I330" s="171"/>
      <c r="J330" s="185"/>
      <c r="K330" s="207"/>
    </row>
    <row r="331" ht="15.75" customHeight="1">
      <c r="B331" s="181"/>
      <c r="E331" s="183"/>
      <c r="F331" s="183"/>
      <c r="G331" s="183"/>
      <c r="H331" s="182"/>
      <c r="I331" s="171"/>
      <c r="J331" s="185"/>
      <c r="K331" s="207"/>
    </row>
    <row r="332" ht="15.75" customHeight="1">
      <c r="B332" s="181"/>
      <c r="E332" s="183"/>
      <c r="F332" s="183"/>
      <c r="G332" s="183"/>
      <c r="H332" s="182"/>
      <c r="I332" s="171"/>
      <c r="J332" s="185"/>
      <c r="K332" s="207"/>
    </row>
    <row r="333" ht="15.75" customHeight="1">
      <c r="B333" s="181"/>
      <c r="E333" s="183"/>
      <c r="F333" s="183"/>
      <c r="G333" s="183"/>
      <c r="H333" s="182"/>
      <c r="I333" s="171"/>
      <c r="J333" s="185"/>
      <c r="K333" s="207"/>
    </row>
    <row r="334" ht="15.75" customHeight="1">
      <c r="B334" s="181"/>
      <c r="E334" s="183"/>
      <c r="F334" s="183"/>
      <c r="G334" s="183"/>
      <c r="H334" s="182"/>
      <c r="I334" s="171"/>
      <c r="J334" s="185"/>
      <c r="K334" s="207"/>
    </row>
    <row r="335" ht="15.75" customHeight="1">
      <c r="B335" s="181"/>
      <c r="E335" s="183"/>
      <c r="F335" s="183"/>
      <c r="G335" s="183"/>
      <c r="H335" s="182"/>
      <c r="I335" s="171"/>
      <c r="J335" s="185"/>
      <c r="K335" s="207"/>
    </row>
    <row r="336" ht="15.75" customHeight="1">
      <c r="B336" s="181"/>
      <c r="E336" s="183"/>
      <c r="F336" s="183"/>
      <c r="G336" s="183"/>
      <c r="H336" s="182"/>
      <c r="I336" s="171"/>
      <c r="J336" s="185"/>
      <c r="K336" s="207"/>
    </row>
    <row r="337" ht="15.75" customHeight="1">
      <c r="B337" s="181"/>
      <c r="E337" s="183"/>
      <c r="F337" s="183"/>
      <c r="G337" s="183"/>
      <c r="H337" s="182"/>
      <c r="I337" s="171"/>
      <c r="J337" s="185"/>
      <c r="K337" s="207"/>
    </row>
    <row r="338" ht="15.75" customHeight="1">
      <c r="B338" s="181"/>
      <c r="E338" s="183"/>
      <c r="F338" s="183"/>
      <c r="G338" s="183"/>
      <c r="H338" s="182"/>
      <c r="I338" s="171"/>
      <c r="J338" s="185"/>
      <c r="K338" s="207"/>
    </row>
    <row r="339" ht="15.75" customHeight="1">
      <c r="B339" s="181"/>
      <c r="E339" s="183"/>
      <c r="F339" s="183"/>
      <c r="G339" s="183"/>
      <c r="H339" s="182"/>
      <c r="I339" s="171"/>
      <c r="J339" s="185"/>
      <c r="K339" s="207"/>
    </row>
    <row r="340" ht="15.75" customHeight="1">
      <c r="B340" s="181"/>
      <c r="E340" s="183"/>
      <c r="F340" s="183"/>
      <c r="G340" s="183"/>
      <c r="H340" s="182"/>
      <c r="I340" s="171"/>
      <c r="J340" s="185"/>
      <c r="K340" s="207"/>
    </row>
    <row r="341" ht="15.75" customHeight="1">
      <c r="B341" s="181"/>
      <c r="E341" s="183"/>
      <c r="F341" s="183"/>
      <c r="G341" s="183"/>
      <c r="H341" s="182"/>
      <c r="I341" s="171"/>
      <c r="J341" s="185"/>
      <c r="K341" s="207"/>
    </row>
    <row r="342" ht="15.75" customHeight="1">
      <c r="B342" s="181"/>
      <c r="E342" s="183"/>
      <c r="F342" s="183"/>
      <c r="G342" s="183"/>
      <c r="H342" s="182"/>
      <c r="I342" s="171"/>
      <c r="J342" s="185"/>
      <c r="K342" s="207"/>
    </row>
    <row r="343" ht="15.75" customHeight="1">
      <c r="B343" s="181"/>
      <c r="E343" s="183"/>
      <c r="F343" s="183"/>
      <c r="G343" s="183"/>
      <c r="H343" s="182"/>
      <c r="I343" s="171"/>
      <c r="J343" s="185"/>
      <c r="K343" s="207"/>
    </row>
    <row r="344" ht="15.75" customHeight="1">
      <c r="B344" s="181"/>
      <c r="E344" s="183"/>
      <c r="F344" s="183"/>
      <c r="G344" s="183"/>
      <c r="H344" s="182"/>
      <c r="I344" s="171"/>
      <c r="J344" s="185"/>
      <c r="K344" s="207"/>
    </row>
    <row r="345" ht="15.75" customHeight="1">
      <c r="B345" s="181"/>
      <c r="E345" s="183"/>
      <c r="F345" s="183"/>
      <c r="G345" s="183"/>
      <c r="H345" s="182"/>
      <c r="I345" s="171"/>
      <c r="J345" s="185"/>
      <c r="K345" s="207"/>
    </row>
    <row r="346" ht="15.75" customHeight="1">
      <c r="B346" s="181"/>
      <c r="E346" s="183"/>
      <c r="F346" s="183"/>
      <c r="G346" s="183"/>
      <c r="H346" s="182"/>
      <c r="I346" s="171"/>
      <c r="J346" s="185"/>
      <c r="K346" s="207"/>
    </row>
    <row r="347" ht="15.75" customHeight="1">
      <c r="B347" s="181"/>
      <c r="E347" s="183"/>
      <c r="F347" s="183"/>
      <c r="G347" s="183"/>
      <c r="H347" s="182"/>
      <c r="I347" s="171"/>
      <c r="J347" s="185"/>
      <c r="K347" s="207"/>
    </row>
    <row r="348" ht="15.75" customHeight="1">
      <c r="B348" s="181"/>
      <c r="E348" s="183"/>
      <c r="F348" s="183"/>
      <c r="G348" s="183"/>
      <c r="H348" s="182"/>
      <c r="I348" s="171"/>
      <c r="J348" s="185"/>
      <c r="K348" s="207"/>
    </row>
    <row r="349" ht="15.75" customHeight="1">
      <c r="B349" s="181"/>
      <c r="E349" s="183"/>
      <c r="F349" s="183"/>
      <c r="G349" s="183"/>
      <c r="H349" s="182"/>
      <c r="I349" s="171"/>
      <c r="J349" s="185"/>
      <c r="K349" s="207"/>
    </row>
    <row r="350" ht="15.75" customHeight="1">
      <c r="B350" s="181"/>
      <c r="E350" s="183"/>
      <c r="F350" s="183"/>
      <c r="G350" s="183"/>
      <c r="H350" s="182"/>
      <c r="I350" s="171"/>
      <c r="J350" s="185"/>
      <c r="K350" s="207"/>
    </row>
    <row r="351" ht="15.75" customHeight="1">
      <c r="B351" s="181"/>
      <c r="E351" s="183"/>
      <c r="F351" s="183"/>
      <c r="G351" s="183"/>
      <c r="H351" s="182"/>
      <c r="I351" s="171"/>
      <c r="J351" s="185"/>
      <c r="K351" s="207"/>
    </row>
    <row r="352" ht="15.75" customHeight="1">
      <c r="B352" s="181"/>
      <c r="E352" s="183"/>
      <c r="F352" s="183"/>
      <c r="G352" s="183"/>
      <c r="H352" s="182"/>
      <c r="I352" s="171"/>
      <c r="J352" s="185"/>
      <c r="K352" s="207"/>
    </row>
    <row r="353" ht="15.75" customHeight="1">
      <c r="B353" s="181"/>
      <c r="E353" s="183"/>
      <c r="F353" s="183"/>
      <c r="G353" s="183"/>
      <c r="H353" s="182"/>
      <c r="I353" s="171"/>
      <c r="J353" s="185"/>
      <c r="K353" s="207"/>
    </row>
    <row r="354" ht="15.75" customHeight="1">
      <c r="B354" s="181"/>
      <c r="E354" s="183"/>
      <c r="F354" s="183"/>
      <c r="G354" s="183"/>
      <c r="H354" s="182"/>
      <c r="I354" s="171"/>
      <c r="J354" s="185"/>
      <c r="K354" s="207"/>
    </row>
    <row r="355" ht="15.75" customHeight="1">
      <c r="B355" s="181"/>
      <c r="E355" s="183"/>
      <c r="F355" s="183"/>
      <c r="G355" s="183"/>
      <c r="H355" s="182"/>
      <c r="I355" s="171"/>
      <c r="J355" s="185"/>
      <c r="K355" s="207"/>
    </row>
    <row r="356" ht="15.75" customHeight="1">
      <c r="B356" s="181"/>
      <c r="E356" s="183"/>
      <c r="F356" s="183"/>
      <c r="G356" s="183"/>
      <c r="H356" s="182"/>
      <c r="I356" s="171"/>
      <c r="J356" s="185"/>
      <c r="K356" s="207"/>
    </row>
    <row r="357" ht="15.75" customHeight="1">
      <c r="B357" s="181"/>
      <c r="E357" s="183"/>
      <c r="F357" s="183"/>
      <c r="G357" s="183"/>
      <c r="H357" s="182"/>
      <c r="I357" s="171"/>
      <c r="J357" s="185"/>
      <c r="K357" s="207"/>
    </row>
    <row r="358" ht="15.75" customHeight="1">
      <c r="B358" s="181"/>
      <c r="E358" s="183"/>
      <c r="F358" s="183"/>
      <c r="G358" s="183"/>
      <c r="H358" s="182"/>
      <c r="I358" s="171"/>
      <c r="J358" s="185"/>
      <c r="K358" s="207"/>
    </row>
    <row r="359" ht="15.75" customHeight="1">
      <c r="B359" s="181"/>
      <c r="E359" s="183"/>
      <c r="F359" s="183"/>
      <c r="G359" s="183"/>
      <c r="H359" s="182"/>
      <c r="I359" s="171"/>
      <c r="J359" s="185"/>
      <c r="K359" s="207"/>
    </row>
    <row r="360" ht="15.75" customHeight="1">
      <c r="B360" s="181"/>
      <c r="E360" s="183"/>
      <c r="F360" s="183"/>
      <c r="G360" s="183"/>
      <c r="H360" s="182"/>
      <c r="I360" s="171"/>
      <c r="J360" s="185"/>
      <c r="K360" s="207"/>
    </row>
    <row r="361" ht="15.75" customHeight="1">
      <c r="B361" s="181"/>
      <c r="E361" s="183"/>
      <c r="F361" s="183"/>
      <c r="G361" s="183"/>
      <c r="H361" s="182"/>
      <c r="I361" s="171"/>
      <c r="J361" s="185"/>
      <c r="K361" s="207"/>
    </row>
    <row r="362" ht="15.75" customHeight="1">
      <c r="B362" s="181"/>
      <c r="E362" s="183"/>
      <c r="F362" s="183"/>
      <c r="G362" s="183"/>
      <c r="H362" s="182"/>
      <c r="I362" s="171"/>
      <c r="J362" s="185"/>
      <c r="K362" s="207"/>
    </row>
    <row r="363" ht="15.75" customHeight="1">
      <c r="B363" s="181"/>
      <c r="E363" s="183"/>
      <c r="F363" s="183"/>
      <c r="G363" s="183"/>
      <c r="H363" s="182"/>
      <c r="I363" s="171"/>
      <c r="J363" s="185"/>
      <c r="K363" s="207"/>
    </row>
    <row r="364" ht="15.75" customHeight="1">
      <c r="B364" s="181"/>
      <c r="E364" s="183"/>
      <c r="F364" s="183"/>
      <c r="G364" s="183"/>
      <c r="H364" s="182"/>
      <c r="I364" s="171"/>
      <c r="J364" s="185"/>
      <c r="K364" s="207"/>
    </row>
    <row r="365" ht="15.75" customHeight="1">
      <c r="B365" s="181"/>
      <c r="E365" s="183"/>
      <c r="F365" s="183"/>
      <c r="G365" s="183"/>
      <c r="H365" s="182"/>
      <c r="I365" s="171"/>
      <c r="J365" s="185"/>
      <c r="K365" s="207"/>
    </row>
    <row r="366" ht="15.75" customHeight="1">
      <c r="B366" s="181"/>
      <c r="E366" s="183"/>
      <c r="F366" s="183"/>
      <c r="G366" s="183"/>
      <c r="H366" s="182"/>
      <c r="I366" s="171"/>
      <c r="J366" s="185"/>
      <c r="K366" s="207"/>
    </row>
    <row r="367" ht="15.75" customHeight="1">
      <c r="B367" s="181"/>
      <c r="E367" s="183"/>
      <c r="F367" s="183"/>
      <c r="G367" s="183"/>
      <c r="H367" s="182"/>
      <c r="I367" s="171"/>
      <c r="J367" s="185"/>
      <c r="K367" s="207"/>
    </row>
    <row r="368" ht="15.75" customHeight="1">
      <c r="B368" s="181"/>
      <c r="E368" s="183"/>
      <c r="F368" s="183"/>
      <c r="G368" s="183"/>
      <c r="H368" s="182"/>
      <c r="I368" s="171"/>
      <c r="J368" s="185"/>
      <c r="K368" s="207"/>
    </row>
    <row r="369" ht="15.75" customHeight="1">
      <c r="B369" s="181"/>
      <c r="E369" s="183"/>
      <c r="F369" s="183"/>
      <c r="G369" s="183"/>
      <c r="H369" s="182"/>
      <c r="I369" s="171"/>
      <c r="J369" s="185"/>
      <c r="K369" s="207"/>
    </row>
    <row r="370" ht="15.75" customHeight="1">
      <c r="B370" s="181"/>
      <c r="E370" s="183"/>
      <c r="F370" s="183"/>
      <c r="G370" s="183"/>
      <c r="H370" s="182"/>
      <c r="I370" s="171"/>
      <c r="J370" s="185"/>
      <c r="K370" s="207"/>
    </row>
    <row r="371" ht="15.75" customHeight="1">
      <c r="B371" s="181"/>
      <c r="E371" s="183"/>
      <c r="F371" s="183"/>
      <c r="G371" s="183"/>
      <c r="H371" s="182"/>
      <c r="I371" s="171"/>
      <c r="J371" s="185"/>
      <c r="K371" s="207"/>
    </row>
    <row r="372" ht="15.75" customHeight="1">
      <c r="B372" s="181"/>
      <c r="E372" s="183"/>
      <c r="F372" s="183"/>
      <c r="G372" s="183"/>
      <c r="H372" s="182"/>
      <c r="I372" s="171"/>
      <c r="J372" s="185"/>
      <c r="K372" s="207"/>
    </row>
    <row r="373" ht="15.75" customHeight="1">
      <c r="B373" s="181"/>
      <c r="E373" s="183"/>
      <c r="F373" s="183"/>
      <c r="G373" s="183"/>
      <c r="H373" s="182"/>
      <c r="I373" s="171"/>
      <c r="J373" s="185"/>
      <c r="K373" s="207"/>
    </row>
    <row r="374" ht="15.75" customHeight="1">
      <c r="B374" s="181"/>
      <c r="E374" s="183"/>
      <c r="F374" s="183"/>
      <c r="G374" s="183"/>
      <c r="H374" s="182"/>
      <c r="I374" s="171"/>
      <c r="J374" s="185"/>
      <c r="K374" s="207"/>
    </row>
    <row r="375" ht="15.75" customHeight="1">
      <c r="B375" s="181"/>
      <c r="E375" s="183"/>
      <c r="F375" s="183"/>
      <c r="G375" s="183"/>
      <c r="H375" s="182"/>
      <c r="I375" s="171"/>
      <c r="J375" s="185"/>
      <c r="K375" s="207"/>
    </row>
    <row r="376" ht="15.75" customHeight="1">
      <c r="B376" s="181"/>
      <c r="E376" s="183"/>
      <c r="F376" s="183"/>
      <c r="G376" s="183"/>
      <c r="H376" s="182"/>
      <c r="I376" s="171"/>
      <c r="J376" s="185"/>
      <c r="K376" s="207"/>
    </row>
    <row r="377" ht="15.75" customHeight="1">
      <c r="B377" s="181"/>
      <c r="E377" s="183"/>
      <c r="F377" s="183"/>
      <c r="G377" s="183"/>
      <c r="H377" s="182"/>
      <c r="I377" s="171"/>
      <c r="J377" s="185"/>
      <c r="K377" s="207"/>
    </row>
    <row r="378" ht="15.75" customHeight="1">
      <c r="B378" s="181"/>
      <c r="E378" s="183"/>
      <c r="F378" s="183"/>
      <c r="G378" s="183"/>
      <c r="H378" s="182"/>
      <c r="I378" s="171"/>
      <c r="J378" s="185"/>
      <c r="K378" s="207"/>
    </row>
    <row r="379" ht="15.75" customHeight="1">
      <c r="B379" s="181"/>
      <c r="E379" s="183"/>
      <c r="F379" s="183"/>
      <c r="G379" s="183"/>
      <c r="H379" s="182"/>
      <c r="I379" s="171"/>
      <c r="J379" s="185"/>
      <c r="K379" s="207"/>
    </row>
    <row r="380" ht="15.75" customHeight="1">
      <c r="B380" s="181"/>
      <c r="E380" s="183"/>
      <c r="F380" s="183"/>
      <c r="G380" s="183"/>
      <c r="H380" s="182"/>
      <c r="I380" s="171"/>
      <c r="J380" s="185"/>
      <c r="K380" s="207"/>
    </row>
    <row r="381" ht="15.75" customHeight="1">
      <c r="B381" s="181"/>
      <c r="E381" s="183"/>
      <c r="F381" s="183"/>
      <c r="G381" s="183"/>
      <c r="H381" s="182"/>
      <c r="I381" s="171"/>
      <c r="J381" s="185"/>
      <c r="K381" s="207"/>
    </row>
    <row r="382" ht="15.75" customHeight="1">
      <c r="B382" s="181"/>
      <c r="E382" s="183"/>
      <c r="F382" s="183"/>
      <c r="G382" s="183"/>
      <c r="H382" s="182"/>
      <c r="I382" s="171"/>
      <c r="J382" s="185"/>
      <c r="K382" s="207"/>
    </row>
    <row r="383" ht="15.75" customHeight="1">
      <c r="B383" s="181"/>
      <c r="E383" s="183"/>
      <c r="F383" s="183"/>
      <c r="G383" s="183"/>
      <c r="H383" s="182"/>
      <c r="I383" s="171"/>
      <c r="J383" s="185"/>
      <c r="K383" s="207"/>
    </row>
    <row r="384" ht="15.75" customHeight="1">
      <c r="B384" s="181"/>
      <c r="E384" s="183"/>
      <c r="F384" s="183"/>
      <c r="G384" s="183"/>
      <c r="H384" s="182"/>
      <c r="I384" s="171"/>
      <c r="J384" s="185"/>
      <c r="K384" s="207"/>
    </row>
    <row r="385" ht="15.75" customHeight="1">
      <c r="B385" s="181"/>
      <c r="E385" s="183"/>
      <c r="F385" s="183"/>
      <c r="G385" s="183"/>
      <c r="H385" s="182"/>
      <c r="I385" s="171"/>
      <c r="J385" s="185"/>
      <c r="K385" s="207"/>
    </row>
    <row r="386" ht="15.75" customHeight="1">
      <c r="B386" s="181"/>
      <c r="E386" s="183"/>
      <c r="F386" s="183"/>
      <c r="G386" s="183"/>
      <c r="H386" s="182"/>
      <c r="I386" s="171"/>
      <c r="J386" s="185"/>
      <c r="K386" s="207"/>
    </row>
    <row r="387" ht="15.75" customHeight="1">
      <c r="B387" s="181"/>
      <c r="E387" s="183"/>
      <c r="F387" s="183"/>
      <c r="G387" s="183"/>
      <c r="H387" s="182"/>
      <c r="I387" s="171"/>
      <c r="J387" s="185"/>
      <c r="K387" s="207"/>
    </row>
    <row r="388" ht="15.75" customHeight="1">
      <c r="B388" s="181"/>
      <c r="E388" s="183"/>
      <c r="F388" s="183"/>
      <c r="G388" s="183"/>
      <c r="H388" s="182"/>
      <c r="I388" s="171"/>
      <c r="J388" s="185"/>
      <c r="K388" s="207"/>
    </row>
    <row r="389" ht="15.75" customHeight="1">
      <c r="B389" s="181"/>
      <c r="E389" s="183"/>
      <c r="F389" s="183"/>
      <c r="G389" s="183"/>
      <c r="H389" s="182"/>
      <c r="I389" s="171"/>
      <c r="J389" s="185"/>
      <c r="K389" s="207"/>
    </row>
    <row r="390" ht="15.75" customHeight="1">
      <c r="B390" s="181"/>
      <c r="E390" s="183"/>
      <c r="F390" s="183"/>
      <c r="G390" s="183"/>
      <c r="H390" s="182"/>
      <c r="I390" s="171"/>
      <c r="J390" s="185"/>
      <c r="K390" s="207"/>
    </row>
    <row r="391" ht="15.75" customHeight="1">
      <c r="B391" s="181"/>
      <c r="E391" s="183"/>
      <c r="F391" s="183"/>
      <c r="G391" s="183"/>
      <c r="H391" s="182"/>
      <c r="I391" s="171"/>
      <c r="J391" s="185"/>
      <c r="K391" s="207"/>
    </row>
    <row r="392" ht="15.75" customHeight="1">
      <c r="B392" s="181"/>
      <c r="E392" s="183"/>
      <c r="F392" s="183"/>
      <c r="G392" s="183"/>
      <c r="H392" s="182"/>
      <c r="I392" s="171"/>
      <c r="J392" s="185"/>
      <c r="K392" s="207"/>
    </row>
    <row r="393" ht="15.75" customHeight="1">
      <c r="B393" s="181"/>
      <c r="E393" s="183"/>
      <c r="F393" s="183"/>
      <c r="G393" s="183"/>
      <c r="H393" s="182"/>
      <c r="I393" s="171"/>
      <c r="J393" s="185"/>
      <c r="K393" s="207"/>
    </row>
    <row r="394" ht="15.75" customHeight="1">
      <c r="B394" s="181"/>
      <c r="E394" s="183"/>
      <c r="F394" s="183"/>
      <c r="G394" s="183"/>
      <c r="H394" s="182"/>
      <c r="I394" s="171"/>
      <c r="J394" s="185"/>
      <c r="K394" s="207"/>
    </row>
    <row r="395" ht="15.75" customHeight="1">
      <c r="B395" s="181"/>
      <c r="E395" s="183"/>
      <c r="F395" s="183"/>
      <c r="G395" s="183"/>
      <c r="H395" s="182"/>
      <c r="I395" s="171"/>
      <c r="J395" s="185"/>
      <c r="K395" s="207"/>
    </row>
    <row r="396" ht="15.75" customHeight="1">
      <c r="B396" s="181"/>
      <c r="E396" s="183"/>
      <c r="F396" s="183"/>
      <c r="G396" s="183"/>
      <c r="H396" s="182"/>
      <c r="I396" s="171"/>
      <c r="J396" s="185"/>
      <c r="K396" s="207"/>
    </row>
    <row r="397" ht="15.75" customHeight="1">
      <c r="B397" s="181"/>
      <c r="E397" s="183"/>
      <c r="F397" s="183"/>
      <c r="G397" s="183"/>
      <c r="H397" s="182"/>
      <c r="I397" s="171"/>
      <c r="J397" s="185"/>
      <c r="K397" s="207"/>
    </row>
    <row r="398" ht="15.75" customHeight="1">
      <c r="B398" s="181"/>
      <c r="E398" s="183"/>
      <c r="F398" s="183"/>
      <c r="G398" s="183"/>
      <c r="H398" s="182"/>
      <c r="I398" s="171"/>
      <c r="J398" s="185"/>
      <c r="K398" s="207"/>
    </row>
    <row r="399" ht="15.75" customHeight="1">
      <c r="B399" s="181"/>
      <c r="E399" s="183"/>
      <c r="F399" s="183"/>
      <c r="G399" s="183"/>
      <c r="H399" s="182"/>
      <c r="I399" s="171"/>
      <c r="J399" s="185"/>
      <c r="K399" s="207"/>
    </row>
    <row r="400" ht="15.75" customHeight="1">
      <c r="B400" s="181"/>
      <c r="E400" s="183"/>
      <c r="F400" s="183"/>
      <c r="G400" s="183"/>
      <c r="H400" s="182"/>
      <c r="I400" s="171"/>
      <c r="J400" s="185"/>
      <c r="K400" s="207"/>
    </row>
    <row r="401" ht="15.75" customHeight="1">
      <c r="B401" s="181"/>
      <c r="E401" s="183"/>
      <c r="F401" s="183"/>
      <c r="G401" s="183"/>
      <c r="H401" s="182"/>
      <c r="I401" s="171"/>
      <c r="J401" s="185"/>
      <c r="K401" s="207"/>
    </row>
    <row r="402" ht="15.75" customHeight="1">
      <c r="B402" s="181"/>
      <c r="E402" s="183"/>
      <c r="F402" s="183"/>
      <c r="G402" s="183"/>
      <c r="H402" s="182"/>
      <c r="I402" s="171"/>
      <c r="J402" s="185"/>
      <c r="K402" s="207"/>
    </row>
    <row r="403" ht="15.75" customHeight="1">
      <c r="B403" s="181"/>
      <c r="E403" s="183"/>
      <c r="F403" s="183"/>
      <c r="G403" s="183"/>
      <c r="H403" s="182"/>
      <c r="I403" s="171"/>
      <c r="J403" s="185"/>
      <c r="K403" s="207"/>
    </row>
    <row r="404" ht="15.75" customHeight="1">
      <c r="B404" s="181"/>
      <c r="E404" s="183"/>
      <c r="F404" s="183"/>
      <c r="G404" s="183"/>
      <c r="H404" s="182"/>
      <c r="I404" s="171"/>
      <c r="J404" s="185"/>
      <c r="K404" s="207"/>
    </row>
    <row r="405" ht="15.75" customHeight="1">
      <c r="B405" s="181"/>
      <c r="E405" s="183"/>
      <c r="F405" s="183"/>
      <c r="G405" s="183"/>
      <c r="H405" s="182"/>
      <c r="I405" s="171"/>
      <c r="J405" s="185"/>
      <c r="K405" s="207"/>
    </row>
    <row r="406" ht="15.75" customHeight="1">
      <c r="B406" s="181"/>
      <c r="E406" s="183"/>
      <c r="F406" s="183"/>
      <c r="G406" s="183"/>
      <c r="H406" s="182"/>
      <c r="I406" s="171"/>
      <c r="J406" s="185"/>
      <c r="K406" s="207"/>
    </row>
    <row r="407" ht="15.75" customHeight="1">
      <c r="B407" s="181"/>
      <c r="E407" s="183"/>
      <c r="F407" s="183"/>
      <c r="G407" s="183"/>
      <c r="H407" s="182"/>
      <c r="I407" s="171"/>
      <c r="J407" s="185"/>
      <c r="K407" s="207"/>
    </row>
    <row r="408" ht="15.75" customHeight="1">
      <c r="B408" s="181"/>
      <c r="E408" s="183"/>
      <c r="F408" s="183"/>
      <c r="G408" s="183"/>
      <c r="H408" s="182"/>
      <c r="I408" s="171"/>
      <c r="J408" s="185"/>
      <c r="K408" s="207"/>
    </row>
    <row r="409" ht="15.75" customHeight="1">
      <c r="B409" s="181"/>
      <c r="E409" s="183"/>
      <c r="F409" s="183"/>
      <c r="G409" s="183"/>
      <c r="H409" s="182"/>
      <c r="I409" s="171"/>
      <c r="J409" s="185"/>
      <c r="K409" s="207"/>
    </row>
    <row r="410" ht="15.75" customHeight="1">
      <c r="B410" s="181"/>
      <c r="E410" s="183"/>
      <c r="F410" s="183"/>
      <c r="G410" s="183"/>
      <c r="H410" s="182"/>
      <c r="I410" s="171"/>
      <c r="J410" s="185"/>
      <c r="K410" s="207"/>
    </row>
    <row r="411" ht="15.75" customHeight="1">
      <c r="B411" s="181"/>
      <c r="E411" s="183"/>
      <c r="F411" s="183"/>
      <c r="G411" s="183"/>
      <c r="H411" s="182"/>
      <c r="I411" s="171"/>
      <c r="J411" s="185"/>
      <c r="K411" s="207"/>
    </row>
    <row r="412" ht="15.75" customHeight="1">
      <c r="B412" s="181"/>
      <c r="E412" s="183"/>
      <c r="F412" s="183"/>
      <c r="G412" s="183"/>
      <c r="H412" s="182"/>
      <c r="I412" s="171"/>
      <c r="J412" s="185"/>
      <c r="K412" s="207"/>
    </row>
    <row r="413" ht="15.75" customHeight="1">
      <c r="B413" s="181"/>
      <c r="E413" s="183"/>
      <c r="F413" s="183"/>
      <c r="G413" s="183"/>
      <c r="H413" s="182"/>
      <c r="I413" s="171"/>
      <c r="J413" s="185"/>
      <c r="K413" s="207"/>
    </row>
    <row r="414" ht="15.75" customHeight="1">
      <c r="B414" s="181"/>
      <c r="E414" s="183"/>
      <c r="F414" s="183"/>
      <c r="G414" s="183"/>
      <c r="H414" s="182"/>
      <c r="I414" s="171"/>
      <c r="J414" s="185"/>
      <c r="K414" s="207"/>
    </row>
    <row r="415" ht="15.75" customHeight="1">
      <c r="B415" s="181"/>
      <c r="E415" s="183"/>
      <c r="F415" s="183"/>
      <c r="G415" s="183"/>
      <c r="H415" s="182"/>
      <c r="I415" s="171"/>
      <c r="J415" s="185"/>
      <c r="K415" s="207"/>
    </row>
    <row r="416" ht="15.75" customHeight="1">
      <c r="B416" s="181"/>
      <c r="E416" s="183"/>
      <c r="F416" s="183"/>
      <c r="G416" s="183"/>
      <c r="H416" s="182"/>
      <c r="I416" s="171"/>
      <c r="J416" s="185"/>
      <c r="K416" s="207"/>
    </row>
    <row r="417" ht="15.75" customHeight="1">
      <c r="B417" s="181"/>
      <c r="E417" s="183"/>
      <c r="F417" s="183"/>
      <c r="G417" s="183"/>
      <c r="H417" s="182"/>
      <c r="I417" s="171"/>
      <c r="J417" s="185"/>
      <c r="K417" s="207"/>
    </row>
    <row r="418" ht="15.75" customHeight="1">
      <c r="B418" s="181"/>
      <c r="E418" s="183"/>
      <c r="F418" s="183"/>
      <c r="G418" s="183"/>
      <c r="H418" s="182"/>
      <c r="I418" s="171"/>
      <c r="J418" s="185"/>
      <c r="K418" s="207"/>
    </row>
    <row r="419" ht="15.75" customHeight="1">
      <c r="B419" s="181"/>
      <c r="E419" s="183"/>
      <c r="F419" s="183"/>
      <c r="G419" s="183"/>
      <c r="H419" s="182"/>
      <c r="I419" s="171"/>
      <c r="J419" s="185"/>
      <c r="K419" s="207"/>
    </row>
    <row r="420" ht="15.75" customHeight="1">
      <c r="B420" s="181"/>
      <c r="E420" s="183"/>
      <c r="F420" s="183"/>
      <c r="G420" s="183"/>
      <c r="H420" s="182"/>
      <c r="I420" s="171"/>
      <c r="J420" s="185"/>
      <c r="K420" s="207"/>
    </row>
    <row r="421" ht="15.75" customHeight="1">
      <c r="B421" s="181"/>
      <c r="E421" s="183"/>
      <c r="F421" s="183"/>
      <c r="G421" s="183"/>
      <c r="H421" s="182"/>
      <c r="I421" s="171"/>
      <c r="J421" s="185"/>
      <c r="K421" s="207"/>
    </row>
    <row r="422" ht="15.75" customHeight="1">
      <c r="B422" s="181"/>
      <c r="E422" s="183"/>
      <c r="F422" s="183"/>
      <c r="G422" s="183"/>
      <c r="H422" s="182"/>
      <c r="I422" s="171"/>
      <c r="J422" s="185"/>
      <c r="K422" s="207"/>
    </row>
    <row r="423" ht="15.75" customHeight="1">
      <c r="B423" s="181"/>
      <c r="E423" s="183"/>
      <c r="F423" s="183"/>
      <c r="G423" s="183"/>
      <c r="H423" s="182"/>
      <c r="I423" s="171"/>
      <c r="J423" s="185"/>
      <c r="K423" s="207"/>
    </row>
    <row r="424" ht="15.75" customHeight="1">
      <c r="B424" s="181"/>
      <c r="E424" s="183"/>
      <c r="F424" s="183"/>
      <c r="G424" s="183"/>
      <c r="H424" s="182"/>
      <c r="I424" s="171"/>
      <c r="J424" s="185"/>
      <c r="K424" s="207"/>
    </row>
    <row r="425" ht="15.75" customHeight="1">
      <c r="B425" s="181"/>
      <c r="E425" s="183"/>
      <c r="F425" s="183"/>
      <c r="G425" s="183"/>
      <c r="H425" s="182"/>
      <c r="I425" s="171"/>
      <c r="J425" s="185"/>
      <c r="K425" s="207"/>
    </row>
    <row r="426" ht="15.75" customHeight="1">
      <c r="B426" s="181"/>
      <c r="E426" s="183"/>
      <c r="F426" s="183"/>
      <c r="G426" s="183"/>
      <c r="H426" s="182"/>
      <c r="I426" s="171"/>
      <c r="J426" s="185"/>
      <c r="K426" s="207"/>
    </row>
    <row r="427" ht="15.75" customHeight="1">
      <c r="B427" s="181"/>
      <c r="E427" s="183"/>
      <c r="F427" s="183"/>
      <c r="G427" s="183"/>
      <c r="H427" s="182"/>
      <c r="I427" s="171"/>
      <c r="J427" s="185"/>
      <c r="K427" s="207"/>
    </row>
    <row r="428" ht="15.75" customHeight="1">
      <c r="B428" s="181"/>
      <c r="E428" s="183"/>
      <c r="F428" s="183"/>
      <c r="G428" s="183"/>
      <c r="H428" s="182"/>
      <c r="I428" s="171"/>
      <c r="J428" s="185"/>
      <c r="K428" s="207"/>
    </row>
    <row r="429" ht="15.75" customHeight="1">
      <c r="B429" s="181"/>
      <c r="E429" s="183"/>
      <c r="F429" s="183"/>
      <c r="G429" s="183"/>
      <c r="H429" s="182"/>
      <c r="I429" s="171"/>
      <c r="J429" s="185"/>
      <c r="K429" s="207"/>
    </row>
    <row r="430" ht="15.75" customHeight="1">
      <c r="B430" s="181"/>
      <c r="E430" s="183"/>
      <c r="F430" s="183"/>
      <c r="G430" s="183"/>
      <c r="H430" s="182"/>
      <c r="I430" s="171"/>
      <c r="J430" s="185"/>
      <c r="K430" s="207"/>
    </row>
    <row r="431" ht="15.75" customHeight="1">
      <c r="B431" s="181"/>
      <c r="E431" s="183"/>
      <c r="F431" s="183"/>
      <c r="G431" s="183"/>
      <c r="H431" s="182"/>
      <c r="I431" s="171"/>
      <c r="J431" s="185"/>
      <c r="K431" s="207"/>
    </row>
    <row r="432" ht="15.75" customHeight="1">
      <c r="B432" s="181"/>
      <c r="E432" s="183"/>
      <c r="F432" s="183"/>
      <c r="G432" s="183"/>
      <c r="H432" s="182"/>
      <c r="I432" s="171"/>
      <c r="J432" s="185"/>
      <c r="K432" s="207"/>
    </row>
    <row r="433" ht="15.75" customHeight="1">
      <c r="B433" s="181"/>
      <c r="E433" s="183"/>
      <c r="F433" s="183"/>
      <c r="G433" s="183"/>
      <c r="H433" s="182"/>
      <c r="I433" s="171"/>
      <c r="J433" s="185"/>
      <c r="K433" s="207"/>
    </row>
    <row r="434" ht="15.75" customHeight="1">
      <c r="B434" s="181"/>
      <c r="E434" s="183"/>
      <c r="F434" s="183"/>
      <c r="G434" s="183"/>
      <c r="H434" s="182"/>
      <c r="I434" s="171"/>
      <c r="J434" s="185"/>
      <c r="K434" s="207"/>
    </row>
    <row r="435" ht="15.75" customHeight="1">
      <c r="B435" s="181"/>
      <c r="E435" s="183"/>
      <c r="F435" s="183"/>
      <c r="G435" s="183"/>
      <c r="H435" s="182"/>
      <c r="I435" s="171"/>
      <c r="J435" s="185"/>
      <c r="K435" s="207"/>
    </row>
    <row r="436" ht="15.75" customHeight="1">
      <c r="B436" s="181"/>
      <c r="E436" s="183"/>
      <c r="F436" s="183"/>
      <c r="G436" s="183"/>
      <c r="H436" s="182"/>
      <c r="I436" s="171"/>
      <c r="J436" s="185"/>
      <c r="K436" s="207"/>
    </row>
    <row r="437" ht="15.75" customHeight="1">
      <c r="B437" s="181"/>
      <c r="E437" s="183"/>
      <c r="F437" s="183"/>
      <c r="G437" s="183"/>
      <c r="H437" s="182"/>
      <c r="I437" s="171"/>
      <c r="J437" s="185"/>
      <c r="K437" s="207"/>
    </row>
    <row r="438" ht="15.75" customHeight="1">
      <c r="B438" s="181"/>
      <c r="E438" s="183"/>
      <c r="F438" s="183"/>
      <c r="G438" s="183"/>
      <c r="H438" s="182"/>
      <c r="I438" s="171"/>
      <c r="J438" s="185"/>
      <c r="K438" s="207"/>
    </row>
    <row r="439" ht="15.75" customHeight="1">
      <c r="B439" s="181"/>
      <c r="E439" s="183"/>
      <c r="F439" s="183"/>
      <c r="G439" s="183"/>
      <c r="H439" s="182"/>
      <c r="I439" s="171"/>
      <c r="J439" s="185"/>
      <c r="K439" s="207"/>
    </row>
    <row r="440" ht="15.75" customHeight="1">
      <c r="B440" s="181"/>
      <c r="E440" s="183"/>
      <c r="F440" s="183"/>
      <c r="G440" s="183"/>
      <c r="H440" s="182"/>
      <c r="I440" s="171"/>
      <c r="J440" s="185"/>
      <c r="K440" s="207"/>
    </row>
    <row r="441" ht="15.75" customHeight="1">
      <c r="B441" s="181"/>
      <c r="E441" s="183"/>
      <c r="F441" s="183"/>
      <c r="G441" s="183"/>
      <c r="H441" s="182"/>
      <c r="I441" s="171"/>
      <c r="J441" s="185"/>
      <c r="K441" s="207"/>
    </row>
    <row r="442" ht="15.75" customHeight="1">
      <c r="B442" s="181"/>
      <c r="E442" s="183"/>
      <c r="F442" s="183"/>
      <c r="G442" s="183"/>
      <c r="H442" s="182"/>
      <c r="I442" s="171"/>
      <c r="J442" s="185"/>
      <c r="K442" s="207"/>
    </row>
    <row r="443" ht="15.75" customHeight="1">
      <c r="B443" s="181"/>
      <c r="E443" s="183"/>
      <c r="F443" s="183"/>
      <c r="G443" s="183"/>
      <c r="H443" s="182"/>
      <c r="I443" s="171"/>
      <c r="J443" s="185"/>
      <c r="K443" s="207"/>
    </row>
    <row r="444" ht="15.75" customHeight="1">
      <c r="B444" s="181"/>
      <c r="E444" s="183"/>
      <c r="F444" s="183"/>
      <c r="G444" s="183"/>
      <c r="H444" s="182"/>
      <c r="I444" s="171"/>
      <c r="J444" s="185"/>
      <c r="K444" s="207"/>
    </row>
    <row r="445" ht="15.75" customHeight="1">
      <c r="B445" s="181"/>
      <c r="E445" s="183"/>
      <c r="F445" s="183"/>
      <c r="G445" s="183"/>
      <c r="H445" s="182"/>
      <c r="I445" s="171"/>
      <c r="J445" s="185"/>
      <c r="K445" s="207"/>
    </row>
    <row r="446" ht="15.75" customHeight="1">
      <c r="B446" s="181"/>
      <c r="E446" s="183"/>
      <c r="F446" s="183"/>
      <c r="G446" s="183"/>
      <c r="H446" s="182"/>
      <c r="I446" s="171"/>
      <c r="J446" s="185"/>
      <c r="K446" s="207"/>
    </row>
    <row r="447" ht="15.75" customHeight="1">
      <c r="B447" s="181"/>
      <c r="E447" s="183"/>
      <c r="F447" s="183"/>
      <c r="G447" s="183"/>
      <c r="H447" s="182"/>
      <c r="I447" s="171"/>
      <c r="J447" s="185"/>
      <c r="K447" s="207"/>
    </row>
    <row r="448" ht="15.75" customHeight="1">
      <c r="B448" s="181"/>
      <c r="E448" s="183"/>
      <c r="F448" s="183"/>
      <c r="G448" s="183"/>
      <c r="H448" s="182"/>
      <c r="I448" s="171"/>
      <c r="J448" s="185"/>
      <c r="K448" s="207"/>
    </row>
    <row r="449" ht="15.75" customHeight="1">
      <c r="B449" s="181"/>
      <c r="E449" s="183"/>
      <c r="F449" s="183"/>
      <c r="G449" s="183"/>
      <c r="H449" s="182"/>
      <c r="I449" s="171"/>
      <c r="J449" s="185"/>
      <c r="K449" s="207"/>
    </row>
    <row r="450" ht="15.75" customHeight="1">
      <c r="B450" s="181"/>
      <c r="E450" s="183"/>
      <c r="F450" s="183"/>
      <c r="G450" s="183"/>
      <c r="H450" s="182"/>
      <c r="I450" s="171"/>
      <c r="J450" s="185"/>
      <c r="K450" s="207"/>
    </row>
    <row r="451" ht="15.75" customHeight="1">
      <c r="B451" s="181"/>
      <c r="E451" s="183"/>
      <c r="F451" s="183"/>
      <c r="G451" s="183"/>
      <c r="H451" s="182"/>
      <c r="I451" s="171"/>
      <c r="J451" s="185"/>
      <c r="K451" s="207"/>
    </row>
    <row r="452" ht="15.75" customHeight="1">
      <c r="B452" s="181"/>
      <c r="E452" s="183"/>
      <c r="F452" s="183"/>
      <c r="G452" s="183"/>
      <c r="H452" s="182"/>
      <c r="I452" s="171"/>
      <c r="J452" s="185"/>
      <c r="K452" s="207"/>
    </row>
    <row r="453" ht="15.75" customHeight="1">
      <c r="B453" s="181"/>
      <c r="E453" s="183"/>
      <c r="F453" s="183"/>
      <c r="G453" s="183"/>
      <c r="H453" s="182"/>
      <c r="I453" s="171"/>
      <c r="J453" s="185"/>
      <c r="K453" s="207"/>
    </row>
    <row r="454" ht="15.75" customHeight="1">
      <c r="B454" s="181"/>
      <c r="E454" s="183"/>
      <c r="F454" s="183"/>
      <c r="G454" s="183"/>
      <c r="H454" s="182"/>
      <c r="I454" s="171"/>
      <c r="J454" s="185"/>
      <c r="K454" s="207"/>
    </row>
    <row r="455" ht="15.75" customHeight="1">
      <c r="B455" s="181"/>
      <c r="E455" s="183"/>
      <c r="F455" s="183"/>
      <c r="G455" s="183"/>
      <c r="H455" s="182"/>
      <c r="I455" s="171"/>
      <c r="J455" s="185"/>
      <c r="K455" s="207"/>
    </row>
    <row r="456" ht="15.75" customHeight="1">
      <c r="B456" s="181"/>
      <c r="E456" s="183"/>
      <c r="F456" s="183"/>
      <c r="G456" s="183"/>
      <c r="H456" s="182"/>
      <c r="I456" s="171"/>
      <c r="J456" s="185"/>
      <c r="K456" s="207"/>
    </row>
    <row r="457" ht="15.75" customHeight="1">
      <c r="B457" s="181"/>
      <c r="E457" s="183"/>
      <c r="F457" s="183"/>
      <c r="G457" s="183"/>
      <c r="H457" s="182"/>
      <c r="I457" s="171"/>
      <c r="J457" s="185"/>
      <c r="K457" s="207"/>
    </row>
    <row r="458" ht="15.75" customHeight="1">
      <c r="B458" s="181"/>
      <c r="E458" s="183"/>
      <c r="F458" s="183"/>
      <c r="G458" s="183"/>
      <c r="H458" s="182"/>
      <c r="I458" s="171"/>
      <c r="J458" s="185"/>
      <c r="K458" s="207"/>
    </row>
    <row r="459" ht="15.75" customHeight="1">
      <c r="B459" s="181"/>
      <c r="E459" s="183"/>
      <c r="F459" s="183"/>
      <c r="G459" s="183"/>
      <c r="H459" s="182"/>
      <c r="I459" s="171"/>
      <c r="J459" s="185"/>
      <c r="K459" s="207"/>
    </row>
    <row r="460" ht="15.75" customHeight="1">
      <c r="B460" s="181"/>
      <c r="E460" s="183"/>
      <c r="F460" s="183"/>
      <c r="G460" s="183"/>
      <c r="H460" s="182"/>
      <c r="I460" s="171"/>
      <c r="J460" s="185"/>
      <c r="K460" s="207"/>
    </row>
    <row r="461" ht="15.75" customHeight="1">
      <c r="B461" s="181"/>
      <c r="E461" s="183"/>
      <c r="F461" s="183"/>
      <c r="G461" s="183"/>
      <c r="H461" s="182"/>
      <c r="I461" s="171"/>
      <c r="J461" s="185"/>
      <c r="K461" s="207"/>
    </row>
    <row r="462" ht="15.75" customHeight="1">
      <c r="B462" s="181"/>
      <c r="E462" s="183"/>
      <c r="F462" s="183"/>
      <c r="G462" s="183"/>
      <c r="H462" s="182"/>
      <c r="I462" s="171"/>
      <c r="J462" s="185"/>
      <c r="K462" s="207"/>
    </row>
    <row r="463" ht="15.75" customHeight="1">
      <c r="B463" s="181"/>
      <c r="E463" s="183"/>
      <c r="F463" s="183"/>
      <c r="G463" s="183"/>
      <c r="H463" s="182"/>
      <c r="I463" s="171"/>
      <c r="J463" s="185"/>
      <c r="K463" s="207"/>
    </row>
    <row r="464" ht="15.75" customHeight="1">
      <c r="B464" s="181"/>
      <c r="E464" s="183"/>
      <c r="F464" s="183"/>
      <c r="G464" s="183"/>
      <c r="H464" s="182"/>
      <c r="I464" s="171"/>
      <c r="J464" s="185"/>
      <c r="K464" s="207"/>
    </row>
    <row r="465" ht="15.75" customHeight="1">
      <c r="B465" s="181"/>
      <c r="E465" s="183"/>
      <c r="F465" s="183"/>
      <c r="G465" s="183"/>
      <c r="H465" s="182"/>
      <c r="I465" s="171"/>
      <c r="J465" s="185"/>
      <c r="K465" s="207"/>
    </row>
    <row r="466" ht="15.75" customHeight="1">
      <c r="B466" s="181"/>
      <c r="E466" s="183"/>
      <c r="F466" s="183"/>
      <c r="G466" s="183"/>
      <c r="H466" s="182"/>
      <c r="I466" s="171"/>
      <c r="J466" s="185"/>
      <c r="K466" s="207"/>
    </row>
    <row r="467" ht="15.75" customHeight="1">
      <c r="B467" s="181"/>
      <c r="E467" s="183"/>
      <c r="F467" s="183"/>
      <c r="G467" s="183"/>
      <c r="H467" s="182"/>
      <c r="I467" s="171"/>
      <c r="J467" s="185"/>
      <c r="K467" s="207"/>
    </row>
    <row r="468" ht="15.75" customHeight="1">
      <c r="B468" s="181"/>
      <c r="E468" s="183"/>
      <c r="F468" s="183"/>
      <c r="G468" s="183"/>
      <c r="H468" s="182"/>
      <c r="I468" s="171"/>
      <c r="J468" s="185"/>
      <c r="K468" s="207"/>
    </row>
    <row r="469" ht="15.75" customHeight="1">
      <c r="B469" s="181"/>
      <c r="E469" s="183"/>
      <c r="F469" s="183"/>
      <c r="G469" s="183"/>
      <c r="H469" s="182"/>
      <c r="I469" s="171"/>
      <c r="J469" s="185"/>
      <c r="K469" s="207"/>
    </row>
    <row r="470" ht="15.75" customHeight="1">
      <c r="B470" s="181"/>
      <c r="E470" s="183"/>
      <c r="F470" s="183"/>
      <c r="G470" s="183"/>
      <c r="H470" s="182"/>
      <c r="I470" s="171"/>
      <c r="J470" s="185"/>
      <c r="K470" s="207"/>
    </row>
    <row r="471" ht="15.75" customHeight="1">
      <c r="B471" s="181"/>
      <c r="E471" s="183"/>
      <c r="F471" s="183"/>
      <c r="G471" s="183"/>
      <c r="H471" s="182"/>
      <c r="I471" s="171"/>
      <c r="J471" s="185"/>
      <c r="K471" s="207"/>
    </row>
    <row r="472" ht="15.75" customHeight="1">
      <c r="B472" s="181"/>
      <c r="E472" s="183"/>
      <c r="F472" s="183"/>
      <c r="G472" s="183"/>
      <c r="H472" s="182"/>
      <c r="I472" s="171"/>
      <c r="J472" s="185"/>
      <c r="K472" s="207"/>
    </row>
    <row r="473" ht="15.75" customHeight="1">
      <c r="B473" s="181"/>
      <c r="E473" s="183"/>
      <c r="F473" s="183"/>
      <c r="G473" s="183"/>
      <c r="H473" s="182"/>
      <c r="I473" s="171"/>
      <c r="J473" s="185"/>
      <c r="K473" s="207"/>
    </row>
    <row r="474" ht="15.75" customHeight="1">
      <c r="B474" s="181"/>
      <c r="E474" s="183"/>
      <c r="F474" s="183"/>
      <c r="G474" s="183"/>
      <c r="H474" s="182"/>
      <c r="I474" s="171"/>
      <c r="J474" s="185"/>
      <c r="K474" s="207"/>
    </row>
    <row r="475" ht="15.75" customHeight="1">
      <c r="B475" s="181"/>
      <c r="E475" s="183"/>
      <c r="F475" s="183"/>
      <c r="G475" s="183"/>
      <c r="H475" s="182"/>
      <c r="I475" s="171"/>
      <c r="J475" s="185"/>
      <c r="K475" s="207"/>
    </row>
    <row r="476" ht="15.75" customHeight="1">
      <c r="B476" s="181"/>
      <c r="E476" s="183"/>
      <c r="F476" s="183"/>
      <c r="G476" s="183"/>
      <c r="H476" s="182"/>
      <c r="I476" s="171"/>
      <c r="J476" s="185"/>
      <c r="K476" s="207"/>
    </row>
    <row r="477" ht="15.75" customHeight="1">
      <c r="B477" s="181"/>
      <c r="E477" s="183"/>
      <c r="F477" s="183"/>
      <c r="G477" s="183"/>
      <c r="H477" s="182"/>
      <c r="I477" s="171"/>
      <c r="J477" s="185"/>
      <c r="K477" s="207"/>
    </row>
    <row r="478" ht="15.75" customHeight="1">
      <c r="B478" s="181"/>
      <c r="E478" s="183"/>
      <c r="F478" s="183"/>
      <c r="G478" s="183"/>
      <c r="H478" s="182"/>
      <c r="I478" s="171"/>
      <c r="J478" s="185"/>
      <c r="K478" s="207"/>
    </row>
    <row r="479" ht="15.75" customHeight="1">
      <c r="B479" s="181"/>
      <c r="E479" s="183"/>
      <c r="F479" s="183"/>
      <c r="G479" s="183"/>
      <c r="H479" s="182"/>
      <c r="I479" s="171"/>
      <c r="J479" s="185"/>
      <c r="K479" s="207"/>
    </row>
    <row r="480" ht="15.75" customHeight="1">
      <c r="B480" s="181"/>
      <c r="E480" s="183"/>
      <c r="F480" s="183"/>
      <c r="G480" s="183"/>
      <c r="H480" s="182"/>
      <c r="I480" s="171"/>
      <c r="J480" s="185"/>
      <c r="K480" s="207"/>
    </row>
    <row r="481" ht="15.75" customHeight="1">
      <c r="B481" s="181"/>
      <c r="E481" s="183"/>
      <c r="F481" s="183"/>
      <c r="G481" s="183"/>
      <c r="H481" s="182"/>
      <c r="I481" s="171"/>
      <c r="J481" s="185"/>
      <c r="K481" s="207"/>
    </row>
    <row r="482" ht="15.75" customHeight="1">
      <c r="B482" s="181"/>
      <c r="E482" s="183"/>
      <c r="F482" s="183"/>
      <c r="G482" s="183"/>
      <c r="H482" s="182"/>
      <c r="I482" s="171"/>
      <c r="J482" s="185"/>
      <c r="K482" s="207"/>
    </row>
    <row r="483" ht="15.75" customHeight="1">
      <c r="B483" s="181"/>
      <c r="E483" s="183"/>
      <c r="F483" s="183"/>
      <c r="G483" s="183"/>
      <c r="H483" s="182"/>
      <c r="I483" s="171"/>
      <c r="J483" s="185"/>
      <c r="K483" s="207"/>
    </row>
    <row r="484" ht="15.75" customHeight="1">
      <c r="B484" s="181"/>
      <c r="E484" s="183"/>
      <c r="F484" s="183"/>
      <c r="G484" s="183"/>
      <c r="H484" s="182"/>
      <c r="I484" s="171"/>
      <c r="J484" s="185"/>
      <c r="K484" s="207"/>
    </row>
    <row r="485" ht="15.75" customHeight="1">
      <c r="B485" s="181"/>
      <c r="E485" s="183"/>
      <c r="F485" s="183"/>
      <c r="G485" s="183"/>
      <c r="H485" s="182"/>
      <c r="I485" s="171"/>
      <c r="J485" s="185"/>
      <c r="K485" s="207"/>
    </row>
    <row r="486" ht="15.75" customHeight="1">
      <c r="B486" s="181"/>
      <c r="E486" s="183"/>
      <c r="F486" s="183"/>
      <c r="G486" s="183"/>
      <c r="H486" s="182"/>
      <c r="I486" s="171"/>
      <c r="J486" s="185"/>
      <c r="K486" s="207"/>
    </row>
    <row r="487" ht="15.75" customHeight="1">
      <c r="B487" s="181"/>
      <c r="E487" s="183"/>
      <c r="F487" s="183"/>
      <c r="G487" s="183"/>
      <c r="H487" s="182"/>
      <c r="I487" s="171"/>
      <c r="J487" s="185"/>
      <c r="K487" s="207"/>
    </row>
    <row r="488" ht="15.75" customHeight="1">
      <c r="B488" s="181"/>
      <c r="E488" s="183"/>
      <c r="F488" s="183"/>
      <c r="G488" s="183"/>
      <c r="H488" s="182"/>
      <c r="I488" s="171"/>
      <c r="J488" s="185"/>
      <c r="K488" s="207"/>
    </row>
    <row r="489" ht="15.75" customHeight="1">
      <c r="B489" s="181"/>
      <c r="E489" s="183"/>
      <c r="F489" s="183"/>
      <c r="G489" s="183"/>
      <c r="H489" s="182"/>
      <c r="I489" s="171"/>
      <c r="J489" s="185"/>
      <c r="K489" s="207"/>
    </row>
    <row r="490" ht="15.75" customHeight="1">
      <c r="B490" s="181"/>
      <c r="E490" s="183"/>
      <c r="F490" s="183"/>
      <c r="G490" s="183"/>
      <c r="H490" s="182"/>
      <c r="I490" s="171"/>
      <c r="J490" s="185"/>
      <c r="K490" s="207"/>
    </row>
    <row r="491" ht="15.75" customHeight="1">
      <c r="B491" s="181"/>
      <c r="E491" s="183"/>
      <c r="F491" s="183"/>
      <c r="G491" s="183"/>
      <c r="H491" s="182"/>
      <c r="I491" s="171"/>
      <c r="J491" s="185"/>
      <c r="K491" s="207"/>
    </row>
    <row r="492" ht="15.75" customHeight="1">
      <c r="B492" s="181"/>
      <c r="E492" s="183"/>
      <c r="F492" s="183"/>
      <c r="G492" s="183"/>
      <c r="H492" s="182"/>
      <c r="I492" s="171"/>
      <c r="J492" s="185"/>
      <c r="K492" s="207"/>
    </row>
    <row r="493" ht="15.75" customHeight="1">
      <c r="B493" s="181"/>
      <c r="E493" s="183"/>
      <c r="F493" s="183"/>
      <c r="G493" s="183"/>
      <c r="H493" s="182"/>
      <c r="I493" s="171"/>
      <c r="J493" s="185"/>
      <c r="K493" s="207"/>
    </row>
    <row r="494" ht="15.75" customHeight="1">
      <c r="B494" s="181"/>
      <c r="E494" s="183"/>
      <c r="F494" s="183"/>
      <c r="G494" s="183"/>
      <c r="H494" s="182"/>
      <c r="I494" s="171"/>
      <c r="J494" s="185"/>
      <c r="K494" s="207"/>
    </row>
    <row r="495" ht="15.75" customHeight="1">
      <c r="B495" s="181"/>
      <c r="E495" s="183"/>
      <c r="F495" s="183"/>
      <c r="G495" s="183"/>
      <c r="H495" s="182"/>
      <c r="I495" s="171"/>
      <c r="J495" s="185"/>
      <c r="K495" s="207"/>
    </row>
    <row r="496" ht="15.75" customHeight="1">
      <c r="B496" s="181"/>
      <c r="E496" s="183"/>
      <c r="F496" s="183"/>
      <c r="G496" s="183"/>
      <c r="H496" s="182"/>
      <c r="I496" s="171"/>
      <c r="J496" s="185"/>
      <c r="K496" s="207"/>
    </row>
    <row r="497" ht="15.75" customHeight="1">
      <c r="B497" s="181"/>
      <c r="E497" s="183"/>
      <c r="F497" s="183"/>
      <c r="G497" s="183"/>
      <c r="H497" s="182"/>
      <c r="I497" s="171"/>
      <c r="J497" s="185"/>
      <c r="K497" s="207"/>
    </row>
    <row r="498" ht="15.75" customHeight="1">
      <c r="B498" s="181"/>
      <c r="E498" s="183"/>
      <c r="F498" s="183"/>
      <c r="G498" s="183"/>
      <c r="H498" s="182"/>
      <c r="I498" s="171"/>
      <c r="J498" s="185"/>
      <c r="K498" s="207"/>
    </row>
    <row r="499" ht="15.75" customHeight="1">
      <c r="B499" s="181"/>
      <c r="E499" s="183"/>
      <c r="F499" s="183"/>
      <c r="G499" s="183"/>
      <c r="H499" s="182"/>
      <c r="I499" s="171"/>
      <c r="J499" s="185"/>
      <c r="K499" s="207"/>
    </row>
    <row r="500" ht="15.75" customHeight="1">
      <c r="B500" s="181"/>
      <c r="E500" s="183"/>
      <c r="F500" s="183"/>
      <c r="G500" s="183"/>
      <c r="H500" s="182"/>
      <c r="I500" s="171"/>
      <c r="J500" s="185"/>
      <c r="K500" s="207"/>
    </row>
    <row r="501" ht="15.75" customHeight="1">
      <c r="B501" s="181"/>
      <c r="E501" s="183"/>
      <c r="F501" s="183"/>
      <c r="G501" s="183"/>
      <c r="H501" s="182"/>
      <c r="I501" s="171"/>
      <c r="J501" s="185"/>
      <c r="K501" s="207"/>
    </row>
    <row r="502" ht="15.75" customHeight="1">
      <c r="B502" s="181"/>
      <c r="E502" s="183"/>
      <c r="F502" s="183"/>
      <c r="G502" s="183"/>
      <c r="H502" s="182"/>
      <c r="I502" s="171"/>
      <c r="J502" s="185"/>
      <c r="K502" s="207"/>
    </row>
    <row r="503" ht="15.75" customHeight="1">
      <c r="B503" s="181"/>
      <c r="E503" s="183"/>
      <c r="F503" s="183"/>
      <c r="G503" s="183"/>
      <c r="H503" s="182"/>
      <c r="I503" s="171"/>
      <c r="J503" s="185"/>
      <c r="K503" s="207"/>
    </row>
    <row r="504" ht="15.75" customHeight="1">
      <c r="B504" s="181"/>
      <c r="E504" s="183"/>
      <c r="F504" s="183"/>
      <c r="G504" s="183"/>
      <c r="H504" s="182"/>
      <c r="I504" s="171"/>
      <c r="J504" s="185"/>
      <c r="K504" s="207"/>
    </row>
    <row r="505" ht="15.75" customHeight="1">
      <c r="B505" s="181"/>
      <c r="E505" s="183"/>
      <c r="F505" s="183"/>
      <c r="G505" s="183"/>
      <c r="H505" s="182"/>
      <c r="I505" s="171"/>
      <c r="J505" s="185"/>
      <c r="K505" s="207"/>
    </row>
    <row r="506" ht="15.75" customHeight="1">
      <c r="B506" s="181"/>
      <c r="E506" s="183"/>
      <c r="F506" s="183"/>
      <c r="G506" s="183"/>
      <c r="H506" s="182"/>
      <c r="I506" s="171"/>
      <c r="J506" s="185"/>
      <c r="K506" s="207"/>
    </row>
    <row r="507" ht="15.75" customHeight="1">
      <c r="B507" s="181"/>
      <c r="E507" s="183"/>
      <c r="F507" s="183"/>
      <c r="G507" s="183"/>
      <c r="H507" s="182"/>
      <c r="I507" s="171"/>
      <c r="J507" s="185"/>
      <c r="K507" s="207"/>
    </row>
    <row r="508" ht="15.75" customHeight="1">
      <c r="B508" s="181"/>
      <c r="E508" s="183"/>
      <c r="F508" s="183"/>
      <c r="G508" s="183"/>
      <c r="H508" s="182"/>
      <c r="I508" s="171"/>
      <c r="J508" s="185"/>
      <c r="K508" s="207"/>
    </row>
    <row r="509" ht="15.75" customHeight="1">
      <c r="B509" s="181"/>
      <c r="E509" s="183"/>
      <c r="F509" s="183"/>
      <c r="G509" s="183"/>
      <c r="H509" s="182"/>
      <c r="I509" s="171"/>
      <c r="J509" s="185"/>
      <c r="K509" s="207"/>
    </row>
    <row r="510" ht="15.75" customHeight="1">
      <c r="B510" s="181"/>
      <c r="E510" s="183"/>
      <c r="F510" s="183"/>
      <c r="G510" s="183"/>
      <c r="H510" s="182"/>
      <c r="I510" s="171"/>
      <c r="J510" s="185"/>
      <c r="K510" s="207"/>
    </row>
    <row r="511" ht="15.75" customHeight="1">
      <c r="B511" s="181"/>
      <c r="E511" s="183"/>
      <c r="F511" s="183"/>
      <c r="G511" s="183"/>
      <c r="H511" s="182"/>
      <c r="I511" s="171"/>
      <c r="J511" s="185"/>
      <c r="K511" s="207"/>
    </row>
    <row r="512" ht="15.75" customHeight="1">
      <c r="B512" s="181"/>
      <c r="E512" s="183"/>
      <c r="F512" s="183"/>
      <c r="G512" s="183"/>
      <c r="H512" s="182"/>
      <c r="I512" s="171"/>
      <c r="J512" s="185"/>
      <c r="K512" s="207"/>
    </row>
    <row r="513" ht="15.75" customHeight="1">
      <c r="B513" s="181"/>
      <c r="E513" s="183"/>
      <c r="F513" s="183"/>
      <c r="G513" s="183"/>
      <c r="H513" s="182"/>
      <c r="I513" s="171"/>
      <c r="J513" s="185"/>
      <c r="K513" s="207"/>
    </row>
    <row r="514" ht="15.75" customHeight="1">
      <c r="B514" s="181"/>
      <c r="E514" s="183"/>
      <c r="F514" s="183"/>
      <c r="G514" s="183"/>
      <c r="H514" s="182"/>
      <c r="I514" s="171"/>
      <c r="J514" s="185"/>
      <c r="K514" s="207"/>
    </row>
    <row r="515" ht="15.75" customHeight="1">
      <c r="B515" s="181"/>
      <c r="E515" s="183"/>
      <c r="F515" s="183"/>
      <c r="G515" s="183"/>
      <c r="H515" s="182"/>
      <c r="I515" s="171"/>
      <c r="J515" s="185"/>
      <c r="K515" s="207"/>
    </row>
    <row r="516" ht="15.75" customHeight="1">
      <c r="B516" s="181"/>
      <c r="E516" s="183"/>
      <c r="F516" s="183"/>
      <c r="G516" s="183"/>
      <c r="H516" s="182"/>
      <c r="I516" s="171"/>
      <c r="J516" s="185"/>
      <c r="K516" s="207"/>
    </row>
    <row r="517" ht="15.75" customHeight="1">
      <c r="B517" s="181"/>
      <c r="E517" s="183"/>
      <c r="F517" s="183"/>
      <c r="G517" s="183"/>
      <c r="H517" s="182"/>
      <c r="I517" s="171"/>
      <c r="J517" s="185"/>
      <c r="K517" s="207"/>
    </row>
    <row r="518" ht="15.75" customHeight="1">
      <c r="B518" s="181"/>
      <c r="E518" s="183"/>
      <c r="F518" s="183"/>
      <c r="G518" s="183"/>
      <c r="H518" s="182"/>
      <c r="I518" s="171"/>
      <c r="J518" s="185"/>
      <c r="K518" s="207"/>
    </row>
    <row r="519" ht="15.75" customHeight="1">
      <c r="B519" s="181"/>
      <c r="E519" s="183"/>
      <c r="F519" s="183"/>
      <c r="G519" s="183"/>
      <c r="H519" s="182"/>
      <c r="I519" s="171"/>
      <c r="J519" s="185"/>
      <c r="K519" s="207"/>
    </row>
    <row r="520" ht="15.75" customHeight="1">
      <c r="B520" s="181"/>
      <c r="E520" s="183"/>
      <c r="F520" s="183"/>
      <c r="G520" s="183"/>
      <c r="H520" s="182"/>
      <c r="I520" s="171"/>
      <c r="J520" s="185"/>
      <c r="K520" s="207"/>
    </row>
    <row r="521" ht="15.75" customHeight="1">
      <c r="B521" s="181"/>
      <c r="E521" s="183"/>
      <c r="F521" s="183"/>
      <c r="G521" s="183"/>
      <c r="H521" s="182"/>
      <c r="I521" s="171"/>
      <c r="J521" s="185"/>
      <c r="K521" s="207"/>
    </row>
    <row r="522" ht="15.75" customHeight="1">
      <c r="B522" s="181"/>
      <c r="E522" s="183"/>
      <c r="F522" s="183"/>
      <c r="G522" s="183"/>
      <c r="H522" s="182"/>
      <c r="I522" s="171"/>
      <c r="J522" s="185"/>
      <c r="K522" s="207"/>
    </row>
    <row r="523" ht="15.75" customHeight="1">
      <c r="B523" s="181"/>
      <c r="E523" s="183"/>
      <c r="F523" s="183"/>
      <c r="G523" s="183"/>
      <c r="H523" s="182"/>
      <c r="I523" s="171"/>
      <c r="J523" s="185"/>
      <c r="K523" s="207"/>
    </row>
    <row r="524" ht="15.75" customHeight="1">
      <c r="B524" s="181"/>
      <c r="E524" s="183"/>
      <c r="F524" s="183"/>
      <c r="G524" s="183"/>
      <c r="H524" s="182"/>
      <c r="I524" s="171"/>
      <c r="J524" s="185"/>
      <c r="K524" s="207"/>
    </row>
    <row r="525" ht="15.75" customHeight="1">
      <c r="B525" s="181"/>
      <c r="E525" s="183"/>
      <c r="F525" s="183"/>
      <c r="G525" s="183"/>
      <c r="H525" s="182"/>
      <c r="I525" s="171"/>
      <c r="J525" s="185"/>
      <c r="K525" s="207"/>
    </row>
    <row r="526" ht="15.75" customHeight="1">
      <c r="B526" s="181"/>
      <c r="E526" s="183"/>
      <c r="F526" s="183"/>
      <c r="G526" s="183"/>
      <c r="H526" s="182"/>
      <c r="I526" s="171"/>
      <c r="J526" s="185"/>
      <c r="K526" s="207"/>
    </row>
    <row r="527" ht="15.75" customHeight="1">
      <c r="B527" s="181"/>
      <c r="E527" s="183"/>
      <c r="F527" s="183"/>
      <c r="G527" s="183"/>
      <c r="H527" s="182"/>
      <c r="I527" s="171"/>
      <c r="J527" s="185"/>
      <c r="K527" s="207"/>
    </row>
    <row r="528" ht="15.75" customHeight="1">
      <c r="B528" s="181"/>
      <c r="E528" s="183"/>
      <c r="F528" s="183"/>
      <c r="G528" s="183"/>
      <c r="H528" s="182"/>
      <c r="I528" s="171"/>
      <c r="J528" s="185"/>
      <c r="K528" s="207"/>
    </row>
    <row r="529" ht="15.75" customHeight="1">
      <c r="B529" s="181"/>
      <c r="E529" s="183"/>
      <c r="F529" s="183"/>
      <c r="G529" s="183"/>
      <c r="H529" s="182"/>
      <c r="I529" s="171"/>
      <c r="J529" s="185"/>
      <c r="K529" s="207"/>
    </row>
    <row r="530" ht="15.75" customHeight="1">
      <c r="B530" s="181"/>
      <c r="E530" s="183"/>
      <c r="F530" s="183"/>
      <c r="G530" s="183"/>
      <c r="H530" s="182"/>
      <c r="I530" s="171"/>
      <c r="J530" s="185"/>
      <c r="K530" s="207"/>
    </row>
    <row r="531" ht="15.75" customHeight="1">
      <c r="B531" s="181"/>
      <c r="E531" s="183"/>
      <c r="F531" s="183"/>
      <c r="G531" s="183"/>
      <c r="H531" s="182"/>
      <c r="I531" s="171"/>
      <c r="J531" s="185"/>
      <c r="K531" s="207"/>
    </row>
    <row r="532" ht="15.75" customHeight="1">
      <c r="B532" s="181"/>
      <c r="E532" s="183"/>
      <c r="F532" s="183"/>
      <c r="G532" s="183"/>
      <c r="H532" s="182"/>
      <c r="I532" s="171"/>
      <c r="J532" s="185"/>
      <c r="K532" s="207"/>
    </row>
    <row r="533" ht="15.75" customHeight="1">
      <c r="B533" s="181"/>
      <c r="E533" s="183"/>
      <c r="F533" s="183"/>
      <c r="G533" s="183"/>
      <c r="H533" s="182"/>
      <c r="I533" s="171"/>
      <c r="J533" s="185"/>
      <c r="K533" s="207"/>
    </row>
    <row r="534" ht="15.75" customHeight="1">
      <c r="B534" s="181"/>
      <c r="E534" s="183"/>
      <c r="F534" s="183"/>
      <c r="G534" s="183"/>
      <c r="H534" s="182"/>
      <c r="I534" s="171"/>
      <c r="J534" s="185"/>
      <c r="K534" s="207"/>
    </row>
    <row r="535" ht="15.75" customHeight="1">
      <c r="B535" s="181"/>
      <c r="E535" s="183"/>
      <c r="F535" s="183"/>
      <c r="G535" s="183"/>
      <c r="H535" s="182"/>
      <c r="I535" s="171"/>
      <c r="J535" s="185"/>
      <c r="K535" s="207"/>
    </row>
    <row r="536" ht="15.75" customHeight="1">
      <c r="B536" s="181"/>
      <c r="E536" s="183"/>
      <c r="F536" s="183"/>
      <c r="G536" s="183"/>
      <c r="H536" s="182"/>
      <c r="I536" s="171"/>
      <c r="J536" s="185"/>
      <c r="K536" s="207"/>
    </row>
    <row r="537" ht="15.75" customHeight="1">
      <c r="B537" s="181"/>
      <c r="E537" s="183"/>
      <c r="F537" s="183"/>
      <c r="G537" s="183"/>
      <c r="H537" s="182"/>
      <c r="I537" s="171"/>
      <c r="J537" s="185"/>
      <c r="K537" s="207"/>
    </row>
    <row r="538" ht="15.75" customHeight="1">
      <c r="B538" s="181"/>
      <c r="E538" s="183"/>
      <c r="F538" s="183"/>
      <c r="G538" s="183"/>
      <c r="H538" s="182"/>
      <c r="I538" s="171"/>
      <c r="J538" s="185"/>
      <c r="K538" s="207"/>
    </row>
    <row r="539" ht="15.75" customHeight="1">
      <c r="B539" s="181"/>
      <c r="E539" s="183"/>
      <c r="F539" s="183"/>
      <c r="G539" s="183"/>
      <c r="H539" s="182"/>
      <c r="I539" s="171"/>
      <c r="J539" s="185"/>
      <c r="K539" s="207"/>
    </row>
    <row r="540" ht="15.75" customHeight="1">
      <c r="B540" s="181"/>
      <c r="E540" s="183"/>
      <c r="F540" s="183"/>
      <c r="G540" s="183"/>
      <c r="H540" s="182"/>
      <c r="I540" s="171"/>
      <c r="J540" s="185"/>
      <c r="K540" s="207"/>
    </row>
    <row r="541" ht="15.75" customHeight="1">
      <c r="B541" s="181"/>
      <c r="E541" s="183"/>
      <c r="F541" s="183"/>
      <c r="G541" s="183"/>
      <c r="H541" s="182"/>
      <c r="I541" s="171"/>
      <c r="J541" s="185"/>
      <c r="K541" s="207"/>
    </row>
    <row r="542" ht="15.75" customHeight="1">
      <c r="B542" s="181"/>
      <c r="E542" s="183"/>
      <c r="F542" s="183"/>
      <c r="G542" s="183"/>
      <c r="H542" s="182"/>
      <c r="I542" s="171"/>
      <c r="J542" s="185"/>
      <c r="K542" s="207"/>
    </row>
    <row r="543" ht="15.75" customHeight="1">
      <c r="B543" s="181"/>
      <c r="E543" s="183"/>
      <c r="F543" s="183"/>
      <c r="G543" s="183"/>
      <c r="H543" s="182"/>
      <c r="I543" s="171"/>
      <c r="J543" s="185"/>
      <c r="K543" s="207"/>
    </row>
    <row r="544" ht="15.75" customHeight="1">
      <c r="B544" s="181"/>
      <c r="E544" s="183"/>
      <c r="F544" s="183"/>
      <c r="G544" s="183"/>
      <c r="H544" s="182"/>
      <c r="I544" s="171"/>
      <c r="J544" s="185"/>
      <c r="K544" s="207"/>
    </row>
    <row r="545" ht="15.75" customHeight="1">
      <c r="B545" s="181"/>
      <c r="E545" s="183"/>
      <c r="F545" s="183"/>
      <c r="G545" s="183"/>
      <c r="H545" s="182"/>
      <c r="I545" s="171"/>
      <c r="J545" s="185"/>
      <c r="K545" s="207"/>
    </row>
    <row r="546" ht="15.75" customHeight="1">
      <c r="B546" s="181"/>
      <c r="E546" s="183"/>
      <c r="F546" s="183"/>
      <c r="G546" s="183"/>
      <c r="H546" s="182"/>
      <c r="I546" s="171"/>
      <c r="J546" s="185"/>
      <c r="K546" s="207"/>
    </row>
    <row r="547" ht="15.75" customHeight="1">
      <c r="B547" s="181"/>
      <c r="E547" s="183"/>
      <c r="F547" s="183"/>
      <c r="G547" s="183"/>
      <c r="H547" s="182"/>
      <c r="I547" s="171"/>
      <c r="J547" s="185"/>
      <c r="K547" s="207"/>
    </row>
    <row r="548" ht="15.75" customHeight="1">
      <c r="B548" s="181"/>
      <c r="E548" s="183"/>
      <c r="F548" s="183"/>
      <c r="G548" s="183"/>
      <c r="H548" s="182"/>
      <c r="I548" s="171"/>
      <c r="J548" s="185"/>
      <c r="K548" s="207"/>
    </row>
    <row r="549" ht="15.75" customHeight="1">
      <c r="B549" s="181"/>
      <c r="E549" s="183"/>
      <c r="F549" s="183"/>
      <c r="G549" s="183"/>
      <c r="H549" s="182"/>
      <c r="I549" s="171"/>
      <c r="J549" s="185"/>
      <c r="K549" s="207"/>
    </row>
    <row r="550" ht="15.75" customHeight="1">
      <c r="B550" s="181"/>
      <c r="E550" s="183"/>
      <c r="F550" s="183"/>
      <c r="G550" s="183"/>
      <c r="H550" s="182"/>
      <c r="I550" s="171"/>
      <c r="J550" s="185"/>
      <c r="K550" s="207"/>
    </row>
    <row r="551" ht="15.75" customHeight="1">
      <c r="B551" s="181"/>
      <c r="E551" s="183"/>
      <c r="F551" s="183"/>
      <c r="G551" s="183"/>
      <c r="H551" s="182"/>
      <c r="I551" s="171"/>
      <c r="J551" s="185"/>
      <c r="K551" s="207"/>
    </row>
    <row r="552" ht="15.75" customHeight="1">
      <c r="B552" s="181"/>
      <c r="E552" s="183"/>
      <c r="F552" s="183"/>
      <c r="G552" s="183"/>
      <c r="H552" s="182"/>
      <c r="I552" s="171"/>
      <c r="J552" s="185"/>
      <c r="K552" s="207"/>
    </row>
    <row r="553" ht="15.75" customHeight="1">
      <c r="B553" s="181"/>
      <c r="E553" s="183"/>
      <c r="F553" s="183"/>
      <c r="G553" s="183"/>
      <c r="H553" s="182"/>
      <c r="I553" s="171"/>
      <c r="J553" s="185"/>
      <c r="K553" s="207"/>
    </row>
    <row r="554" ht="15.75" customHeight="1">
      <c r="B554" s="181"/>
      <c r="E554" s="183"/>
      <c r="F554" s="183"/>
      <c r="G554" s="183"/>
      <c r="H554" s="182"/>
      <c r="I554" s="171"/>
      <c r="J554" s="185"/>
      <c r="K554" s="207"/>
    </row>
    <row r="555" ht="15.75" customHeight="1">
      <c r="B555" s="181"/>
      <c r="E555" s="183"/>
      <c r="F555" s="183"/>
      <c r="G555" s="183"/>
      <c r="H555" s="182"/>
      <c r="I555" s="171"/>
      <c r="J555" s="185"/>
      <c r="K555" s="207"/>
    </row>
    <row r="556" ht="15.75" customHeight="1">
      <c r="B556" s="181"/>
      <c r="E556" s="183"/>
      <c r="F556" s="183"/>
      <c r="G556" s="183"/>
      <c r="H556" s="182"/>
      <c r="I556" s="171"/>
      <c r="J556" s="185"/>
      <c r="K556" s="207"/>
    </row>
    <row r="557" ht="15.75" customHeight="1">
      <c r="B557" s="181"/>
      <c r="E557" s="183"/>
      <c r="F557" s="183"/>
      <c r="G557" s="183"/>
      <c r="H557" s="182"/>
      <c r="I557" s="171"/>
      <c r="J557" s="185"/>
      <c r="K557" s="207"/>
    </row>
    <row r="558" ht="15.75" customHeight="1">
      <c r="B558" s="181"/>
      <c r="E558" s="183"/>
      <c r="F558" s="183"/>
      <c r="G558" s="183"/>
      <c r="H558" s="182"/>
      <c r="I558" s="171"/>
      <c r="J558" s="185"/>
      <c r="K558" s="207"/>
    </row>
    <row r="559" ht="15.75" customHeight="1">
      <c r="B559" s="181"/>
      <c r="E559" s="183"/>
      <c r="F559" s="183"/>
      <c r="G559" s="183"/>
      <c r="H559" s="182"/>
      <c r="I559" s="171"/>
      <c r="J559" s="185"/>
      <c r="K559" s="207"/>
    </row>
    <row r="560" ht="15.75" customHeight="1">
      <c r="B560" s="181"/>
      <c r="E560" s="183"/>
      <c r="F560" s="183"/>
      <c r="G560" s="183"/>
      <c r="H560" s="182"/>
      <c r="I560" s="171"/>
      <c r="J560" s="185"/>
      <c r="K560" s="207"/>
    </row>
    <row r="561" ht="15.75" customHeight="1">
      <c r="B561" s="181"/>
      <c r="E561" s="183"/>
      <c r="F561" s="183"/>
      <c r="G561" s="183"/>
      <c r="H561" s="182"/>
      <c r="I561" s="171"/>
      <c r="J561" s="185"/>
      <c r="K561" s="207"/>
    </row>
    <row r="562" ht="15.75" customHeight="1">
      <c r="B562" s="181"/>
      <c r="E562" s="183"/>
      <c r="F562" s="183"/>
      <c r="G562" s="183"/>
      <c r="H562" s="182"/>
      <c r="I562" s="171"/>
      <c r="J562" s="185"/>
      <c r="K562" s="207"/>
    </row>
    <row r="563" ht="15.75" customHeight="1">
      <c r="B563" s="181"/>
      <c r="E563" s="183"/>
      <c r="F563" s="183"/>
      <c r="G563" s="183"/>
      <c r="H563" s="182"/>
      <c r="I563" s="171"/>
      <c r="J563" s="185"/>
      <c r="K563" s="207"/>
    </row>
    <row r="564" ht="15.75" customHeight="1">
      <c r="B564" s="181"/>
      <c r="E564" s="183"/>
      <c r="F564" s="183"/>
      <c r="G564" s="183"/>
      <c r="H564" s="182"/>
      <c r="I564" s="171"/>
      <c r="J564" s="185"/>
      <c r="K564" s="207"/>
    </row>
    <row r="565" ht="15.75" customHeight="1">
      <c r="B565" s="181"/>
      <c r="E565" s="183"/>
      <c r="F565" s="183"/>
      <c r="G565" s="183"/>
      <c r="H565" s="182"/>
      <c r="I565" s="171"/>
      <c r="J565" s="185"/>
      <c r="K565" s="207"/>
    </row>
    <row r="566" ht="15.75" customHeight="1">
      <c r="B566" s="181"/>
      <c r="E566" s="183"/>
      <c r="F566" s="183"/>
      <c r="G566" s="183"/>
      <c r="H566" s="182"/>
      <c r="I566" s="171"/>
      <c r="J566" s="185"/>
      <c r="K566" s="207"/>
    </row>
    <row r="567" ht="15.75" customHeight="1">
      <c r="B567" s="181"/>
      <c r="E567" s="183"/>
      <c r="F567" s="183"/>
      <c r="G567" s="183"/>
      <c r="H567" s="182"/>
      <c r="I567" s="171"/>
      <c r="J567" s="185"/>
      <c r="K567" s="207"/>
    </row>
    <row r="568" ht="15.75" customHeight="1">
      <c r="B568" s="181"/>
      <c r="E568" s="183"/>
      <c r="F568" s="183"/>
      <c r="G568" s="183"/>
      <c r="H568" s="182"/>
      <c r="I568" s="171"/>
      <c r="J568" s="185"/>
      <c r="K568" s="207"/>
    </row>
    <row r="569" ht="15.75" customHeight="1">
      <c r="B569" s="181"/>
      <c r="E569" s="183"/>
      <c r="F569" s="183"/>
      <c r="G569" s="183"/>
      <c r="H569" s="182"/>
      <c r="I569" s="171"/>
      <c r="J569" s="185"/>
      <c r="K569" s="207"/>
    </row>
    <row r="570" ht="15.75" customHeight="1">
      <c r="B570" s="181"/>
      <c r="E570" s="183"/>
      <c r="F570" s="183"/>
      <c r="G570" s="183"/>
      <c r="H570" s="182"/>
      <c r="I570" s="171"/>
      <c r="J570" s="185"/>
      <c r="K570" s="207"/>
    </row>
    <row r="571" ht="15.75" customHeight="1">
      <c r="B571" s="181"/>
      <c r="E571" s="183"/>
      <c r="F571" s="183"/>
      <c r="G571" s="183"/>
      <c r="H571" s="182"/>
      <c r="I571" s="171"/>
      <c r="J571" s="185"/>
      <c r="K571" s="207"/>
    </row>
    <row r="572" ht="15.75" customHeight="1">
      <c r="B572" s="181"/>
      <c r="E572" s="183"/>
      <c r="F572" s="183"/>
      <c r="G572" s="183"/>
      <c r="H572" s="182"/>
      <c r="I572" s="171"/>
      <c r="J572" s="185"/>
      <c r="K572" s="207"/>
    </row>
    <row r="573" ht="15.75" customHeight="1">
      <c r="B573" s="181"/>
      <c r="E573" s="183"/>
      <c r="F573" s="183"/>
      <c r="G573" s="183"/>
      <c r="H573" s="182"/>
      <c r="I573" s="171"/>
      <c r="J573" s="185"/>
      <c r="K573" s="207"/>
    </row>
    <row r="574" ht="15.75" customHeight="1">
      <c r="B574" s="181"/>
      <c r="E574" s="183"/>
      <c r="F574" s="183"/>
      <c r="G574" s="183"/>
      <c r="H574" s="182"/>
      <c r="I574" s="171"/>
      <c r="J574" s="185"/>
      <c r="K574" s="207"/>
    </row>
    <row r="575" ht="15.75" customHeight="1">
      <c r="B575" s="181"/>
      <c r="E575" s="183"/>
      <c r="F575" s="183"/>
      <c r="G575" s="183"/>
      <c r="H575" s="182"/>
      <c r="I575" s="171"/>
      <c r="J575" s="185"/>
      <c r="K575" s="207"/>
    </row>
    <row r="576" ht="15.75" customHeight="1">
      <c r="B576" s="181"/>
      <c r="E576" s="183"/>
      <c r="F576" s="183"/>
      <c r="G576" s="183"/>
      <c r="H576" s="182"/>
      <c r="I576" s="171"/>
      <c r="J576" s="185"/>
      <c r="K576" s="207"/>
    </row>
    <row r="577" ht="15.75" customHeight="1">
      <c r="B577" s="181"/>
      <c r="E577" s="183"/>
      <c r="F577" s="183"/>
      <c r="G577" s="183"/>
      <c r="H577" s="182"/>
      <c r="I577" s="171"/>
      <c r="J577" s="185"/>
      <c r="K577" s="207"/>
    </row>
    <row r="578" ht="15.75" customHeight="1">
      <c r="B578" s="181"/>
      <c r="E578" s="183"/>
      <c r="F578" s="183"/>
      <c r="G578" s="183"/>
      <c r="H578" s="182"/>
      <c r="I578" s="171"/>
      <c r="J578" s="185"/>
      <c r="K578" s="207"/>
    </row>
    <row r="579" ht="15.75" customHeight="1">
      <c r="B579" s="181"/>
      <c r="E579" s="183"/>
      <c r="F579" s="183"/>
      <c r="G579" s="183"/>
      <c r="H579" s="182"/>
      <c r="I579" s="171"/>
      <c r="J579" s="185"/>
      <c r="K579" s="207"/>
    </row>
    <row r="580" ht="15.75" customHeight="1">
      <c r="B580" s="181"/>
      <c r="E580" s="183"/>
      <c r="F580" s="183"/>
      <c r="G580" s="183"/>
      <c r="H580" s="182"/>
      <c r="I580" s="171"/>
      <c r="J580" s="185"/>
      <c r="K580" s="207"/>
    </row>
    <row r="581" ht="15.75" customHeight="1">
      <c r="B581" s="181"/>
      <c r="E581" s="183"/>
      <c r="F581" s="183"/>
      <c r="G581" s="183"/>
      <c r="H581" s="182"/>
      <c r="I581" s="171"/>
      <c r="J581" s="185"/>
      <c r="K581" s="207"/>
    </row>
    <row r="582" ht="15.75" customHeight="1">
      <c r="B582" s="181"/>
      <c r="E582" s="183"/>
      <c r="F582" s="183"/>
      <c r="G582" s="183"/>
      <c r="H582" s="182"/>
      <c r="I582" s="171"/>
      <c r="J582" s="185"/>
      <c r="K582" s="207"/>
    </row>
    <row r="583" ht="15.75" customHeight="1">
      <c r="B583" s="181"/>
      <c r="E583" s="183"/>
      <c r="F583" s="183"/>
      <c r="G583" s="183"/>
      <c r="H583" s="182"/>
      <c r="I583" s="171"/>
      <c r="J583" s="185"/>
      <c r="K583" s="207"/>
    </row>
    <row r="584" ht="15.75" customHeight="1">
      <c r="B584" s="181"/>
      <c r="E584" s="183"/>
      <c r="F584" s="183"/>
      <c r="G584" s="183"/>
      <c r="H584" s="182"/>
      <c r="I584" s="171"/>
      <c r="J584" s="185"/>
      <c r="K584" s="207"/>
    </row>
    <row r="585" ht="15.75" customHeight="1">
      <c r="B585" s="181"/>
      <c r="E585" s="183"/>
      <c r="F585" s="183"/>
      <c r="G585" s="183"/>
      <c r="H585" s="182"/>
      <c r="I585" s="171"/>
      <c r="J585" s="185"/>
      <c r="K585" s="207"/>
    </row>
    <row r="586" ht="15.75" customHeight="1">
      <c r="B586" s="181"/>
      <c r="E586" s="183"/>
      <c r="F586" s="183"/>
      <c r="G586" s="183"/>
      <c r="H586" s="182"/>
      <c r="I586" s="171"/>
      <c r="J586" s="185"/>
      <c r="K586" s="207"/>
    </row>
    <row r="587" ht="15.75" customHeight="1">
      <c r="B587" s="181"/>
      <c r="E587" s="183"/>
      <c r="F587" s="183"/>
      <c r="G587" s="183"/>
      <c r="H587" s="182"/>
      <c r="I587" s="171"/>
      <c r="J587" s="185"/>
      <c r="K587" s="207"/>
    </row>
    <row r="588" ht="15.75" customHeight="1">
      <c r="B588" s="181"/>
      <c r="E588" s="183"/>
      <c r="F588" s="183"/>
      <c r="G588" s="183"/>
      <c r="H588" s="182"/>
      <c r="I588" s="171"/>
      <c r="J588" s="185"/>
      <c r="K588" s="207"/>
    </row>
    <row r="589" ht="15.75" customHeight="1">
      <c r="B589" s="181"/>
      <c r="E589" s="183"/>
      <c r="F589" s="183"/>
      <c r="G589" s="183"/>
      <c r="H589" s="182"/>
      <c r="I589" s="171"/>
      <c r="J589" s="185"/>
      <c r="K589" s="207"/>
    </row>
    <row r="590" ht="15.75" customHeight="1">
      <c r="B590" s="181"/>
      <c r="E590" s="183"/>
      <c r="F590" s="183"/>
      <c r="G590" s="183"/>
      <c r="H590" s="182"/>
      <c r="I590" s="171"/>
      <c r="J590" s="185"/>
      <c r="K590" s="207"/>
    </row>
    <row r="591" ht="15.75" customHeight="1">
      <c r="B591" s="181"/>
      <c r="E591" s="183"/>
      <c r="F591" s="183"/>
      <c r="G591" s="183"/>
      <c r="H591" s="182"/>
      <c r="I591" s="171"/>
      <c r="J591" s="185"/>
      <c r="K591" s="207"/>
    </row>
    <row r="592" ht="15.75" customHeight="1">
      <c r="B592" s="181"/>
      <c r="E592" s="183"/>
      <c r="F592" s="183"/>
      <c r="G592" s="183"/>
      <c r="H592" s="182"/>
      <c r="I592" s="171"/>
      <c r="J592" s="185"/>
      <c r="K592" s="207"/>
    </row>
    <row r="593" ht="15.75" customHeight="1">
      <c r="B593" s="181"/>
      <c r="E593" s="183"/>
      <c r="F593" s="183"/>
      <c r="G593" s="183"/>
      <c r="H593" s="182"/>
      <c r="I593" s="171"/>
      <c r="J593" s="185"/>
      <c r="K593" s="207"/>
    </row>
    <row r="594" ht="15.75" customHeight="1">
      <c r="B594" s="181"/>
      <c r="E594" s="183"/>
      <c r="F594" s="183"/>
      <c r="G594" s="183"/>
      <c r="H594" s="182"/>
      <c r="I594" s="171"/>
      <c r="J594" s="185"/>
      <c r="K594" s="207"/>
    </row>
    <row r="595" ht="15.75" customHeight="1">
      <c r="B595" s="181"/>
      <c r="E595" s="183"/>
      <c r="F595" s="183"/>
      <c r="G595" s="183"/>
      <c r="H595" s="182"/>
      <c r="I595" s="171"/>
      <c r="J595" s="185"/>
      <c r="K595" s="207"/>
    </row>
    <row r="596" ht="15.75" customHeight="1">
      <c r="B596" s="181"/>
      <c r="E596" s="183"/>
      <c r="F596" s="183"/>
      <c r="G596" s="183"/>
      <c r="H596" s="182"/>
      <c r="I596" s="171"/>
      <c r="J596" s="185"/>
      <c r="K596" s="207"/>
    </row>
    <row r="597" ht="15.75" customHeight="1">
      <c r="B597" s="181"/>
      <c r="E597" s="183"/>
      <c r="F597" s="183"/>
      <c r="G597" s="183"/>
      <c r="H597" s="182"/>
      <c r="I597" s="171"/>
      <c r="J597" s="185"/>
      <c r="K597" s="207"/>
    </row>
    <row r="598" ht="15.75" customHeight="1">
      <c r="B598" s="181"/>
      <c r="E598" s="183"/>
      <c r="F598" s="183"/>
      <c r="G598" s="183"/>
      <c r="H598" s="182"/>
      <c r="I598" s="171"/>
      <c r="J598" s="185"/>
      <c r="K598" s="207"/>
    </row>
    <row r="599" ht="15.75" customHeight="1">
      <c r="B599" s="181"/>
      <c r="E599" s="183"/>
      <c r="F599" s="183"/>
      <c r="G599" s="183"/>
      <c r="H599" s="182"/>
      <c r="I599" s="171"/>
      <c r="J599" s="185"/>
      <c r="K599" s="207"/>
    </row>
    <row r="600" ht="15.75" customHeight="1">
      <c r="B600" s="181"/>
      <c r="E600" s="183"/>
      <c r="F600" s="183"/>
      <c r="G600" s="183"/>
      <c r="H600" s="182"/>
      <c r="I600" s="171"/>
      <c r="J600" s="185"/>
      <c r="K600" s="207"/>
    </row>
    <row r="601" ht="15.75" customHeight="1">
      <c r="B601" s="181"/>
      <c r="E601" s="183"/>
      <c r="F601" s="183"/>
      <c r="G601" s="183"/>
      <c r="H601" s="182"/>
      <c r="I601" s="171"/>
      <c r="J601" s="185"/>
      <c r="K601" s="207"/>
    </row>
    <row r="602" ht="15.75" customHeight="1">
      <c r="B602" s="181"/>
      <c r="E602" s="183"/>
      <c r="F602" s="183"/>
      <c r="G602" s="183"/>
      <c r="H602" s="182"/>
      <c r="I602" s="171"/>
      <c r="J602" s="185"/>
      <c r="K602" s="207"/>
    </row>
    <row r="603" ht="15.75" customHeight="1">
      <c r="B603" s="181"/>
      <c r="E603" s="183"/>
      <c r="F603" s="183"/>
      <c r="G603" s="183"/>
      <c r="H603" s="182"/>
      <c r="I603" s="171"/>
      <c r="J603" s="185"/>
      <c r="K603" s="207"/>
    </row>
    <row r="604" ht="15.75" customHeight="1">
      <c r="B604" s="181"/>
      <c r="E604" s="183"/>
      <c r="F604" s="183"/>
      <c r="G604" s="183"/>
      <c r="H604" s="182"/>
      <c r="I604" s="171"/>
      <c r="J604" s="185"/>
      <c r="K604" s="207"/>
    </row>
    <row r="605" ht="15.75" customHeight="1">
      <c r="B605" s="181"/>
      <c r="E605" s="183"/>
      <c r="F605" s="183"/>
      <c r="G605" s="183"/>
      <c r="H605" s="182"/>
      <c r="I605" s="171"/>
      <c r="J605" s="185"/>
      <c r="K605" s="207"/>
    </row>
    <row r="606" ht="15.75" customHeight="1">
      <c r="B606" s="181"/>
      <c r="E606" s="183"/>
      <c r="F606" s="183"/>
      <c r="G606" s="183"/>
      <c r="H606" s="182"/>
      <c r="I606" s="171"/>
      <c r="J606" s="185"/>
      <c r="K606" s="207"/>
    </row>
    <row r="607" ht="15.75" customHeight="1">
      <c r="B607" s="181"/>
      <c r="E607" s="183"/>
      <c r="F607" s="183"/>
      <c r="G607" s="183"/>
      <c r="H607" s="182"/>
      <c r="I607" s="171"/>
      <c r="J607" s="185"/>
      <c r="K607" s="207"/>
    </row>
    <row r="608" ht="15.75" customHeight="1">
      <c r="B608" s="181"/>
      <c r="E608" s="183"/>
      <c r="F608" s="183"/>
      <c r="G608" s="183"/>
      <c r="H608" s="182"/>
      <c r="I608" s="171"/>
      <c r="J608" s="185"/>
      <c r="K608" s="207"/>
    </row>
    <row r="609" ht="15.75" customHeight="1">
      <c r="B609" s="181"/>
      <c r="E609" s="183"/>
      <c r="F609" s="183"/>
      <c r="G609" s="183"/>
      <c r="H609" s="182"/>
      <c r="I609" s="171"/>
      <c r="J609" s="185"/>
      <c r="K609" s="207"/>
    </row>
    <row r="610" ht="15.75" customHeight="1">
      <c r="B610" s="181"/>
      <c r="E610" s="183"/>
      <c r="F610" s="183"/>
      <c r="G610" s="183"/>
      <c r="H610" s="182"/>
      <c r="I610" s="171"/>
      <c r="J610" s="185"/>
      <c r="K610" s="207"/>
    </row>
    <row r="611" ht="15.75" customHeight="1">
      <c r="B611" s="181"/>
      <c r="E611" s="183"/>
      <c r="F611" s="183"/>
      <c r="G611" s="183"/>
      <c r="H611" s="182"/>
      <c r="I611" s="171"/>
      <c r="J611" s="185"/>
      <c r="K611" s="207"/>
    </row>
    <row r="612" ht="15.75" customHeight="1">
      <c r="B612" s="181"/>
      <c r="E612" s="183"/>
      <c r="F612" s="183"/>
      <c r="G612" s="183"/>
      <c r="H612" s="182"/>
      <c r="I612" s="171"/>
      <c r="J612" s="185"/>
      <c r="K612" s="207"/>
    </row>
    <row r="613" ht="15.75" customHeight="1">
      <c r="B613" s="181"/>
      <c r="E613" s="183"/>
      <c r="F613" s="183"/>
      <c r="G613" s="183"/>
      <c r="H613" s="182"/>
      <c r="I613" s="171"/>
      <c r="J613" s="185"/>
      <c r="K613" s="207"/>
    </row>
    <row r="614" ht="15.75" customHeight="1">
      <c r="B614" s="181"/>
      <c r="E614" s="183"/>
      <c r="F614" s="183"/>
      <c r="G614" s="183"/>
      <c r="H614" s="182"/>
      <c r="I614" s="171"/>
      <c r="J614" s="185"/>
      <c r="K614" s="207"/>
    </row>
    <row r="615" ht="15.75" customHeight="1">
      <c r="B615" s="181"/>
      <c r="E615" s="183"/>
      <c r="F615" s="183"/>
      <c r="G615" s="183"/>
      <c r="H615" s="182"/>
      <c r="I615" s="171"/>
      <c r="J615" s="185"/>
      <c r="K615" s="207"/>
    </row>
    <row r="616" ht="15.75" customHeight="1">
      <c r="B616" s="181"/>
      <c r="E616" s="183"/>
      <c r="F616" s="183"/>
      <c r="G616" s="183"/>
      <c r="H616" s="182"/>
      <c r="I616" s="171"/>
      <c r="J616" s="185"/>
      <c r="K616" s="207"/>
    </row>
    <row r="617" ht="15.75" customHeight="1">
      <c r="B617" s="181"/>
      <c r="E617" s="183"/>
      <c r="F617" s="183"/>
      <c r="G617" s="183"/>
      <c r="H617" s="182"/>
      <c r="I617" s="171"/>
      <c r="J617" s="185"/>
      <c r="K617" s="207"/>
    </row>
    <row r="618" ht="15.75" customHeight="1">
      <c r="B618" s="181"/>
      <c r="E618" s="183"/>
      <c r="F618" s="183"/>
      <c r="G618" s="183"/>
      <c r="H618" s="182"/>
      <c r="I618" s="171"/>
      <c r="J618" s="185"/>
      <c r="K618" s="207"/>
    </row>
    <row r="619" ht="15.75" customHeight="1">
      <c r="B619" s="181"/>
      <c r="E619" s="183"/>
      <c r="F619" s="183"/>
      <c r="G619" s="183"/>
      <c r="H619" s="182"/>
      <c r="I619" s="171"/>
      <c r="J619" s="185"/>
      <c r="K619" s="207"/>
    </row>
    <row r="620" ht="15.75" customHeight="1">
      <c r="B620" s="181"/>
      <c r="E620" s="183"/>
      <c r="F620" s="183"/>
      <c r="G620" s="183"/>
      <c r="H620" s="182"/>
      <c r="I620" s="171"/>
      <c r="J620" s="185"/>
      <c r="K620" s="207"/>
    </row>
    <row r="621" ht="15.75" customHeight="1">
      <c r="B621" s="181"/>
      <c r="E621" s="183"/>
      <c r="F621" s="183"/>
      <c r="G621" s="183"/>
      <c r="H621" s="182"/>
      <c r="I621" s="171"/>
      <c r="J621" s="185"/>
      <c r="K621" s="207"/>
    </row>
    <row r="622" ht="15.75" customHeight="1">
      <c r="B622" s="181"/>
      <c r="E622" s="183"/>
      <c r="F622" s="183"/>
      <c r="G622" s="183"/>
      <c r="H622" s="182"/>
      <c r="I622" s="171"/>
      <c r="J622" s="185"/>
      <c r="K622" s="207"/>
    </row>
    <row r="623" ht="15.75" customHeight="1">
      <c r="B623" s="181"/>
      <c r="E623" s="183"/>
      <c r="F623" s="183"/>
      <c r="G623" s="183"/>
      <c r="H623" s="182"/>
      <c r="I623" s="171"/>
      <c r="J623" s="185"/>
      <c r="K623" s="207"/>
    </row>
    <row r="624" ht="15.75" customHeight="1">
      <c r="B624" s="181"/>
      <c r="E624" s="183"/>
      <c r="F624" s="183"/>
      <c r="G624" s="183"/>
      <c r="H624" s="182"/>
      <c r="I624" s="171"/>
      <c r="J624" s="185"/>
      <c r="K624" s="207"/>
    </row>
    <row r="625" ht="15.75" customHeight="1">
      <c r="B625" s="181"/>
      <c r="E625" s="183"/>
      <c r="F625" s="183"/>
      <c r="G625" s="183"/>
      <c r="H625" s="182"/>
      <c r="I625" s="171"/>
      <c r="J625" s="185"/>
      <c r="K625" s="207"/>
    </row>
    <row r="626" ht="15.75" customHeight="1">
      <c r="B626" s="181"/>
      <c r="E626" s="183"/>
      <c r="F626" s="183"/>
      <c r="G626" s="183"/>
      <c r="H626" s="182"/>
      <c r="I626" s="171"/>
      <c r="J626" s="185"/>
      <c r="K626" s="207"/>
    </row>
    <row r="627" ht="15.75" customHeight="1">
      <c r="B627" s="181"/>
      <c r="E627" s="183"/>
      <c r="F627" s="183"/>
      <c r="G627" s="183"/>
      <c r="H627" s="182"/>
      <c r="I627" s="171"/>
      <c r="J627" s="185"/>
      <c r="K627" s="207"/>
    </row>
    <row r="628" ht="15.75" customHeight="1">
      <c r="B628" s="181"/>
      <c r="E628" s="183"/>
      <c r="F628" s="183"/>
      <c r="G628" s="183"/>
      <c r="H628" s="182"/>
      <c r="I628" s="171"/>
      <c r="J628" s="185"/>
      <c r="K628" s="207"/>
    </row>
    <row r="629" ht="15.75" customHeight="1">
      <c r="B629" s="181"/>
      <c r="E629" s="183"/>
      <c r="F629" s="183"/>
      <c r="G629" s="183"/>
      <c r="H629" s="182"/>
      <c r="I629" s="171"/>
      <c r="J629" s="185"/>
      <c r="K629" s="207"/>
    </row>
    <row r="630" ht="15.75" customHeight="1">
      <c r="B630" s="181"/>
      <c r="E630" s="183"/>
      <c r="F630" s="183"/>
      <c r="G630" s="183"/>
      <c r="H630" s="182"/>
      <c r="I630" s="171"/>
      <c r="J630" s="185"/>
      <c r="K630" s="207"/>
    </row>
    <row r="631" ht="15.75" customHeight="1">
      <c r="B631" s="181"/>
      <c r="E631" s="183"/>
      <c r="F631" s="183"/>
      <c r="G631" s="183"/>
      <c r="H631" s="182"/>
      <c r="I631" s="171"/>
      <c r="J631" s="185"/>
      <c r="K631" s="207"/>
    </row>
    <row r="632" ht="15.75" customHeight="1">
      <c r="B632" s="181"/>
      <c r="E632" s="183"/>
      <c r="F632" s="183"/>
      <c r="G632" s="183"/>
      <c r="H632" s="182"/>
      <c r="I632" s="171"/>
      <c r="J632" s="185"/>
      <c r="K632" s="207"/>
    </row>
    <row r="633" ht="15.75" customHeight="1">
      <c r="B633" s="181"/>
      <c r="E633" s="183"/>
      <c r="F633" s="183"/>
      <c r="G633" s="183"/>
      <c r="H633" s="182"/>
      <c r="I633" s="171"/>
      <c r="J633" s="185"/>
      <c r="K633" s="207"/>
    </row>
    <row r="634" ht="15.75" customHeight="1">
      <c r="B634" s="181"/>
      <c r="E634" s="183"/>
      <c r="F634" s="183"/>
      <c r="G634" s="183"/>
      <c r="H634" s="182"/>
      <c r="I634" s="171"/>
      <c r="J634" s="185"/>
      <c r="K634" s="207"/>
    </row>
    <row r="635" ht="15.75" customHeight="1">
      <c r="B635" s="181"/>
      <c r="E635" s="183"/>
      <c r="F635" s="183"/>
      <c r="G635" s="183"/>
      <c r="H635" s="182"/>
      <c r="I635" s="171"/>
      <c r="J635" s="185"/>
      <c r="K635" s="207"/>
    </row>
    <row r="636" ht="15.75" customHeight="1">
      <c r="B636" s="181"/>
      <c r="E636" s="183"/>
      <c r="F636" s="183"/>
      <c r="G636" s="183"/>
      <c r="H636" s="182"/>
      <c r="I636" s="171"/>
      <c r="J636" s="185"/>
      <c r="K636" s="207"/>
    </row>
    <row r="637" ht="15.75" customHeight="1">
      <c r="B637" s="181"/>
      <c r="E637" s="183"/>
      <c r="F637" s="183"/>
      <c r="G637" s="183"/>
      <c r="H637" s="182"/>
      <c r="I637" s="171"/>
      <c r="J637" s="185"/>
      <c r="K637" s="207"/>
    </row>
    <row r="638" ht="15.75" customHeight="1">
      <c r="B638" s="181"/>
      <c r="E638" s="183"/>
      <c r="F638" s="183"/>
      <c r="G638" s="183"/>
      <c r="H638" s="182"/>
      <c r="I638" s="171"/>
      <c r="J638" s="185"/>
      <c r="K638" s="207"/>
    </row>
    <row r="639" ht="15.75" customHeight="1">
      <c r="B639" s="181"/>
      <c r="E639" s="183"/>
      <c r="F639" s="183"/>
      <c r="G639" s="183"/>
      <c r="H639" s="182"/>
      <c r="I639" s="171"/>
      <c r="J639" s="185"/>
      <c r="K639" s="207"/>
    </row>
    <row r="640" ht="15.75" customHeight="1">
      <c r="B640" s="181"/>
      <c r="E640" s="183"/>
      <c r="F640" s="183"/>
      <c r="G640" s="183"/>
      <c r="H640" s="182"/>
      <c r="I640" s="171"/>
      <c r="J640" s="185"/>
      <c r="K640" s="207"/>
    </row>
    <row r="641" ht="15.75" customHeight="1">
      <c r="B641" s="181"/>
      <c r="E641" s="183"/>
      <c r="F641" s="183"/>
      <c r="G641" s="183"/>
      <c r="H641" s="182"/>
      <c r="I641" s="171"/>
      <c r="J641" s="185"/>
      <c r="K641" s="207"/>
    </row>
    <row r="642" ht="15.75" customHeight="1">
      <c r="B642" s="181"/>
      <c r="E642" s="183"/>
      <c r="F642" s="183"/>
      <c r="G642" s="183"/>
      <c r="H642" s="182"/>
      <c r="I642" s="171"/>
      <c r="J642" s="185"/>
      <c r="K642" s="207"/>
    </row>
    <row r="643" ht="15.75" customHeight="1">
      <c r="B643" s="181"/>
      <c r="E643" s="183"/>
      <c r="F643" s="183"/>
      <c r="G643" s="183"/>
      <c r="H643" s="182"/>
      <c r="I643" s="171"/>
      <c r="J643" s="185"/>
      <c r="K643" s="207"/>
    </row>
    <row r="644" ht="15.75" customHeight="1">
      <c r="B644" s="181"/>
      <c r="E644" s="183"/>
      <c r="F644" s="183"/>
      <c r="G644" s="183"/>
      <c r="H644" s="182"/>
      <c r="I644" s="171"/>
      <c r="J644" s="185"/>
      <c r="K644" s="207"/>
    </row>
    <row r="645" ht="15.75" customHeight="1">
      <c r="B645" s="181"/>
      <c r="E645" s="183"/>
      <c r="F645" s="183"/>
      <c r="G645" s="183"/>
      <c r="H645" s="182"/>
      <c r="I645" s="171"/>
      <c r="J645" s="185"/>
      <c r="K645" s="207"/>
    </row>
    <row r="646" ht="15.75" customHeight="1">
      <c r="B646" s="181"/>
      <c r="E646" s="183"/>
      <c r="F646" s="183"/>
      <c r="G646" s="183"/>
      <c r="H646" s="182"/>
      <c r="I646" s="171"/>
      <c r="J646" s="185"/>
      <c r="K646" s="207"/>
    </row>
    <row r="647" ht="15.75" customHeight="1">
      <c r="B647" s="181"/>
      <c r="E647" s="183"/>
      <c r="F647" s="183"/>
      <c r="G647" s="183"/>
      <c r="H647" s="182"/>
      <c r="I647" s="171"/>
      <c r="J647" s="185"/>
      <c r="K647" s="207"/>
    </row>
    <row r="648" ht="15.75" customHeight="1">
      <c r="B648" s="181"/>
      <c r="E648" s="183"/>
      <c r="F648" s="183"/>
      <c r="G648" s="183"/>
      <c r="H648" s="182"/>
      <c r="I648" s="171"/>
      <c r="J648" s="185"/>
      <c r="K648" s="207"/>
    </row>
    <row r="649" ht="15.75" customHeight="1">
      <c r="B649" s="181"/>
      <c r="E649" s="183"/>
      <c r="F649" s="183"/>
      <c r="G649" s="183"/>
      <c r="H649" s="182"/>
      <c r="I649" s="171"/>
      <c r="J649" s="185"/>
      <c r="K649" s="207"/>
    </row>
    <row r="650" ht="15.75" customHeight="1">
      <c r="B650" s="181"/>
      <c r="E650" s="183"/>
      <c r="F650" s="183"/>
      <c r="G650" s="183"/>
      <c r="H650" s="182"/>
      <c r="I650" s="171"/>
      <c r="J650" s="185"/>
      <c r="K650" s="207"/>
    </row>
    <row r="651" ht="15.75" customHeight="1">
      <c r="B651" s="181"/>
      <c r="E651" s="183"/>
      <c r="F651" s="183"/>
      <c r="G651" s="183"/>
      <c r="H651" s="182"/>
      <c r="I651" s="171"/>
      <c r="J651" s="185"/>
      <c r="K651" s="207"/>
    </row>
    <row r="652" ht="15.75" customHeight="1">
      <c r="B652" s="181"/>
      <c r="E652" s="183"/>
      <c r="F652" s="183"/>
      <c r="G652" s="183"/>
      <c r="H652" s="182"/>
      <c r="I652" s="171"/>
      <c r="J652" s="185"/>
      <c r="K652" s="207"/>
    </row>
    <row r="653" ht="15.75" customHeight="1">
      <c r="B653" s="181"/>
      <c r="E653" s="183"/>
      <c r="F653" s="183"/>
      <c r="G653" s="183"/>
      <c r="H653" s="182"/>
      <c r="I653" s="171"/>
      <c r="J653" s="185"/>
      <c r="K653" s="207"/>
    </row>
    <row r="654" ht="15.75" customHeight="1">
      <c r="B654" s="181"/>
      <c r="E654" s="183"/>
      <c r="F654" s="183"/>
      <c r="G654" s="183"/>
      <c r="H654" s="182"/>
      <c r="I654" s="171"/>
      <c r="J654" s="185"/>
      <c r="K654" s="207"/>
    </row>
    <row r="655" ht="15.75" customHeight="1">
      <c r="B655" s="181"/>
      <c r="E655" s="183"/>
      <c r="F655" s="183"/>
      <c r="G655" s="183"/>
      <c r="H655" s="182"/>
      <c r="I655" s="171"/>
      <c r="J655" s="185"/>
      <c r="K655" s="207"/>
    </row>
    <row r="656" ht="15.75" customHeight="1">
      <c r="B656" s="181"/>
      <c r="E656" s="183"/>
      <c r="F656" s="183"/>
      <c r="G656" s="183"/>
      <c r="H656" s="182"/>
      <c r="I656" s="171"/>
      <c r="J656" s="185"/>
      <c r="K656" s="207"/>
    </row>
    <row r="657" ht="15.75" customHeight="1">
      <c r="B657" s="181"/>
      <c r="E657" s="183"/>
      <c r="F657" s="183"/>
      <c r="G657" s="183"/>
      <c r="H657" s="182"/>
      <c r="I657" s="171"/>
      <c r="J657" s="185"/>
      <c r="K657" s="207"/>
    </row>
    <row r="658" ht="15.75" customHeight="1">
      <c r="B658" s="181"/>
      <c r="E658" s="183"/>
      <c r="F658" s="183"/>
      <c r="G658" s="183"/>
      <c r="H658" s="182"/>
      <c r="I658" s="171"/>
      <c r="J658" s="185"/>
      <c r="K658" s="207"/>
    </row>
    <row r="659" ht="15.75" customHeight="1">
      <c r="B659" s="181"/>
      <c r="E659" s="183"/>
      <c r="F659" s="183"/>
      <c r="G659" s="183"/>
      <c r="H659" s="182"/>
      <c r="I659" s="171"/>
      <c r="J659" s="185"/>
      <c r="K659" s="207"/>
    </row>
    <row r="660" ht="15.75" customHeight="1">
      <c r="B660" s="181"/>
      <c r="E660" s="183"/>
      <c r="F660" s="183"/>
      <c r="G660" s="183"/>
      <c r="H660" s="182"/>
      <c r="I660" s="171"/>
      <c r="J660" s="185"/>
      <c r="K660" s="207"/>
    </row>
    <row r="661" ht="15.75" customHeight="1">
      <c r="B661" s="181"/>
      <c r="E661" s="183"/>
      <c r="F661" s="183"/>
      <c r="G661" s="183"/>
      <c r="H661" s="182"/>
      <c r="I661" s="171"/>
      <c r="J661" s="185"/>
      <c r="K661" s="207"/>
    </row>
    <row r="662" ht="15.75" customHeight="1">
      <c r="B662" s="181"/>
      <c r="E662" s="183"/>
      <c r="F662" s="183"/>
      <c r="G662" s="183"/>
      <c r="H662" s="182"/>
      <c r="I662" s="171"/>
      <c r="J662" s="185"/>
      <c r="K662" s="207"/>
    </row>
    <row r="663" ht="15.75" customHeight="1">
      <c r="B663" s="181"/>
      <c r="E663" s="183"/>
      <c r="F663" s="183"/>
      <c r="G663" s="183"/>
      <c r="H663" s="182"/>
      <c r="I663" s="171"/>
      <c r="J663" s="185"/>
      <c r="K663" s="207"/>
    </row>
    <row r="664" ht="15.75" customHeight="1">
      <c r="B664" s="181"/>
      <c r="E664" s="183"/>
      <c r="F664" s="183"/>
      <c r="G664" s="183"/>
      <c r="H664" s="182"/>
      <c r="I664" s="171"/>
      <c r="J664" s="185"/>
      <c r="K664" s="207"/>
    </row>
    <row r="665" ht="15.75" customHeight="1">
      <c r="B665" s="181"/>
      <c r="E665" s="183"/>
      <c r="F665" s="183"/>
      <c r="G665" s="183"/>
      <c r="H665" s="182"/>
      <c r="I665" s="171"/>
      <c r="J665" s="185"/>
      <c r="K665" s="207"/>
    </row>
    <row r="666" ht="15.75" customHeight="1">
      <c r="B666" s="181"/>
      <c r="E666" s="183"/>
      <c r="F666" s="183"/>
      <c r="G666" s="183"/>
      <c r="H666" s="182"/>
      <c r="I666" s="171"/>
      <c r="J666" s="185"/>
      <c r="K666" s="207"/>
    </row>
    <row r="667" ht="15.75" customHeight="1">
      <c r="B667" s="181"/>
      <c r="E667" s="183"/>
      <c r="F667" s="183"/>
      <c r="G667" s="183"/>
      <c r="H667" s="182"/>
      <c r="I667" s="171"/>
      <c r="J667" s="185"/>
      <c r="K667" s="207"/>
    </row>
    <row r="668" ht="15.75" customHeight="1">
      <c r="B668" s="181"/>
      <c r="E668" s="183"/>
      <c r="F668" s="183"/>
      <c r="G668" s="183"/>
      <c r="H668" s="182"/>
      <c r="I668" s="171"/>
      <c r="J668" s="185"/>
      <c r="K668" s="207"/>
    </row>
    <row r="669" ht="15.75" customHeight="1">
      <c r="B669" s="181"/>
      <c r="E669" s="183"/>
      <c r="F669" s="183"/>
      <c r="G669" s="183"/>
      <c r="H669" s="182"/>
      <c r="I669" s="171"/>
      <c r="J669" s="185"/>
      <c r="K669" s="207"/>
    </row>
    <row r="670" ht="15.75" customHeight="1">
      <c r="B670" s="181"/>
      <c r="E670" s="183"/>
      <c r="F670" s="183"/>
      <c r="G670" s="183"/>
      <c r="H670" s="182"/>
      <c r="I670" s="171"/>
      <c r="J670" s="185"/>
      <c r="K670" s="207"/>
    </row>
    <row r="671" ht="15.75" customHeight="1">
      <c r="B671" s="181"/>
      <c r="E671" s="183"/>
      <c r="F671" s="183"/>
      <c r="G671" s="183"/>
      <c r="H671" s="182"/>
      <c r="I671" s="171"/>
      <c r="J671" s="185"/>
      <c r="K671" s="207"/>
    </row>
    <row r="672" ht="15.75" customHeight="1">
      <c r="B672" s="181"/>
      <c r="E672" s="183"/>
      <c r="F672" s="183"/>
      <c r="G672" s="183"/>
      <c r="H672" s="182"/>
      <c r="I672" s="171"/>
      <c r="J672" s="185"/>
      <c r="K672" s="207"/>
    </row>
    <row r="673" ht="15.75" customHeight="1">
      <c r="B673" s="181"/>
      <c r="E673" s="183"/>
      <c r="F673" s="183"/>
      <c r="G673" s="183"/>
      <c r="H673" s="182"/>
      <c r="I673" s="171"/>
      <c r="J673" s="185"/>
      <c r="K673" s="207"/>
    </row>
    <row r="674" ht="15.75" customHeight="1">
      <c r="B674" s="181"/>
      <c r="E674" s="183"/>
      <c r="F674" s="183"/>
      <c r="G674" s="183"/>
      <c r="H674" s="182"/>
      <c r="I674" s="171"/>
      <c r="J674" s="185"/>
      <c r="K674" s="207"/>
    </row>
    <row r="675" ht="15.75" customHeight="1">
      <c r="B675" s="181"/>
      <c r="E675" s="183"/>
      <c r="F675" s="183"/>
      <c r="G675" s="183"/>
      <c r="H675" s="182"/>
      <c r="I675" s="171"/>
      <c r="J675" s="185"/>
      <c r="K675" s="207"/>
    </row>
    <row r="676" ht="15.75" customHeight="1">
      <c r="B676" s="181"/>
      <c r="E676" s="183"/>
      <c r="F676" s="183"/>
      <c r="G676" s="183"/>
      <c r="H676" s="182"/>
      <c r="I676" s="171"/>
      <c r="J676" s="185"/>
      <c r="K676" s="207"/>
    </row>
    <row r="677" ht="15.75" customHeight="1">
      <c r="B677" s="181"/>
      <c r="E677" s="183"/>
      <c r="F677" s="183"/>
      <c r="G677" s="183"/>
      <c r="H677" s="182"/>
      <c r="I677" s="171"/>
      <c r="J677" s="185"/>
      <c r="K677" s="207"/>
    </row>
    <row r="678" ht="15.75" customHeight="1">
      <c r="B678" s="181"/>
      <c r="E678" s="183"/>
      <c r="F678" s="183"/>
      <c r="G678" s="183"/>
      <c r="H678" s="182"/>
      <c r="I678" s="171"/>
      <c r="J678" s="185"/>
      <c r="K678" s="207"/>
    </row>
    <row r="679" ht="15.75" customHeight="1">
      <c r="B679" s="181"/>
      <c r="E679" s="183"/>
      <c r="F679" s="183"/>
      <c r="G679" s="183"/>
      <c r="H679" s="182"/>
      <c r="I679" s="171"/>
      <c r="J679" s="185"/>
      <c r="K679" s="207"/>
    </row>
    <row r="680" ht="15.75" customHeight="1">
      <c r="B680" s="181"/>
      <c r="E680" s="183"/>
      <c r="F680" s="183"/>
      <c r="G680" s="183"/>
      <c r="H680" s="182"/>
      <c r="I680" s="171"/>
      <c r="J680" s="185"/>
      <c r="K680" s="207"/>
    </row>
    <row r="681" ht="15.75" customHeight="1">
      <c r="B681" s="181"/>
      <c r="E681" s="183"/>
      <c r="F681" s="183"/>
      <c r="G681" s="183"/>
      <c r="H681" s="182"/>
      <c r="I681" s="171"/>
      <c r="J681" s="185"/>
      <c r="K681" s="207"/>
    </row>
    <row r="682" ht="15.75" customHeight="1">
      <c r="B682" s="181"/>
      <c r="E682" s="183"/>
      <c r="F682" s="183"/>
      <c r="G682" s="183"/>
      <c r="H682" s="182"/>
      <c r="I682" s="171"/>
      <c r="J682" s="185"/>
      <c r="K682" s="207"/>
    </row>
    <row r="683" ht="15.75" customHeight="1">
      <c r="B683" s="181"/>
      <c r="E683" s="183"/>
      <c r="F683" s="183"/>
      <c r="G683" s="183"/>
      <c r="H683" s="182"/>
      <c r="I683" s="171"/>
      <c r="J683" s="185"/>
      <c r="K683" s="207"/>
    </row>
    <row r="684" ht="15.75" customHeight="1">
      <c r="B684" s="181"/>
      <c r="E684" s="183"/>
      <c r="F684" s="183"/>
      <c r="G684" s="183"/>
      <c r="H684" s="182"/>
      <c r="I684" s="171"/>
      <c r="J684" s="185"/>
      <c r="K684" s="207"/>
    </row>
    <row r="685" ht="15.75" customHeight="1">
      <c r="B685" s="181"/>
      <c r="E685" s="183"/>
      <c r="F685" s="183"/>
      <c r="G685" s="183"/>
      <c r="H685" s="182"/>
      <c r="I685" s="171"/>
      <c r="J685" s="185"/>
      <c r="K685" s="207"/>
    </row>
    <row r="686" ht="15.75" customHeight="1">
      <c r="B686" s="181"/>
      <c r="E686" s="183"/>
      <c r="F686" s="183"/>
      <c r="G686" s="183"/>
      <c r="H686" s="182"/>
      <c r="I686" s="171"/>
      <c r="J686" s="185"/>
      <c r="K686" s="207"/>
    </row>
    <row r="687" ht="15.75" customHeight="1">
      <c r="B687" s="181"/>
      <c r="E687" s="183"/>
      <c r="F687" s="183"/>
      <c r="G687" s="183"/>
      <c r="H687" s="182"/>
      <c r="I687" s="171"/>
      <c r="J687" s="185"/>
      <c r="K687" s="207"/>
    </row>
    <row r="688" ht="15.75" customHeight="1">
      <c r="B688" s="181"/>
      <c r="E688" s="183"/>
      <c r="F688" s="183"/>
      <c r="G688" s="183"/>
      <c r="H688" s="182"/>
      <c r="I688" s="171"/>
      <c r="J688" s="185"/>
      <c r="K688" s="207"/>
    </row>
    <row r="689" ht="15.75" customHeight="1">
      <c r="B689" s="181"/>
      <c r="E689" s="183"/>
      <c r="F689" s="183"/>
      <c r="G689" s="183"/>
      <c r="H689" s="182"/>
      <c r="I689" s="171"/>
      <c r="J689" s="185"/>
      <c r="K689" s="207"/>
    </row>
    <row r="690" ht="15.75" customHeight="1">
      <c r="B690" s="181"/>
      <c r="E690" s="183"/>
      <c r="F690" s="183"/>
      <c r="G690" s="183"/>
      <c r="H690" s="182"/>
      <c r="I690" s="171"/>
      <c r="J690" s="185"/>
      <c r="K690" s="207"/>
    </row>
    <row r="691" ht="15.75" customHeight="1">
      <c r="B691" s="181"/>
      <c r="E691" s="183"/>
      <c r="F691" s="183"/>
      <c r="G691" s="183"/>
      <c r="H691" s="182"/>
      <c r="I691" s="171"/>
      <c r="J691" s="185"/>
      <c r="K691" s="207"/>
    </row>
    <row r="692" ht="15.75" customHeight="1">
      <c r="B692" s="181"/>
      <c r="E692" s="183"/>
      <c r="F692" s="183"/>
      <c r="G692" s="183"/>
      <c r="H692" s="182"/>
      <c r="I692" s="171"/>
      <c r="J692" s="185"/>
      <c r="K692" s="207"/>
    </row>
    <row r="693" ht="15.75" customHeight="1">
      <c r="B693" s="181"/>
      <c r="E693" s="183"/>
      <c r="F693" s="183"/>
      <c r="G693" s="183"/>
      <c r="H693" s="182"/>
      <c r="I693" s="171"/>
      <c r="J693" s="185"/>
      <c r="K693" s="207"/>
    </row>
    <row r="694" ht="15.75" customHeight="1">
      <c r="B694" s="181"/>
      <c r="E694" s="183"/>
      <c r="F694" s="183"/>
      <c r="G694" s="183"/>
      <c r="H694" s="182"/>
      <c r="I694" s="171"/>
      <c r="J694" s="185"/>
      <c r="K694" s="207"/>
    </row>
    <row r="695" ht="15.75" customHeight="1">
      <c r="B695" s="181"/>
      <c r="E695" s="183"/>
      <c r="F695" s="183"/>
      <c r="G695" s="183"/>
      <c r="H695" s="182"/>
      <c r="I695" s="171"/>
      <c r="J695" s="185"/>
      <c r="K695" s="207"/>
    </row>
    <row r="696" ht="15.75" customHeight="1">
      <c r="B696" s="181"/>
      <c r="E696" s="183"/>
      <c r="F696" s="183"/>
      <c r="G696" s="183"/>
      <c r="H696" s="182"/>
      <c r="I696" s="171"/>
      <c r="J696" s="185"/>
      <c r="K696" s="207"/>
    </row>
    <row r="697" ht="15.75" customHeight="1">
      <c r="B697" s="181"/>
      <c r="E697" s="183"/>
      <c r="F697" s="183"/>
      <c r="G697" s="183"/>
      <c r="H697" s="182"/>
      <c r="I697" s="171"/>
      <c r="J697" s="185"/>
      <c r="K697" s="207"/>
    </row>
    <row r="698" ht="15.75" customHeight="1">
      <c r="B698" s="181"/>
      <c r="E698" s="183"/>
      <c r="F698" s="183"/>
      <c r="G698" s="183"/>
      <c r="H698" s="182"/>
      <c r="I698" s="171"/>
      <c r="J698" s="185"/>
      <c r="K698" s="207"/>
    </row>
    <row r="699" ht="15.75" customHeight="1">
      <c r="B699" s="181"/>
      <c r="E699" s="183"/>
      <c r="F699" s="183"/>
      <c r="G699" s="183"/>
      <c r="H699" s="182"/>
      <c r="I699" s="171"/>
      <c r="J699" s="185"/>
      <c r="K699" s="207"/>
    </row>
    <row r="700" ht="15.75" customHeight="1">
      <c r="B700" s="181"/>
      <c r="E700" s="183"/>
      <c r="F700" s="183"/>
      <c r="G700" s="183"/>
      <c r="H700" s="182"/>
      <c r="I700" s="171"/>
      <c r="J700" s="185"/>
      <c r="K700" s="207"/>
    </row>
    <row r="701" ht="15.75" customHeight="1">
      <c r="B701" s="181"/>
      <c r="E701" s="183"/>
      <c r="F701" s="183"/>
      <c r="G701" s="183"/>
      <c r="H701" s="182"/>
      <c r="I701" s="171"/>
      <c r="J701" s="185"/>
      <c r="K701" s="207"/>
    </row>
    <row r="702" ht="15.75" customHeight="1">
      <c r="B702" s="181"/>
      <c r="E702" s="183"/>
      <c r="F702" s="183"/>
      <c r="G702" s="183"/>
      <c r="H702" s="182"/>
      <c r="I702" s="171"/>
      <c r="J702" s="185"/>
      <c r="K702" s="207"/>
    </row>
    <row r="703" ht="15.75" customHeight="1">
      <c r="B703" s="181"/>
      <c r="E703" s="183"/>
      <c r="F703" s="183"/>
      <c r="G703" s="183"/>
      <c r="H703" s="182"/>
      <c r="I703" s="171"/>
      <c r="J703" s="185"/>
      <c r="K703" s="207"/>
    </row>
    <row r="704" ht="15.75" customHeight="1">
      <c r="B704" s="181"/>
      <c r="E704" s="183"/>
      <c r="F704" s="183"/>
      <c r="G704" s="183"/>
      <c r="H704" s="182"/>
      <c r="I704" s="171"/>
      <c r="J704" s="185"/>
      <c r="K704" s="207"/>
    </row>
    <row r="705" ht="15.75" customHeight="1">
      <c r="B705" s="181"/>
      <c r="E705" s="183"/>
      <c r="F705" s="183"/>
      <c r="G705" s="183"/>
      <c r="H705" s="182"/>
      <c r="I705" s="171"/>
      <c r="J705" s="185"/>
      <c r="K705" s="207"/>
    </row>
    <row r="706" ht="15.75" customHeight="1">
      <c r="B706" s="181"/>
      <c r="E706" s="183"/>
      <c r="F706" s="183"/>
      <c r="G706" s="183"/>
      <c r="H706" s="182"/>
      <c r="I706" s="171"/>
      <c r="J706" s="185"/>
      <c r="K706" s="207"/>
    </row>
    <row r="707" ht="15.75" customHeight="1">
      <c r="B707" s="181"/>
      <c r="E707" s="183"/>
      <c r="F707" s="183"/>
      <c r="G707" s="183"/>
      <c r="H707" s="182"/>
      <c r="I707" s="171"/>
      <c r="J707" s="185"/>
      <c r="K707" s="207"/>
    </row>
    <row r="708" ht="15.75" customHeight="1">
      <c r="B708" s="181"/>
      <c r="E708" s="183"/>
      <c r="F708" s="183"/>
      <c r="G708" s="183"/>
      <c r="H708" s="182"/>
      <c r="I708" s="171"/>
      <c r="J708" s="185"/>
      <c r="K708" s="207"/>
    </row>
    <row r="709" ht="15.75" customHeight="1">
      <c r="B709" s="181"/>
      <c r="E709" s="183"/>
      <c r="F709" s="183"/>
      <c r="G709" s="183"/>
      <c r="H709" s="182"/>
      <c r="I709" s="171"/>
      <c r="J709" s="185"/>
      <c r="K709" s="207"/>
    </row>
    <row r="710" ht="15.75" customHeight="1">
      <c r="B710" s="181"/>
      <c r="E710" s="183"/>
      <c r="F710" s="183"/>
      <c r="G710" s="183"/>
      <c r="H710" s="182"/>
      <c r="I710" s="171"/>
      <c r="J710" s="185"/>
      <c r="K710" s="207"/>
    </row>
    <row r="711" ht="15.75" customHeight="1">
      <c r="B711" s="181"/>
      <c r="E711" s="183"/>
      <c r="F711" s="183"/>
      <c r="G711" s="183"/>
      <c r="H711" s="182"/>
      <c r="I711" s="171"/>
      <c r="J711" s="185"/>
      <c r="K711" s="207"/>
    </row>
    <row r="712" ht="15.75" customHeight="1">
      <c r="B712" s="181"/>
      <c r="E712" s="183"/>
      <c r="F712" s="183"/>
      <c r="G712" s="183"/>
      <c r="H712" s="182"/>
      <c r="I712" s="171"/>
      <c r="J712" s="185"/>
      <c r="K712" s="207"/>
    </row>
    <row r="713" ht="15.75" customHeight="1">
      <c r="B713" s="181"/>
      <c r="E713" s="183"/>
      <c r="F713" s="183"/>
      <c r="G713" s="183"/>
      <c r="H713" s="182"/>
      <c r="I713" s="171"/>
      <c r="J713" s="185"/>
      <c r="K713" s="207"/>
    </row>
    <row r="714" ht="15.75" customHeight="1">
      <c r="B714" s="181"/>
      <c r="E714" s="183"/>
      <c r="F714" s="183"/>
      <c r="G714" s="183"/>
      <c r="H714" s="182"/>
      <c r="I714" s="171"/>
      <c r="J714" s="185"/>
      <c r="K714" s="207"/>
    </row>
    <row r="715" ht="15.75" customHeight="1">
      <c r="B715" s="181"/>
      <c r="E715" s="183"/>
      <c r="F715" s="183"/>
      <c r="G715" s="183"/>
      <c r="H715" s="182"/>
      <c r="I715" s="171"/>
      <c r="J715" s="185"/>
      <c r="K715" s="207"/>
    </row>
    <row r="716" ht="15.75" customHeight="1">
      <c r="B716" s="181"/>
      <c r="E716" s="183"/>
      <c r="F716" s="183"/>
      <c r="G716" s="183"/>
      <c r="H716" s="182"/>
      <c r="I716" s="171"/>
      <c r="J716" s="185"/>
      <c r="K716" s="207"/>
    </row>
    <row r="717" ht="15.75" customHeight="1">
      <c r="B717" s="181"/>
      <c r="E717" s="183"/>
      <c r="F717" s="183"/>
      <c r="G717" s="183"/>
      <c r="H717" s="182"/>
      <c r="I717" s="171"/>
      <c r="J717" s="185"/>
      <c r="K717" s="207"/>
    </row>
    <row r="718" ht="15.75" customHeight="1">
      <c r="B718" s="181"/>
      <c r="E718" s="183"/>
      <c r="F718" s="183"/>
      <c r="G718" s="183"/>
      <c r="H718" s="182"/>
      <c r="I718" s="171"/>
      <c r="J718" s="185"/>
      <c r="K718" s="207"/>
    </row>
    <row r="719" ht="15.75" customHeight="1">
      <c r="B719" s="181"/>
      <c r="E719" s="183"/>
      <c r="F719" s="183"/>
      <c r="G719" s="183"/>
      <c r="H719" s="182"/>
      <c r="I719" s="171"/>
      <c r="J719" s="185"/>
      <c r="K719" s="207"/>
    </row>
    <row r="720" ht="15.75" customHeight="1">
      <c r="B720" s="181"/>
      <c r="E720" s="183"/>
      <c r="F720" s="183"/>
      <c r="G720" s="183"/>
      <c r="H720" s="182"/>
      <c r="I720" s="171"/>
      <c r="J720" s="185"/>
      <c r="K720" s="207"/>
    </row>
    <row r="721" ht="15.75" customHeight="1">
      <c r="B721" s="181"/>
      <c r="E721" s="183"/>
      <c r="F721" s="183"/>
      <c r="G721" s="183"/>
      <c r="H721" s="182"/>
      <c r="I721" s="171"/>
      <c r="J721" s="185"/>
      <c r="K721" s="207"/>
    </row>
    <row r="722" ht="15.75" customHeight="1">
      <c r="B722" s="181"/>
      <c r="E722" s="183"/>
      <c r="F722" s="183"/>
      <c r="G722" s="183"/>
      <c r="H722" s="182"/>
      <c r="I722" s="171"/>
      <c r="J722" s="185"/>
      <c r="K722" s="207"/>
    </row>
    <row r="723" ht="15.75" customHeight="1">
      <c r="B723" s="181"/>
      <c r="E723" s="183"/>
      <c r="F723" s="183"/>
      <c r="G723" s="183"/>
      <c r="H723" s="182"/>
      <c r="I723" s="171"/>
      <c r="J723" s="185"/>
      <c r="K723" s="207"/>
    </row>
    <row r="724" ht="15.75" customHeight="1">
      <c r="B724" s="181"/>
      <c r="E724" s="183"/>
      <c r="F724" s="183"/>
      <c r="G724" s="183"/>
      <c r="H724" s="182"/>
      <c r="I724" s="171"/>
      <c r="J724" s="185"/>
      <c r="K724" s="207"/>
    </row>
    <row r="725" ht="15.75" customHeight="1">
      <c r="B725" s="181"/>
      <c r="E725" s="183"/>
      <c r="F725" s="183"/>
      <c r="G725" s="183"/>
      <c r="H725" s="182"/>
      <c r="I725" s="171"/>
      <c r="J725" s="185"/>
      <c r="K725" s="207"/>
    </row>
    <row r="726" ht="15.75" customHeight="1">
      <c r="B726" s="181"/>
      <c r="E726" s="183"/>
      <c r="F726" s="183"/>
      <c r="G726" s="183"/>
      <c r="H726" s="182"/>
      <c r="I726" s="171"/>
      <c r="J726" s="185"/>
      <c r="K726" s="207"/>
    </row>
    <row r="727" ht="15.75" customHeight="1">
      <c r="B727" s="181"/>
      <c r="E727" s="183"/>
      <c r="F727" s="183"/>
      <c r="G727" s="183"/>
      <c r="H727" s="182"/>
      <c r="I727" s="171"/>
      <c r="J727" s="185"/>
      <c r="K727" s="207"/>
    </row>
    <row r="728" ht="15.75" customHeight="1">
      <c r="B728" s="181"/>
      <c r="E728" s="183"/>
      <c r="F728" s="183"/>
      <c r="G728" s="183"/>
      <c r="H728" s="182"/>
      <c r="I728" s="171"/>
      <c r="J728" s="185"/>
      <c r="K728" s="207"/>
    </row>
    <row r="729" ht="15.75" customHeight="1">
      <c r="B729" s="181"/>
      <c r="E729" s="183"/>
      <c r="F729" s="183"/>
      <c r="G729" s="183"/>
      <c r="H729" s="182"/>
      <c r="I729" s="171"/>
      <c r="J729" s="185"/>
      <c r="K729" s="207"/>
    </row>
    <row r="730" ht="15.75" customHeight="1">
      <c r="B730" s="181"/>
      <c r="E730" s="183"/>
      <c r="F730" s="183"/>
      <c r="G730" s="183"/>
      <c r="H730" s="182"/>
      <c r="I730" s="171"/>
      <c r="J730" s="185"/>
      <c r="K730" s="207"/>
    </row>
    <row r="731" ht="15.75" customHeight="1">
      <c r="B731" s="181"/>
      <c r="E731" s="183"/>
      <c r="F731" s="183"/>
      <c r="G731" s="183"/>
      <c r="H731" s="182"/>
      <c r="I731" s="171"/>
      <c r="J731" s="185"/>
      <c r="K731" s="207"/>
    </row>
    <row r="732" ht="15.75" customHeight="1">
      <c r="B732" s="181"/>
      <c r="E732" s="183"/>
      <c r="F732" s="183"/>
      <c r="G732" s="183"/>
      <c r="H732" s="182"/>
      <c r="I732" s="171"/>
      <c r="J732" s="185"/>
      <c r="K732" s="207"/>
    </row>
    <row r="733" ht="15.75" customHeight="1">
      <c r="B733" s="181"/>
      <c r="E733" s="183"/>
      <c r="F733" s="183"/>
      <c r="G733" s="183"/>
      <c r="H733" s="182"/>
      <c r="I733" s="171"/>
      <c r="J733" s="185"/>
      <c r="K733" s="207"/>
    </row>
    <row r="734" ht="15.75" customHeight="1">
      <c r="B734" s="181"/>
      <c r="E734" s="183"/>
      <c r="F734" s="183"/>
      <c r="G734" s="183"/>
      <c r="H734" s="182"/>
      <c r="I734" s="171"/>
      <c r="J734" s="185"/>
      <c r="K734" s="207"/>
    </row>
    <row r="735" ht="15.75" customHeight="1">
      <c r="B735" s="181"/>
      <c r="E735" s="183"/>
      <c r="F735" s="183"/>
      <c r="G735" s="183"/>
      <c r="H735" s="182"/>
      <c r="I735" s="171"/>
      <c r="J735" s="185"/>
      <c r="K735" s="207"/>
    </row>
    <row r="736" ht="15.75" customHeight="1">
      <c r="B736" s="181"/>
      <c r="E736" s="183"/>
      <c r="F736" s="183"/>
      <c r="G736" s="183"/>
      <c r="H736" s="182"/>
      <c r="I736" s="171"/>
      <c r="J736" s="185"/>
      <c r="K736" s="207"/>
    </row>
    <row r="737" ht="15.75" customHeight="1">
      <c r="B737" s="181"/>
      <c r="E737" s="183"/>
      <c r="F737" s="183"/>
      <c r="G737" s="183"/>
      <c r="H737" s="182"/>
      <c r="I737" s="171"/>
      <c r="J737" s="185"/>
      <c r="K737" s="207"/>
    </row>
    <row r="738" ht="15.75" customHeight="1">
      <c r="B738" s="181"/>
      <c r="E738" s="183"/>
      <c r="F738" s="183"/>
      <c r="G738" s="183"/>
      <c r="H738" s="182"/>
      <c r="I738" s="171"/>
      <c r="J738" s="185"/>
      <c r="K738" s="207"/>
    </row>
    <row r="739" ht="15.75" customHeight="1">
      <c r="B739" s="181"/>
      <c r="E739" s="183"/>
      <c r="F739" s="183"/>
      <c r="G739" s="183"/>
      <c r="H739" s="182"/>
      <c r="I739" s="171"/>
      <c r="J739" s="185"/>
      <c r="K739" s="207"/>
    </row>
    <row r="740" ht="15.75" customHeight="1">
      <c r="B740" s="181"/>
      <c r="E740" s="183"/>
      <c r="F740" s="183"/>
      <c r="G740" s="183"/>
      <c r="H740" s="182"/>
      <c r="I740" s="171"/>
      <c r="J740" s="185"/>
      <c r="K740" s="207"/>
    </row>
    <row r="741" ht="15.75" customHeight="1">
      <c r="B741" s="181"/>
      <c r="E741" s="183"/>
      <c r="F741" s="183"/>
      <c r="G741" s="183"/>
      <c r="H741" s="182"/>
      <c r="I741" s="171"/>
      <c r="J741" s="185"/>
      <c r="K741" s="207"/>
    </row>
    <row r="742" ht="15.75" customHeight="1">
      <c r="B742" s="181"/>
      <c r="E742" s="183"/>
      <c r="F742" s="183"/>
      <c r="G742" s="183"/>
      <c r="H742" s="182"/>
      <c r="I742" s="171"/>
      <c r="J742" s="185"/>
      <c r="K742" s="207"/>
    </row>
    <row r="743" ht="15.75" customHeight="1">
      <c r="B743" s="181"/>
      <c r="E743" s="183"/>
      <c r="F743" s="183"/>
      <c r="G743" s="183"/>
      <c r="H743" s="182"/>
      <c r="I743" s="171"/>
      <c r="J743" s="185"/>
      <c r="K743" s="207"/>
    </row>
    <row r="744" ht="15.75" customHeight="1">
      <c r="B744" s="181"/>
      <c r="E744" s="183"/>
      <c r="F744" s="183"/>
      <c r="G744" s="183"/>
      <c r="H744" s="182"/>
      <c r="I744" s="171"/>
      <c r="J744" s="185"/>
      <c r="K744" s="207"/>
    </row>
    <row r="745" ht="15.75" customHeight="1">
      <c r="B745" s="181"/>
      <c r="E745" s="183"/>
      <c r="F745" s="183"/>
      <c r="G745" s="183"/>
      <c r="H745" s="182"/>
      <c r="I745" s="171"/>
      <c r="J745" s="185"/>
      <c r="K745" s="207"/>
    </row>
    <row r="746" ht="15.75" customHeight="1">
      <c r="B746" s="181"/>
      <c r="E746" s="183"/>
      <c r="F746" s="183"/>
      <c r="G746" s="183"/>
      <c r="H746" s="182"/>
      <c r="I746" s="171"/>
      <c r="J746" s="185"/>
      <c r="K746" s="207"/>
    </row>
    <row r="747" ht="15.75" customHeight="1">
      <c r="B747" s="181"/>
      <c r="E747" s="183"/>
      <c r="F747" s="183"/>
      <c r="G747" s="183"/>
      <c r="H747" s="182"/>
      <c r="I747" s="171"/>
      <c r="J747" s="185"/>
      <c r="K747" s="207"/>
    </row>
    <row r="748" ht="15.75" customHeight="1">
      <c r="B748" s="181"/>
      <c r="E748" s="183"/>
      <c r="F748" s="183"/>
      <c r="G748" s="183"/>
      <c r="H748" s="182"/>
      <c r="I748" s="171"/>
      <c r="J748" s="185"/>
      <c r="K748" s="207"/>
    </row>
    <row r="749" ht="15.75" customHeight="1">
      <c r="B749" s="181"/>
      <c r="E749" s="183"/>
      <c r="F749" s="183"/>
      <c r="G749" s="183"/>
      <c r="H749" s="182"/>
      <c r="I749" s="171"/>
      <c r="J749" s="185"/>
      <c r="K749" s="207"/>
    </row>
    <row r="750" ht="15.75" customHeight="1">
      <c r="B750" s="181"/>
      <c r="E750" s="183"/>
      <c r="F750" s="183"/>
      <c r="G750" s="183"/>
      <c r="H750" s="182"/>
      <c r="I750" s="171"/>
      <c r="J750" s="185"/>
      <c r="K750" s="207"/>
    </row>
    <row r="751" ht="15.75" customHeight="1">
      <c r="B751" s="181"/>
      <c r="E751" s="183"/>
      <c r="F751" s="183"/>
      <c r="G751" s="183"/>
      <c r="H751" s="182"/>
      <c r="I751" s="171"/>
      <c r="J751" s="185"/>
      <c r="K751" s="207"/>
    </row>
    <row r="752" ht="15.75" customHeight="1">
      <c r="B752" s="181"/>
      <c r="E752" s="183"/>
      <c r="F752" s="183"/>
      <c r="G752" s="183"/>
      <c r="H752" s="182"/>
      <c r="I752" s="171"/>
      <c r="J752" s="185"/>
      <c r="K752" s="207"/>
    </row>
    <row r="753" ht="15.75" customHeight="1">
      <c r="B753" s="181"/>
      <c r="E753" s="183"/>
      <c r="F753" s="183"/>
      <c r="G753" s="183"/>
      <c r="H753" s="182"/>
      <c r="I753" s="171"/>
      <c r="J753" s="185"/>
      <c r="K753" s="207"/>
    </row>
    <row r="754" ht="15.75" customHeight="1">
      <c r="B754" s="181"/>
      <c r="E754" s="183"/>
      <c r="F754" s="183"/>
      <c r="G754" s="183"/>
      <c r="H754" s="182"/>
      <c r="I754" s="171"/>
      <c r="J754" s="185"/>
      <c r="K754" s="207"/>
    </row>
    <row r="755" ht="15.75" customHeight="1">
      <c r="B755" s="181"/>
      <c r="E755" s="183"/>
      <c r="F755" s="183"/>
      <c r="G755" s="183"/>
      <c r="H755" s="182"/>
      <c r="I755" s="171"/>
      <c r="J755" s="185"/>
      <c r="K755" s="207"/>
    </row>
    <row r="756" ht="15.75" customHeight="1">
      <c r="B756" s="181"/>
      <c r="E756" s="183"/>
      <c r="F756" s="183"/>
      <c r="G756" s="183"/>
      <c r="H756" s="182"/>
      <c r="I756" s="171"/>
      <c r="J756" s="185"/>
      <c r="K756" s="207"/>
    </row>
    <row r="757" ht="15.75" customHeight="1">
      <c r="B757" s="181"/>
      <c r="E757" s="183"/>
      <c r="F757" s="183"/>
      <c r="G757" s="183"/>
      <c r="H757" s="182"/>
      <c r="I757" s="171"/>
      <c r="J757" s="185"/>
      <c r="K757" s="207"/>
    </row>
    <row r="758" ht="15.75" customHeight="1">
      <c r="B758" s="181"/>
      <c r="E758" s="183"/>
      <c r="F758" s="183"/>
      <c r="G758" s="183"/>
      <c r="H758" s="182"/>
      <c r="I758" s="171"/>
      <c r="J758" s="185"/>
      <c r="K758" s="207"/>
    </row>
    <row r="759" ht="15.75" customHeight="1">
      <c r="B759" s="181"/>
      <c r="E759" s="183"/>
      <c r="F759" s="183"/>
      <c r="G759" s="183"/>
      <c r="H759" s="182"/>
      <c r="I759" s="171"/>
      <c r="J759" s="185"/>
      <c r="K759" s="207"/>
    </row>
    <row r="760" ht="15.75" customHeight="1">
      <c r="B760" s="181"/>
      <c r="E760" s="183"/>
      <c r="F760" s="183"/>
      <c r="G760" s="183"/>
      <c r="H760" s="182"/>
      <c r="I760" s="171"/>
      <c r="J760" s="185"/>
      <c r="K760" s="207"/>
    </row>
    <row r="761" ht="15.75" customHeight="1">
      <c r="B761" s="181"/>
      <c r="E761" s="183"/>
      <c r="F761" s="183"/>
      <c r="G761" s="183"/>
      <c r="H761" s="182"/>
      <c r="I761" s="171"/>
      <c r="J761" s="185"/>
      <c r="K761" s="207"/>
    </row>
    <row r="762" ht="15.75" customHeight="1">
      <c r="B762" s="181"/>
      <c r="E762" s="183"/>
      <c r="F762" s="183"/>
      <c r="G762" s="183"/>
      <c r="H762" s="182"/>
      <c r="I762" s="171"/>
      <c r="J762" s="185"/>
      <c r="K762" s="207"/>
    </row>
    <row r="763" ht="15.75" customHeight="1">
      <c r="B763" s="181"/>
      <c r="E763" s="183"/>
      <c r="F763" s="183"/>
      <c r="G763" s="183"/>
      <c r="H763" s="182"/>
      <c r="I763" s="171"/>
      <c r="J763" s="185"/>
      <c r="K763" s="207"/>
    </row>
    <row r="764" ht="15.75" customHeight="1">
      <c r="B764" s="181"/>
      <c r="E764" s="183"/>
      <c r="F764" s="183"/>
      <c r="G764" s="183"/>
      <c r="H764" s="182"/>
      <c r="I764" s="171"/>
      <c r="J764" s="185"/>
      <c r="K764" s="207"/>
    </row>
    <row r="765" ht="15.75" customHeight="1">
      <c r="B765" s="181"/>
      <c r="E765" s="183"/>
      <c r="F765" s="183"/>
      <c r="G765" s="183"/>
      <c r="H765" s="182"/>
      <c r="I765" s="171"/>
      <c r="J765" s="185"/>
      <c r="K765" s="207"/>
    </row>
    <row r="766" ht="15.75" customHeight="1">
      <c r="B766" s="181"/>
      <c r="E766" s="183"/>
      <c r="F766" s="183"/>
      <c r="G766" s="183"/>
      <c r="H766" s="182"/>
      <c r="I766" s="171"/>
      <c r="J766" s="185"/>
      <c r="K766" s="207"/>
    </row>
    <row r="767" ht="15.75" customHeight="1">
      <c r="B767" s="181"/>
      <c r="E767" s="183"/>
      <c r="F767" s="183"/>
      <c r="G767" s="183"/>
      <c r="H767" s="182"/>
      <c r="I767" s="171"/>
      <c r="J767" s="185"/>
      <c r="K767" s="207"/>
    </row>
    <row r="768" ht="15.75" customHeight="1">
      <c r="B768" s="181"/>
      <c r="E768" s="183"/>
      <c r="F768" s="183"/>
      <c r="G768" s="183"/>
      <c r="H768" s="182"/>
      <c r="I768" s="171"/>
      <c r="J768" s="185"/>
      <c r="K768" s="207"/>
    </row>
    <row r="769" ht="15.75" customHeight="1">
      <c r="B769" s="181"/>
      <c r="E769" s="183"/>
      <c r="F769" s="183"/>
      <c r="G769" s="183"/>
      <c r="H769" s="182"/>
      <c r="I769" s="171"/>
      <c r="J769" s="185"/>
      <c r="K769" s="207"/>
    </row>
    <row r="770" ht="15.75" customHeight="1">
      <c r="B770" s="181"/>
      <c r="E770" s="183"/>
      <c r="F770" s="183"/>
      <c r="G770" s="183"/>
      <c r="H770" s="182"/>
      <c r="I770" s="171"/>
      <c r="J770" s="185"/>
      <c r="K770" s="207"/>
    </row>
    <row r="771" ht="15.75" customHeight="1">
      <c r="B771" s="181"/>
      <c r="E771" s="183"/>
      <c r="F771" s="183"/>
      <c r="G771" s="183"/>
      <c r="H771" s="182"/>
      <c r="I771" s="171"/>
      <c r="J771" s="185"/>
      <c r="K771" s="207"/>
    </row>
    <row r="772" ht="15.75" customHeight="1">
      <c r="B772" s="181"/>
      <c r="E772" s="183"/>
      <c r="F772" s="183"/>
      <c r="G772" s="183"/>
      <c r="H772" s="182"/>
      <c r="I772" s="171"/>
      <c r="J772" s="185"/>
      <c r="K772" s="207"/>
    </row>
    <row r="773" ht="15.75" customHeight="1">
      <c r="B773" s="181"/>
      <c r="E773" s="183"/>
      <c r="F773" s="183"/>
      <c r="G773" s="183"/>
      <c r="H773" s="182"/>
      <c r="I773" s="171"/>
      <c r="J773" s="185"/>
      <c r="K773" s="207"/>
    </row>
    <row r="774" ht="15.75" customHeight="1">
      <c r="B774" s="181"/>
      <c r="E774" s="183"/>
      <c r="F774" s="183"/>
      <c r="G774" s="183"/>
      <c r="H774" s="182"/>
      <c r="I774" s="171"/>
      <c r="J774" s="185"/>
      <c r="K774" s="207"/>
    </row>
    <row r="775" ht="15.75" customHeight="1">
      <c r="B775" s="181"/>
      <c r="E775" s="183"/>
      <c r="F775" s="183"/>
      <c r="G775" s="183"/>
      <c r="H775" s="182"/>
      <c r="I775" s="171"/>
      <c r="J775" s="185"/>
      <c r="K775" s="207"/>
    </row>
    <row r="776" ht="15.75" customHeight="1">
      <c r="B776" s="181"/>
      <c r="E776" s="183"/>
      <c r="F776" s="183"/>
      <c r="G776" s="183"/>
      <c r="H776" s="182"/>
      <c r="I776" s="171"/>
      <c r="J776" s="185"/>
      <c r="K776" s="207"/>
    </row>
    <row r="777" ht="15.75" customHeight="1">
      <c r="B777" s="181"/>
      <c r="E777" s="183"/>
      <c r="F777" s="183"/>
      <c r="G777" s="183"/>
      <c r="H777" s="182"/>
      <c r="I777" s="171"/>
      <c r="J777" s="185"/>
      <c r="K777" s="207"/>
    </row>
    <row r="778" ht="15.75" customHeight="1">
      <c r="B778" s="181"/>
      <c r="E778" s="183"/>
      <c r="F778" s="183"/>
      <c r="G778" s="183"/>
      <c r="H778" s="182"/>
      <c r="I778" s="171"/>
      <c r="J778" s="185"/>
      <c r="K778" s="207"/>
    </row>
    <row r="779" ht="15.75" customHeight="1">
      <c r="B779" s="181"/>
      <c r="E779" s="183"/>
      <c r="F779" s="183"/>
      <c r="G779" s="183"/>
      <c r="H779" s="182"/>
      <c r="I779" s="171"/>
      <c r="J779" s="185"/>
      <c r="K779" s="207"/>
    </row>
    <row r="780" ht="15.75" customHeight="1">
      <c r="B780" s="181"/>
      <c r="E780" s="183"/>
      <c r="F780" s="183"/>
      <c r="G780" s="183"/>
      <c r="H780" s="182"/>
      <c r="I780" s="171"/>
      <c r="J780" s="185"/>
      <c r="K780" s="207"/>
    </row>
    <row r="781" ht="15.75" customHeight="1">
      <c r="B781" s="181"/>
      <c r="E781" s="183"/>
      <c r="F781" s="183"/>
      <c r="G781" s="183"/>
      <c r="H781" s="182"/>
      <c r="I781" s="171"/>
      <c r="J781" s="185"/>
      <c r="K781" s="207"/>
    </row>
    <row r="782" ht="15.75" customHeight="1">
      <c r="B782" s="181"/>
      <c r="E782" s="183"/>
      <c r="F782" s="183"/>
      <c r="G782" s="183"/>
      <c r="H782" s="182"/>
      <c r="I782" s="171"/>
      <c r="J782" s="185"/>
      <c r="K782" s="207"/>
    </row>
    <row r="783" ht="15.75" customHeight="1">
      <c r="B783" s="181"/>
      <c r="E783" s="183"/>
      <c r="F783" s="183"/>
      <c r="G783" s="183"/>
      <c r="H783" s="182"/>
      <c r="I783" s="171"/>
      <c r="J783" s="185"/>
      <c r="K783" s="207"/>
    </row>
    <row r="784" ht="15.75" customHeight="1">
      <c r="B784" s="181"/>
      <c r="E784" s="183"/>
      <c r="F784" s="183"/>
      <c r="G784" s="183"/>
      <c r="H784" s="182"/>
      <c r="I784" s="171"/>
      <c r="J784" s="185"/>
      <c r="K784" s="207"/>
    </row>
    <row r="785" ht="15.75" customHeight="1">
      <c r="B785" s="181"/>
      <c r="E785" s="183"/>
      <c r="F785" s="183"/>
      <c r="G785" s="183"/>
      <c r="H785" s="182"/>
      <c r="I785" s="171"/>
      <c r="J785" s="185"/>
      <c r="K785" s="207"/>
    </row>
    <row r="786" ht="15.75" customHeight="1">
      <c r="B786" s="181"/>
      <c r="E786" s="183"/>
      <c r="F786" s="183"/>
      <c r="G786" s="183"/>
      <c r="H786" s="182"/>
      <c r="I786" s="171"/>
      <c r="J786" s="185"/>
      <c r="K786" s="207"/>
    </row>
    <row r="787" ht="15.75" customHeight="1">
      <c r="B787" s="181"/>
      <c r="E787" s="183"/>
      <c r="F787" s="183"/>
      <c r="G787" s="183"/>
      <c r="H787" s="182"/>
      <c r="I787" s="171"/>
      <c r="J787" s="185"/>
      <c r="K787" s="207"/>
    </row>
    <row r="788" ht="15.75" customHeight="1">
      <c r="B788" s="181"/>
      <c r="E788" s="183"/>
      <c r="F788" s="183"/>
      <c r="G788" s="183"/>
      <c r="H788" s="182"/>
      <c r="I788" s="171"/>
      <c r="J788" s="185"/>
      <c r="K788" s="207"/>
    </row>
    <row r="789" ht="15.75" customHeight="1">
      <c r="B789" s="181"/>
      <c r="E789" s="183"/>
      <c r="F789" s="183"/>
      <c r="G789" s="183"/>
      <c r="H789" s="182"/>
      <c r="I789" s="171"/>
      <c r="J789" s="185"/>
      <c r="K789" s="207"/>
    </row>
    <row r="790" ht="15.75" customHeight="1">
      <c r="B790" s="181"/>
      <c r="E790" s="183"/>
      <c r="F790" s="183"/>
      <c r="G790" s="183"/>
      <c r="H790" s="182"/>
      <c r="I790" s="171"/>
      <c r="J790" s="185"/>
      <c r="K790" s="207"/>
    </row>
    <row r="791" ht="15.75" customHeight="1">
      <c r="B791" s="181"/>
      <c r="E791" s="183"/>
      <c r="F791" s="183"/>
      <c r="G791" s="183"/>
      <c r="H791" s="182"/>
      <c r="I791" s="171"/>
      <c r="J791" s="185"/>
      <c r="K791" s="207"/>
    </row>
    <row r="792" ht="15.75" customHeight="1">
      <c r="B792" s="181"/>
      <c r="E792" s="183"/>
      <c r="F792" s="183"/>
      <c r="G792" s="183"/>
      <c r="H792" s="182"/>
      <c r="I792" s="171"/>
      <c r="J792" s="185"/>
      <c r="K792" s="207"/>
    </row>
    <row r="793" ht="15.75" customHeight="1">
      <c r="B793" s="181"/>
      <c r="E793" s="183"/>
      <c r="F793" s="183"/>
      <c r="G793" s="183"/>
      <c r="H793" s="182"/>
      <c r="I793" s="171"/>
      <c r="J793" s="185"/>
      <c r="K793" s="207"/>
    </row>
    <row r="794" ht="15.75" customHeight="1">
      <c r="B794" s="181"/>
      <c r="E794" s="183"/>
      <c r="F794" s="183"/>
      <c r="G794" s="183"/>
      <c r="H794" s="182"/>
      <c r="I794" s="171"/>
      <c r="J794" s="185"/>
      <c r="K794" s="207"/>
    </row>
    <row r="795" ht="15.75" customHeight="1">
      <c r="B795" s="181"/>
      <c r="E795" s="183"/>
      <c r="F795" s="183"/>
      <c r="G795" s="183"/>
      <c r="H795" s="182"/>
      <c r="I795" s="171"/>
      <c r="J795" s="185"/>
      <c r="K795" s="207"/>
    </row>
    <row r="796" ht="15.75" customHeight="1">
      <c r="B796" s="181"/>
      <c r="E796" s="183"/>
      <c r="F796" s="183"/>
      <c r="G796" s="183"/>
      <c r="H796" s="182"/>
      <c r="I796" s="171"/>
      <c r="J796" s="185"/>
      <c r="K796" s="207"/>
    </row>
    <row r="797" ht="15.75" customHeight="1">
      <c r="B797" s="181"/>
      <c r="E797" s="183"/>
      <c r="F797" s="183"/>
      <c r="G797" s="183"/>
      <c r="H797" s="182"/>
      <c r="I797" s="171"/>
      <c r="J797" s="185"/>
      <c r="K797" s="207"/>
    </row>
    <row r="798" ht="15.75" customHeight="1">
      <c r="B798" s="181"/>
      <c r="E798" s="183"/>
      <c r="F798" s="183"/>
      <c r="G798" s="183"/>
      <c r="H798" s="182"/>
      <c r="I798" s="171"/>
      <c r="J798" s="185"/>
      <c r="K798" s="207"/>
    </row>
    <row r="799" ht="15.75" customHeight="1">
      <c r="B799" s="181"/>
      <c r="E799" s="183"/>
      <c r="F799" s="183"/>
      <c r="G799" s="183"/>
      <c r="H799" s="182"/>
      <c r="I799" s="171"/>
      <c r="J799" s="185"/>
      <c r="K799" s="207"/>
    </row>
    <row r="800" ht="15.75" customHeight="1">
      <c r="B800" s="181"/>
      <c r="E800" s="183"/>
      <c r="F800" s="183"/>
      <c r="G800" s="183"/>
      <c r="H800" s="182"/>
      <c r="I800" s="171"/>
      <c r="J800" s="185"/>
      <c r="K800" s="207"/>
    </row>
    <row r="801" ht="15.75" customHeight="1">
      <c r="B801" s="181"/>
      <c r="E801" s="183"/>
      <c r="F801" s="183"/>
      <c r="G801" s="183"/>
      <c r="H801" s="182"/>
      <c r="I801" s="171"/>
      <c r="J801" s="185"/>
      <c r="K801" s="207"/>
    </row>
    <row r="802" ht="15.75" customHeight="1">
      <c r="B802" s="181"/>
      <c r="E802" s="183"/>
      <c r="F802" s="183"/>
      <c r="G802" s="183"/>
      <c r="H802" s="182"/>
      <c r="I802" s="171"/>
      <c r="J802" s="185"/>
      <c r="K802" s="207"/>
    </row>
    <row r="803" ht="15.75" customHeight="1">
      <c r="B803" s="181"/>
      <c r="E803" s="183"/>
      <c r="F803" s="183"/>
      <c r="G803" s="183"/>
      <c r="H803" s="182"/>
      <c r="I803" s="171"/>
      <c r="J803" s="185"/>
      <c r="K803" s="207"/>
    </row>
    <row r="804" ht="15.75" customHeight="1">
      <c r="B804" s="181"/>
      <c r="E804" s="183"/>
      <c r="F804" s="183"/>
      <c r="G804" s="183"/>
      <c r="H804" s="182"/>
      <c r="I804" s="171"/>
      <c r="J804" s="185"/>
      <c r="K804" s="207"/>
    </row>
    <row r="805" ht="15.75" customHeight="1">
      <c r="B805" s="181"/>
      <c r="E805" s="183"/>
      <c r="F805" s="183"/>
      <c r="G805" s="183"/>
      <c r="H805" s="182"/>
      <c r="I805" s="171"/>
      <c r="J805" s="185"/>
      <c r="K805" s="207"/>
    </row>
    <row r="806" ht="15.75" customHeight="1">
      <c r="B806" s="181"/>
      <c r="E806" s="183"/>
      <c r="F806" s="183"/>
      <c r="G806" s="183"/>
      <c r="H806" s="182"/>
      <c r="I806" s="171"/>
      <c r="J806" s="185"/>
      <c r="K806" s="207"/>
    </row>
    <row r="807" ht="15.75" customHeight="1">
      <c r="B807" s="181"/>
      <c r="E807" s="183"/>
      <c r="F807" s="183"/>
      <c r="G807" s="183"/>
      <c r="H807" s="182"/>
      <c r="I807" s="171"/>
      <c r="J807" s="185"/>
      <c r="K807" s="207"/>
    </row>
    <row r="808" ht="15.75" customHeight="1">
      <c r="B808" s="181"/>
      <c r="E808" s="183"/>
      <c r="F808" s="183"/>
      <c r="G808" s="183"/>
      <c r="H808" s="182"/>
      <c r="I808" s="171"/>
      <c r="J808" s="185"/>
      <c r="K808" s="207"/>
    </row>
    <row r="809" ht="15.75" customHeight="1">
      <c r="B809" s="181"/>
      <c r="E809" s="183"/>
      <c r="F809" s="183"/>
      <c r="G809" s="183"/>
      <c r="H809" s="182"/>
      <c r="I809" s="171"/>
      <c r="J809" s="185"/>
      <c r="K809" s="207"/>
    </row>
    <row r="810" ht="15.75" customHeight="1">
      <c r="B810" s="181"/>
      <c r="E810" s="183"/>
      <c r="F810" s="183"/>
      <c r="G810" s="183"/>
      <c r="H810" s="182"/>
      <c r="I810" s="171"/>
      <c r="J810" s="185"/>
      <c r="K810" s="207"/>
    </row>
    <row r="811" ht="15.75" customHeight="1">
      <c r="B811" s="181"/>
      <c r="E811" s="183"/>
      <c r="F811" s="183"/>
      <c r="G811" s="183"/>
      <c r="H811" s="182"/>
      <c r="I811" s="171"/>
      <c r="J811" s="185"/>
      <c r="K811" s="207"/>
    </row>
    <row r="812" ht="15.75" customHeight="1">
      <c r="B812" s="181"/>
      <c r="E812" s="183"/>
      <c r="F812" s="183"/>
      <c r="G812" s="183"/>
      <c r="H812" s="182"/>
      <c r="I812" s="171"/>
      <c r="J812" s="185"/>
      <c r="K812" s="207"/>
    </row>
    <row r="813" ht="15.75" customHeight="1">
      <c r="B813" s="181"/>
      <c r="E813" s="183"/>
      <c r="F813" s="183"/>
      <c r="G813" s="183"/>
      <c r="H813" s="182"/>
      <c r="I813" s="171"/>
      <c r="J813" s="185"/>
      <c r="K813" s="207"/>
    </row>
    <row r="814" ht="15.75" customHeight="1">
      <c r="B814" s="181"/>
      <c r="E814" s="183"/>
      <c r="F814" s="183"/>
      <c r="G814" s="183"/>
      <c r="H814" s="182"/>
      <c r="I814" s="171"/>
      <c r="J814" s="185"/>
      <c r="K814" s="207"/>
    </row>
    <row r="815" ht="15.75" customHeight="1">
      <c r="B815" s="181"/>
      <c r="E815" s="183"/>
      <c r="F815" s="183"/>
      <c r="G815" s="183"/>
      <c r="H815" s="182"/>
      <c r="I815" s="171"/>
      <c r="J815" s="185"/>
      <c r="K815" s="207"/>
    </row>
    <row r="816" ht="15.75" customHeight="1">
      <c r="B816" s="181"/>
      <c r="E816" s="183"/>
      <c r="F816" s="183"/>
      <c r="G816" s="183"/>
      <c r="H816" s="182"/>
      <c r="I816" s="171"/>
      <c r="J816" s="185"/>
      <c r="K816" s="207"/>
    </row>
    <row r="817" ht="15.75" customHeight="1">
      <c r="B817" s="181"/>
      <c r="E817" s="183"/>
      <c r="F817" s="183"/>
      <c r="G817" s="183"/>
      <c r="H817" s="182"/>
      <c r="I817" s="171"/>
      <c r="J817" s="185"/>
      <c r="K817" s="207"/>
    </row>
    <row r="818" ht="15.75" customHeight="1">
      <c r="B818" s="181"/>
      <c r="E818" s="183"/>
      <c r="F818" s="183"/>
      <c r="G818" s="183"/>
      <c r="H818" s="182"/>
      <c r="I818" s="171"/>
      <c r="J818" s="185"/>
      <c r="K818" s="207"/>
    </row>
    <row r="819" ht="15.75" customHeight="1">
      <c r="B819" s="181"/>
      <c r="E819" s="183"/>
      <c r="F819" s="183"/>
      <c r="G819" s="183"/>
      <c r="H819" s="182"/>
      <c r="I819" s="171"/>
      <c r="J819" s="185"/>
      <c r="K819" s="207"/>
    </row>
    <row r="820" ht="15.75" customHeight="1">
      <c r="B820" s="181"/>
      <c r="E820" s="183"/>
      <c r="F820" s="183"/>
      <c r="G820" s="183"/>
      <c r="H820" s="182"/>
      <c r="I820" s="171"/>
      <c r="J820" s="185"/>
      <c r="K820" s="207"/>
    </row>
    <row r="821" ht="15.75" customHeight="1">
      <c r="B821" s="181"/>
      <c r="E821" s="183"/>
      <c r="F821" s="183"/>
      <c r="G821" s="183"/>
      <c r="H821" s="182"/>
      <c r="I821" s="171"/>
      <c r="J821" s="185"/>
      <c r="K821" s="207"/>
    </row>
    <row r="822" ht="15.75" customHeight="1">
      <c r="B822" s="181"/>
      <c r="E822" s="183"/>
      <c r="F822" s="183"/>
      <c r="G822" s="183"/>
      <c r="H822" s="182"/>
      <c r="I822" s="171"/>
      <c r="J822" s="185"/>
      <c r="K822" s="207"/>
    </row>
    <row r="823" ht="15.75" customHeight="1">
      <c r="B823" s="181"/>
      <c r="E823" s="183"/>
      <c r="F823" s="183"/>
      <c r="G823" s="183"/>
      <c r="H823" s="182"/>
      <c r="I823" s="171"/>
      <c r="J823" s="185"/>
      <c r="K823" s="207"/>
    </row>
    <row r="824" ht="15.75" customHeight="1">
      <c r="B824" s="181"/>
      <c r="E824" s="183"/>
      <c r="F824" s="183"/>
      <c r="G824" s="183"/>
      <c r="H824" s="182"/>
      <c r="I824" s="171"/>
      <c r="J824" s="185"/>
      <c r="K824" s="207"/>
    </row>
    <row r="825" ht="15.75" customHeight="1">
      <c r="B825" s="181"/>
      <c r="E825" s="183"/>
      <c r="F825" s="183"/>
      <c r="G825" s="183"/>
      <c r="H825" s="182"/>
      <c r="I825" s="171"/>
      <c r="J825" s="185"/>
      <c r="K825" s="207"/>
    </row>
    <row r="826" ht="15.75" customHeight="1">
      <c r="B826" s="181"/>
      <c r="E826" s="183"/>
      <c r="F826" s="183"/>
      <c r="G826" s="183"/>
      <c r="H826" s="182"/>
      <c r="I826" s="171"/>
      <c r="J826" s="185"/>
      <c r="K826" s="207"/>
    </row>
    <row r="827" ht="15.75" customHeight="1">
      <c r="B827" s="181"/>
      <c r="E827" s="183"/>
      <c r="F827" s="183"/>
      <c r="G827" s="183"/>
      <c r="H827" s="182"/>
      <c r="I827" s="171"/>
      <c r="J827" s="185"/>
      <c r="K827" s="207"/>
    </row>
    <row r="828" ht="15.75" customHeight="1">
      <c r="B828" s="181"/>
      <c r="E828" s="183"/>
      <c r="F828" s="183"/>
      <c r="G828" s="183"/>
      <c r="H828" s="182"/>
      <c r="I828" s="171"/>
      <c r="J828" s="185"/>
      <c r="K828" s="207"/>
    </row>
    <row r="829" ht="15.75" customHeight="1">
      <c r="B829" s="181"/>
      <c r="E829" s="183"/>
      <c r="F829" s="183"/>
      <c r="G829" s="183"/>
      <c r="H829" s="182"/>
      <c r="I829" s="171"/>
      <c r="J829" s="185"/>
      <c r="K829" s="207"/>
    </row>
    <row r="830" ht="15.75" customHeight="1">
      <c r="B830" s="181"/>
      <c r="E830" s="183"/>
      <c r="F830" s="183"/>
      <c r="G830" s="183"/>
      <c r="H830" s="182"/>
      <c r="I830" s="171"/>
      <c r="J830" s="185"/>
      <c r="K830" s="207"/>
    </row>
    <row r="831" ht="15.75" customHeight="1">
      <c r="B831" s="181"/>
      <c r="E831" s="183"/>
      <c r="F831" s="183"/>
      <c r="G831" s="183"/>
      <c r="H831" s="182"/>
      <c r="I831" s="171"/>
      <c r="J831" s="185"/>
      <c r="K831" s="207"/>
    </row>
    <row r="832" ht="15.75" customHeight="1">
      <c r="B832" s="181"/>
      <c r="E832" s="183"/>
      <c r="F832" s="183"/>
      <c r="G832" s="183"/>
      <c r="H832" s="182"/>
      <c r="I832" s="171"/>
      <c r="J832" s="185"/>
      <c r="K832" s="207"/>
    </row>
    <row r="833" ht="15.75" customHeight="1">
      <c r="B833" s="181"/>
      <c r="E833" s="183"/>
      <c r="F833" s="183"/>
      <c r="G833" s="183"/>
      <c r="H833" s="182"/>
      <c r="I833" s="171"/>
      <c r="J833" s="185"/>
      <c r="K833" s="207"/>
    </row>
    <row r="834" ht="15.75" customHeight="1">
      <c r="B834" s="181"/>
      <c r="E834" s="183"/>
      <c r="F834" s="183"/>
      <c r="G834" s="183"/>
      <c r="H834" s="182"/>
      <c r="I834" s="171"/>
      <c r="J834" s="185"/>
      <c r="K834" s="207"/>
    </row>
    <row r="835" ht="15.75" customHeight="1">
      <c r="B835" s="181"/>
      <c r="E835" s="183"/>
      <c r="F835" s="183"/>
      <c r="G835" s="183"/>
      <c r="H835" s="182"/>
      <c r="I835" s="171"/>
      <c r="J835" s="185"/>
      <c r="K835" s="207"/>
    </row>
    <row r="836" ht="15.75" customHeight="1">
      <c r="B836" s="181"/>
      <c r="E836" s="183"/>
      <c r="F836" s="183"/>
      <c r="G836" s="183"/>
      <c r="H836" s="182"/>
      <c r="I836" s="171"/>
      <c r="J836" s="185"/>
      <c r="K836" s="207"/>
    </row>
    <row r="837" ht="15.75" customHeight="1">
      <c r="B837" s="181"/>
      <c r="E837" s="183"/>
      <c r="F837" s="183"/>
      <c r="G837" s="183"/>
      <c r="H837" s="182"/>
      <c r="I837" s="171"/>
      <c r="J837" s="185"/>
      <c r="K837" s="207"/>
    </row>
    <row r="838" ht="15.75" customHeight="1">
      <c r="B838" s="181"/>
      <c r="E838" s="183"/>
      <c r="F838" s="183"/>
      <c r="G838" s="183"/>
      <c r="H838" s="182"/>
      <c r="I838" s="171"/>
      <c r="J838" s="185"/>
      <c r="K838" s="207"/>
    </row>
    <row r="839" ht="15.75" customHeight="1">
      <c r="B839" s="181"/>
      <c r="E839" s="183"/>
      <c r="F839" s="183"/>
      <c r="G839" s="183"/>
      <c r="H839" s="182"/>
      <c r="I839" s="171"/>
      <c r="J839" s="185"/>
      <c r="K839" s="207"/>
    </row>
    <row r="840" ht="15.75" customHeight="1">
      <c r="B840" s="181"/>
      <c r="E840" s="183"/>
      <c r="F840" s="183"/>
      <c r="G840" s="183"/>
      <c r="H840" s="182"/>
      <c r="I840" s="171"/>
      <c r="J840" s="185"/>
      <c r="K840" s="207"/>
    </row>
    <row r="841" ht="15.75" customHeight="1">
      <c r="B841" s="181"/>
      <c r="E841" s="183"/>
      <c r="F841" s="183"/>
      <c r="G841" s="183"/>
      <c r="H841" s="182"/>
      <c r="I841" s="171"/>
      <c r="J841" s="185"/>
      <c r="K841" s="207"/>
    </row>
    <row r="842" ht="15.75" customHeight="1">
      <c r="B842" s="181"/>
      <c r="E842" s="183"/>
      <c r="F842" s="183"/>
      <c r="G842" s="183"/>
      <c r="H842" s="182"/>
      <c r="I842" s="171"/>
      <c r="J842" s="185"/>
      <c r="K842" s="207"/>
    </row>
    <row r="843" ht="15.75" customHeight="1">
      <c r="B843" s="181"/>
      <c r="E843" s="183"/>
      <c r="F843" s="183"/>
      <c r="G843" s="183"/>
      <c r="H843" s="182"/>
      <c r="I843" s="171"/>
      <c r="J843" s="185"/>
      <c r="K843" s="207"/>
    </row>
    <row r="844" ht="15.75" customHeight="1">
      <c r="B844" s="181"/>
      <c r="E844" s="183"/>
      <c r="F844" s="183"/>
      <c r="G844" s="183"/>
      <c r="H844" s="182"/>
      <c r="I844" s="171"/>
      <c r="J844" s="185"/>
      <c r="K844" s="207"/>
    </row>
    <row r="845" ht="15.75" customHeight="1">
      <c r="B845" s="181"/>
      <c r="E845" s="183"/>
      <c r="F845" s="183"/>
      <c r="G845" s="183"/>
      <c r="H845" s="182"/>
      <c r="I845" s="171"/>
      <c r="J845" s="185"/>
      <c r="K845" s="207"/>
    </row>
    <row r="846" ht="15.75" customHeight="1">
      <c r="B846" s="181"/>
      <c r="E846" s="183"/>
      <c r="F846" s="183"/>
      <c r="G846" s="183"/>
      <c r="H846" s="182"/>
      <c r="I846" s="171"/>
      <c r="J846" s="185"/>
      <c r="K846" s="207"/>
    </row>
    <row r="847" ht="15.75" customHeight="1">
      <c r="B847" s="181"/>
      <c r="E847" s="183"/>
      <c r="F847" s="183"/>
      <c r="G847" s="183"/>
      <c r="H847" s="182"/>
      <c r="I847" s="171"/>
      <c r="J847" s="185"/>
      <c r="K847" s="207"/>
    </row>
    <row r="848" ht="15.75" customHeight="1">
      <c r="B848" s="181"/>
      <c r="E848" s="183"/>
      <c r="F848" s="183"/>
      <c r="G848" s="183"/>
      <c r="H848" s="182"/>
      <c r="I848" s="171"/>
      <c r="J848" s="185"/>
      <c r="K848" s="207"/>
    </row>
    <row r="849" ht="15.75" customHeight="1">
      <c r="B849" s="181"/>
      <c r="E849" s="183"/>
      <c r="F849" s="183"/>
      <c r="G849" s="183"/>
      <c r="H849" s="182"/>
      <c r="I849" s="171"/>
      <c r="J849" s="185"/>
      <c r="K849" s="207"/>
    </row>
    <row r="850" ht="15.75" customHeight="1">
      <c r="B850" s="181"/>
      <c r="E850" s="183"/>
      <c r="F850" s="183"/>
      <c r="G850" s="183"/>
      <c r="H850" s="182"/>
      <c r="I850" s="171"/>
      <c r="J850" s="185"/>
      <c r="K850" s="207"/>
    </row>
    <row r="851" ht="15.75" customHeight="1">
      <c r="B851" s="181"/>
      <c r="E851" s="183"/>
      <c r="F851" s="183"/>
      <c r="G851" s="183"/>
      <c r="H851" s="182"/>
      <c r="I851" s="171"/>
      <c r="J851" s="185"/>
      <c r="K851" s="207"/>
    </row>
    <row r="852" ht="15.75" customHeight="1">
      <c r="B852" s="181"/>
      <c r="E852" s="183"/>
      <c r="F852" s="183"/>
      <c r="G852" s="183"/>
      <c r="H852" s="182"/>
      <c r="I852" s="171"/>
      <c r="J852" s="185"/>
      <c r="K852" s="207"/>
    </row>
    <row r="853" ht="15.75" customHeight="1">
      <c r="B853" s="181"/>
      <c r="E853" s="183"/>
      <c r="F853" s="183"/>
      <c r="G853" s="183"/>
      <c r="H853" s="182"/>
      <c r="I853" s="171"/>
      <c r="J853" s="185"/>
      <c r="K853" s="207"/>
    </row>
    <row r="854" ht="15.75" customHeight="1">
      <c r="B854" s="181"/>
      <c r="E854" s="183"/>
      <c r="F854" s="183"/>
      <c r="G854" s="183"/>
      <c r="H854" s="182"/>
      <c r="I854" s="171"/>
      <c r="J854" s="185"/>
      <c r="K854" s="207"/>
    </row>
    <row r="855" ht="15.75" customHeight="1">
      <c r="B855" s="181"/>
      <c r="E855" s="183"/>
      <c r="F855" s="183"/>
      <c r="G855" s="183"/>
      <c r="H855" s="182"/>
      <c r="I855" s="171"/>
      <c r="J855" s="185"/>
      <c r="K855" s="207"/>
    </row>
    <row r="856" ht="15.75" customHeight="1">
      <c r="B856" s="181"/>
      <c r="E856" s="183"/>
      <c r="F856" s="183"/>
      <c r="G856" s="183"/>
      <c r="H856" s="182"/>
      <c r="I856" s="171"/>
      <c r="J856" s="185"/>
      <c r="K856" s="207"/>
    </row>
    <row r="857" ht="15.75" customHeight="1">
      <c r="B857" s="181"/>
      <c r="E857" s="183"/>
      <c r="F857" s="183"/>
      <c r="G857" s="183"/>
      <c r="H857" s="182"/>
      <c r="I857" s="171"/>
      <c r="J857" s="185"/>
      <c r="K857" s="207"/>
    </row>
    <row r="858" ht="15.75" customHeight="1">
      <c r="B858" s="181"/>
      <c r="E858" s="183"/>
      <c r="F858" s="183"/>
      <c r="G858" s="183"/>
      <c r="H858" s="182"/>
      <c r="I858" s="171"/>
      <c r="J858" s="185"/>
      <c r="K858" s="207"/>
    </row>
    <row r="859" ht="15.75" customHeight="1">
      <c r="B859" s="181"/>
      <c r="E859" s="183"/>
      <c r="F859" s="183"/>
      <c r="G859" s="183"/>
      <c r="H859" s="182"/>
      <c r="I859" s="171"/>
      <c r="J859" s="185"/>
      <c r="K859" s="207"/>
    </row>
    <row r="860" ht="15.75" customHeight="1">
      <c r="B860" s="181"/>
      <c r="E860" s="183"/>
      <c r="F860" s="183"/>
      <c r="G860" s="183"/>
      <c r="H860" s="182"/>
      <c r="I860" s="171"/>
      <c r="J860" s="185"/>
      <c r="K860" s="207"/>
    </row>
    <row r="861" ht="15.75" customHeight="1">
      <c r="B861" s="181"/>
      <c r="E861" s="183"/>
      <c r="F861" s="183"/>
      <c r="G861" s="183"/>
      <c r="H861" s="182"/>
      <c r="I861" s="171"/>
      <c r="J861" s="185"/>
      <c r="K861" s="207"/>
    </row>
    <row r="862" ht="15.75" customHeight="1">
      <c r="B862" s="181"/>
      <c r="E862" s="183"/>
      <c r="F862" s="183"/>
      <c r="G862" s="183"/>
      <c r="H862" s="182"/>
      <c r="I862" s="171"/>
      <c r="J862" s="185"/>
      <c r="K862" s="207"/>
    </row>
    <row r="863" ht="15.75" customHeight="1">
      <c r="B863" s="181"/>
      <c r="E863" s="183"/>
      <c r="F863" s="183"/>
      <c r="G863" s="183"/>
      <c r="H863" s="182"/>
      <c r="I863" s="171"/>
      <c r="J863" s="185"/>
      <c r="K863" s="207"/>
    </row>
    <row r="864" ht="15.75" customHeight="1">
      <c r="B864" s="181"/>
      <c r="E864" s="183"/>
      <c r="F864" s="183"/>
      <c r="G864" s="183"/>
      <c r="H864" s="182"/>
      <c r="I864" s="171"/>
      <c r="J864" s="185"/>
      <c r="K864" s="207"/>
    </row>
    <row r="865" ht="15.75" customHeight="1">
      <c r="B865" s="181"/>
      <c r="E865" s="183"/>
      <c r="F865" s="183"/>
      <c r="G865" s="183"/>
      <c r="H865" s="182"/>
      <c r="I865" s="171"/>
      <c r="J865" s="185"/>
      <c r="K865" s="207"/>
    </row>
    <row r="866" ht="15.75" customHeight="1">
      <c r="B866" s="181"/>
      <c r="E866" s="183"/>
      <c r="F866" s="183"/>
      <c r="G866" s="183"/>
      <c r="H866" s="182"/>
      <c r="I866" s="171"/>
      <c r="J866" s="185"/>
      <c r="K866" s="207"/>
    </row>
    <row r="867" ht="15.75" customHeight="1">
      <c r="B867" s="181"/>
      <c r="E867" s="183"/>
      <c r="F867" s="183"/>
      <c r="G867" s="183"/>
      <c r="H867" s="182"/>
      <c r="I867" s="171"/>
      <c r="J867" s="185"/>
      <c r="K867" s="207"/>
    </row>
    <row r="868" ht="15.75" customHeight="1">
      <c r="B868" s="181"/>
      <c r="E868" s="183"/>
      <c r="F868" s="183"/>
      <c r="G868" s="183"/>
      <c r="H868" s="182"/>
      <c r="I868" s="171"/>
      <c r="J868" s="185"/>
      <c r="K868" s="207"/>
    </row>
    <row r="869" ht="15.75" customHeight="1">
      <c r="B869" s="181"/>
      <c r="E869" s="183"/>
      <c r="F869" s="183"/>
      <c r="G869" s="183"/>
      <c r="H869" s="182"/>
      <c r="I869" s="171"/>
      <c r="J869" s="185"/>
      <c r="K869" s="207"/>
    </row>
    <row r="870" ht="15.75" customHeight="1">
      <c r="B870" s="181"/>
      <c r="E870" s="183"/>
      <c r="F870" s="183"/>
      <c r="G870" s="183"/>
      <c r="H870" s="182"/>
      <c r="I870" s="171"/>
      <c r="J870" s="185"/>
      <c r="K870" s="207"/>
    </row>
    <row r="871" ht="15.75" customHeight="1">
      <c r="B871" s="181"/>
      <c r="E871" s="183"/>
      <c r="F871" s="183"/>
      <c r="G871" s="183"/>
      <c r="H871" s="182"/>
      <c r="I871" s="171"/>
      <c r="J871" s="185"/>
      <c r="K871" s="207"/>
    </row>
    <row r="872" ht="15.75" customHeight="1">
      <c r="B872" s="181"/>
      <c r="E872" s="183"/>
      <c r="F872" s="183"/>
      <c r="G872" s="183"/>
      <c r="H872" s="182"/>
      <c r="I872" s="171"/>
      <c r="J872" s="185"/>
      <c r="K872" s="207"/>
    </row>
    <row r="873" ht="15.75" customHeight="1">
      <c r="B873" s="181"/>
      <c r="E873" s="183"/>
      <c r="F873" s="183"/>
      <c r="G873" s="183"/>
      <c r="H873" s="182"/>
      <c r="I873" s="171"/>
      <c r="J873" s="185"/>
      <c r="K873" s="207"/>
    </row>
    <row r="874" ht="15.75" customHeight="1">
      <c r="B874" s="181"/>
      <c r="E874" s="183"/>
      <c r="F874" s="183"/>
      <c r="G874" s="183"/>
      <c r="H874" s="182"/>
      <c r="I874" s="171"/>
      <c r="J874" s="185"/>
      <c r="K874" s="207"/>
    </row>
    <row r="875" ht="15.75" customHeight="1">
      <c r="B875" s="181"/>
      <c r="E875" s="183"/>
      <c r="F875" s="183"/>
      <c r="G875" s="183"/>
      <c r="H875" s="182"/>
      <c r="I875" s="171"/>
      <c r="J875" s="185"/>
      <c r="K875" s="207"/>
    </row>
    <row r="876" ht="15.75" customHeight="1">
      <c r="B876" s="181"/>
      <c r="E876" s="183"/>
      <c r="F876" s="183"/>
      <c r="G876" s="183"/>
      <c r="H876" s="182"/>
      <c r="I876" s="171"/>
      <c r="J876" s="185"/>
      <c r="K876" s="207"/>
    </row>
    <row r="877" ht="15.75" customHeight="1">
      <c r="B877" s="181"/>
      <c r="E877" s="183"/>
      <c r="F877" s="183"/>
      <c r="G877" s="183"/>
      <c r="H877" s="182"/>
      <c r="I877" s="171"/>
      <c r="J877" s="185"/>
      <c r="K877" s="207"/>
    </row>
    <row r="878" ht="15.75" customHeight="1">
      <c r="B878" s="181"/>
      <c r="E878" s="183"/>
      <c r="F878" s="183"/>
      <c r="G878" s="183"/>
      <c r="H878" s="182"/>
      <c r="I878" s="171"/>
      <c r="J878" s="185"/>
      <c r="K878" s="207"/>
    </row>
    <row r="879" ht="15.75" customHeight="1">
      <c r="B879" s="181"/>
      <c r="E879" s="183"/>
      <c r="F879" s="183"/>
      <c r="G879" s="183"/>
      <c r="H879" s="182"/>
      <c r="I879" s="171"/>
      <c r="J879" s="185"/>
      <c r="K879" s="207"/>
    </row>
    <row r="880" ht="15.75" customHeight="1">
      <c r="B880" s="181"/>
      <c r="E880" s="183"/>
      <c r="F880" s="183"/>
      <c r="G880" s="183"/>
      <c r="H880" s="182"/>
      <c r="I880" s="171"/>
      <c r="J880" s="185"/>
      <c r="K880" s="207"/>
    </row>
    <row r="881" ht="15.75" customHeight="1">
      <c r="B881" s="181"/>
      <c r="E881" s="183"/>
      <c r="F881" s="183"/>
      <c r="G881" s="183"/>
      <c r="H881" s="182"/>
      <c r="I881" s="171"/>
      <c r="J881" s="185"/>
      <c r="K881" s="207"/>
    </row>
    <row r="882" ht="15.75" customHeight="1">
      <c r="B882" s="181"/>
      <c r="E882" s="183"/>
      <c r="F882" s="183"/>
      <c r="G882" s="183"/>
      <c r="H882" s="182"/>
      <c r="I882" s="171"/>
      <c r="J882" s="185"/>
      <c r="K882" s="207"/>
    </row>
    <row r="883" ht="15.75" customHeight="1">
      <c r="B883" s="181"/>
      <c r="E883" s="183"/>
      <c r="F883" s="183"/>
      <c r="G883" s="183"/>
      <c r="H883" s="182"/>
      <c r="I883" s="171"/>
      <c r="J883" s="185"/>
      <c r="K883" s="207"/>
    </row>
    <row r="884" ht="15.75" customHeight="1">
      <c r="B884" s="181"/>
      <c r="E884" s="183"/>
      <c r="F884" s="183"/>
      <c r="G884" s="183"/>
      <c r="H884" s="182"/>
      <c r="I884" s="171"/>
      <c r="J884" s="185"/>
      <c r="K884" s="207"/>
    </row>
    <row r="885" ht="15.75" customHeight="1">
      <c r="B885" s="181"/>
      <c r="E885" s="183"/>
      <c r="F885" s="183"/>
      <c r="G885" s="183"/>
      <c r="H885" s="182"/>
      <c r="I885" s="171"/>
      <c r="J885" s="185"/>
      <c r="K885" s="207"/>
    </row>
    <row r="886" ht="15.75" customHeight="1">
      <c r="B886" s="181"/>
      <c r="E886" s="183"/>
      <c r="F886" s="183"/>
      <c r="G886" s="183"/>
      <c r="H886" s="182"/>
      <c r="I886" s="171"/>
      <c r="J886" s="185"/>
      <c r="K886" s="207"/>
    </row>
    <row r="887" ht="15.75" customHeight="1">
      <c r="B887" s="181"/>
      <c r="E887" s="183"/>
      <c r="F887" s="183"/>
      <c r="G887" s="183"/>
      <c r="H887" s="182"/>
      <c r="I887" s="171"/>
      <c r="J887" s="185"/>
      <c r="K887" s="207"/>
    </row>
    <row r="888" ht="15.75" customHeight="1">
      <c r="B888" s="181"/>
      <c r="E888" s="183"/>
      <c r="F888" s="183"/>
      <c r="G888" s="183"/>
      <c r="H888" s="182"/>
      <c r="I888" s="171"/>
      <c r="J888" s="185"/>
      <c r="K888" s="207"/>
    </row>
    <row r="889" ht="15.75" customHeight="1">
      <c r="B889" s="181"/>
      <c r="E889" s="183"/>
      <c r="F889" s="183"/>
      <c r="G889" s="183"/>
      <c r="H889" s="182"/>
      <c r="I889" s="171"/>
      <c r="J889" s="185"/>
      <c r="K889" s="207"/>
    </row>
    <row r="890" ht="15.75" customHeight="1">
      <c r="B890" s="181"/>
      <c r="E890" s="183"/>
      <c r="F890" s="183"/>
      <c r="G890" s="183"/>
      <c r="H890" s="182"/>
      <c r="I890" s="171"/>
      <c r="J890" s="185"/>
      <c r="K890" s="207"/>
    </row>
    <row r="891" ht="15.75" customHeight="1">
      <c r="B891" s="181"/>
      <c r="E891" s="183"/>
      <c r="F891" s="183"/>
      <c r="G891" s="183"/>
      <c r="H891" s="182"/>
      <c r="I891" s="171"/>
      <c r="J891" s="185"/>
      <c r="K891" s="207"/>
    </row>
    <row r="892" ht="15.75" customHeight="1">
      <c r="B892" s="181"/>
      <c r="E892" s="183"/>
      <c r="F892" s="183"/>
      <c r="G892" s="183"/>
      <c r="H892" s="182"/>
      <c r="I892" s="171"/>
      <c r="J892" s="185"/>
      <c r="K892" s="207"/>
    </row>
    <row r="893" ht="15.75" customHeight="1">
      <c r="B893" s="181"/>
      <c r="E893" s="183"/>
      <c r="F893" s="183"/>
      <c r="G893" s="183"/>
      <c r="H893" s="182"/>
      <c r="I893" s="171"/>
      <c r="J893" s="185"/>
      <c r="K893" s="207"/>
    </row>
    <row r="894" ht="15.75" customHeight="1">
      <c r="B894" s="181"/>
      <c r="E894" s="183"/>
      <c r="F894" s="183"/>
      <c r="G894" s="183"/>
      <c r="H894" s="182"/>
      <c r="I894" s="171"/>
      <c r="J894" s="185"/>
      <c r="K894" s="207"/>
    </row>
    <row r="895" ht="15.75" customHeight="1">
      <c r="B895" s="181"/>
      <c r="E895" s="183"/>
      <c r="F895" s="183"/>
      <c r="G895" s="183"/>
      <c r="H895" s="182"/>
      <c r="I895" s="171"/>
      <c r="J895" s="185"/>
      <c r="K895" s="207"/>
    </row>
    <row r="896" ht="15.75" customHeight="1">
      <c r="B896" s="181"/>
      <c r="E896" s="183"/>
      <c r="F896" s="183"/>
      <c r="G896" s="183"/>
      <c r="H896" s="182"/>
      <c r="I896" s="171"/>
      <c r="J896" s="185"/>
      <c r="K896" s="207"/>
    </row>
    <row r="897" ht="15.75" customHeight="1">
      <c r="B897" s="181"/>
      <c r="E897" s="183"/>
      <c r="F897" s="183"/>
      <c r="G897" s="183"/>
      <c r="H897" s="182"/>
      <c r="I897" s="171"/>
      <c r="J897" s="185"/>
      <c r="K897" s="207"/>
    </row>
    <row r="898" ht="15.75" customHeight="1">
      <c r="B898" s="181"/>
      <c r="E898" s="183"/>
      <c r="F898" s="183"/>
      <c r="G898" s="183"/>
      <c r="H898" s="182"/>
      <c r="I898" s="171"/>
      <c r="J898" s="185"/>
      <c r="K898" s="207"/>
    </row>
    <row r="899" ht="15.75" customHeight="1">
      <c r="B899" s="181"/>
      <c r="E899" s="183"/>
      <c r="F899" s="183"/>
      <c r="G899" s="183"/>
      <c r="H899" s="182"/>
      <c r="I899" s="171"/>
      <c r="J899" s="185"/>
      <c r="K899" s="207"/>
    </row>
    <row r="900" ht="15.75" customHeight="1">
      <c r="B900" s="181"/>
      <c r="E900" s="183"/>
      <c r="F900" s="183"/>
      <c r="G900" s="183"/>
      <c r="H900" s="182"/>
      <c r="I900" s="171"/>
      <c r="J900" s="185"/>
      <c r="K900" s="207"/>
    </row>
    <row r="901" ht="15.75" customHeight="1">
      <c r="B901" s="181"/>
      <c r="E901" s="183"/>
      <c r="F901" s="183"/>
      <c r="G901" s="183"/>
      <c r="H901" s="182"/>
      <c r="I901" s="171"/>
      <c r="J901" s="185"/>
      <c r="K901" s="207"/>
    </row>
    <row r="902" ht="15.75" customHeight="1">
      <c r="B902" s="181"/>
      <c r="E902" s="183"/>
      <c r="F902" s="183"/>
      <c r="G902" s="183"/>
      <c r="H902" s="182"/>
      <c r="I902" s="171"/>
      <c r="J902" s="185"/>
      <c r="K902" s="207"/>
    </row>
    <row r="903" ht="15.75" customHeight="1">
      <c r="B903" s="181"/>
      <c r="E903" s="183"/>
      <c r="F903" s="183"/>
      <c r="G903" s="183"/>
      <c r="H903" s="182"/>
      <c r="I903" s="171"/>
      <c r="J903" s="185"/>
      <c r="K903" s="207"/>
    </row>
    <row r="904" ht="15.75" customHeight="1">
      <c r="B904" s="181"/>
      <c r="E904" s="183"/>
      <c r="F904" s="183"/>
      <c r="G904" s="183"/>
      <c r="H904" s="182"/>
      <c r="I904" s="171"/>
      <c r="J904" s="185"/>
      <c r="K904" s="207"/>
    </row>
    <row r="905" ht="15.75" customHeight="1">
      <c r="B905" s="181"/>
      <c r="E905" s="183"/>
      <c r="F905" s="183"/>
      <c r="G905" s="183"/>
      <c r="H905" s="182"/>
      <c r="I905" s="171"/>
      <c r="J905" s="185"/>
      <c r="K905" s="207"/>
    </row>
    <row r="906" ht="15.75" customHeight="1">
      <c r="B906" s="181"/>
      <c r="E906" s="183"/>
      <c r="F906" s="183"/>
      <c r="G906" s="183"/>
      <c r="H906" s="182"/>
      <c r="I906" s="171"/>
      <c r="J906" s="185"/>
      <c r="K906" s="207"/>
    </row>
    <row r="907" ht="15.75" customHeight="1">
      <c r="B907" s="181"/>
      <c r="E907" s="183"/>
      <c r="F907" s="183"/>
      <c r="G907" s="183"/>
      <c r="H907" s="182"/>
      <c r="I907" s="171"/>
      <c r="J907" s="185"/>
      <c r="K907" s="207"/>
    </row>
    <row r="908" ht="15.75" customHeight="1">
      <c r="B908" s="181"/>
      <c r="E908" s="183"/>
      <c r="F908" s="183"/>
      <c r="G908" s="183"/>
      <c r="H908" s="182"/>
      <c r="I908" s="171"/>
      <c r="J908" s="185"/>
      <c r="K908" s="207"/>
    </row>
    <row r="909" ht="15.75" customHeight="1">
      <c r="B909" s="181"/>
      <c r="E909" s="183"/>
      <c r="F909" s="183"/>
      <c r="G909" s="183"/>
      <c r="H909" s="182"/>
      <c r="I909" s="171"/>
      <c r="J909" s="185"/>
      <c r="K909" s="207"/>
    </row>
    <row r="910" ht="15.75" customHeight="1">
      <c r="B910" s="181"/>
      <c r="E910" s="183"/>
      <c r="F910" s="183"/>
      <c r="G910" s="183"/>
      <c r="H910" s="182"/>
      <c r="I910" s="171"/>
      <c r="J910" s="185"/>
      <c r="K910" s="207"/>
    </row>
    <row r="911" ht="15.75" customHeight="1">
      <c r="B911" s="181"/>
      <c r="E911" s="183"/>
      <c r="F911" s="183"/>
      <c r="G911" s="183"/>
      <c r="H911" s="182"/>
      <c r="I911" s="171"/>
      <c r="J911" s="185"/>
      <c r="K911" s="207"/>
    </row>
    <row r="912" ht="15.75" customHeight="1">
      <c r="B912" s="181"/>
      <c r="E912" s="183"/>
      <c r="F912" s="183"/>
      <c r="G912" s="183"/>
      <c r="H912" s="182"/>
      <c r="I912" s="171"/>
      <c r="J912" s="185"/>
      <c r="K912" s="207"/>
    </row>
    <row r="913" ht="15.75" customHeight="1">
      <c r="B913" s="181"/>
      <c r="E913" s="183"/>
      <c r="F913" s="183"/>
      <c r="G913" s="183"/>
      <c r="H913" s="182"/>
      <c r="I913" s="171"/>
      <c r="J913" s="185"/>
      <c r="K913" s="207"/>
    </row>
    <row r="914" ht="15.75" customHeight="1">
      <c r="B914" s="181"/>
      <c r="E914" s="183"/>
      <c r="F914" s="183"/>
      <c r="G914" s="183"/>
      <c r="H914" s="182"/>
      <c r="I914" s="171"/>
      <c r="J914" s="185"/>
      <c r="K914" s="207"/>
    </row>
    <row r="915" ht="15.75" customHeight="1">
      <c r="B915" s="181"/>
      <c r="E915" s="183"/>
      <c r="F915" s="183"/>
      <c r="G915" s="183"/>
      <c r="H915" s="182"/>
      <c r="I915" s="171"/>
      <c r="J915" s="185"/>
      <c r="K915" s="207"/>
    </row>
    <row r="916" ht="15.75" customHeight="1">
      <c r="B916" s="181"/>
      <c r="E916" s="183"/>
      <c r="F916" s="183"/>
      <c r="G916" s="183"/>
      <c r="H916" s="182"/>
      <c r="I916" s="171"/>
      <c r="J916" s="185"/>
      <c r="K916" s="207"/>
    </row>
    <row r="917" ht="15.75" customHeight="1">
      <c r="B917" s="181"/>
      <c r="E917" s="183"/>
      <c r="F917" s="183"/>
      <c r="G917" s="183"/>
      <c r="H917" s="182"/>
      <c r="I917" s="171"/>
      <c r="J917" s="185"/>
      <c r="K917" s="207"/>
    </row>
    <row r="918" ht="15.75" customHeight="1">
      <c r="B918" s="181"/>
      <c r="E918" s="183"/>
      <c r="F918" s="183"/>
      <c r="G918" s="183"/>
      <c r="H918" s="182"/>
      <c r="I918" s="171"/>
      <c r="J918" s="185"/>
      <c r="K918" s="207"/>
    </row>
    <row r="919" ht="15.75" customHeight="1">
      <c r="B919" s="181"/>
      <c r="E919" s="183"/>
      <c r="F919" s="183"/>
      <c r="G919" s="183"/>
      <c r="H919" s="182"/>
      <c r="I919" s="171"/>
      <c r="J919" s="185"/>
      <c r="K919" s="207"/>
    </row>
    <row r="920" ht="15.75" customHeight="1">
      <c r="B920" s="181"/>
      <c r="E920" s="183"/>
      <c r="F920" s="183"/>
      <c r="G920" s="183"/>
      <c r="H920" s="182"/>
      <c r="I920" s="171"/>
      <c r="J920" s="185"/>
      <c r="K920" s="207"/>
    </row>
    <row r="921" ht="15.75" customHeight="1">
      <c r="B921" s="181"/>
      <c r="E921" s="183"/>
      <c r="F921" s="183"/>
      <c r="G921" s="183"/>
      <c r="H921" s="182"/>
      <c r="I921" s="171"/>
      <c r="J921" s="185"/>
      <c r="K921" s="207"/>
    </row>
    <row r="922" ht="15.75" customHeight="1">
      <c r="B922" s="181"/>
      <c r="E922" s="183"/>
      <c r="F922" s="183"/>
      <c r="G922" s="183"/>
      <c r="H922" s="182"/>
      <c r="I922" s="171"/>
      <c r="J922" s="185"/>
      <c r="K922" s="207"/>
    </row>
    <row r="923" ht="15.75" customHeight="1">
      <c r="B923" s="181"/>
      <c r="E923" s="183"/>
      <c r="F923" s="183"/>
      <c r="G923" s="183"/>
      <c r="H923" s="182"/>
      <c r="I923" s="171"/>
      <c r="J923" s="185"/>
      <c r="K923" s="207"/>
    </row>
    <row r="924" ht="15.75" customHeight="1">
      <c r="B924" s="181"/>
      <c r="E924" s="183"/>
      <c r="F924" s="183"/>
      <c r="G924" s="183"/>
      <c r="H924" s="182"/>
      <c r="I924" s="171"/>
      <c r="J924" s="185"/>
      <c r="K924" s="207"/>
    </row>
    <row r="925" ht="15.75" customHeight="1">
      <c r="B925" s="181"/>
      <c r="E925" s="183"/>
      <c r="F925" s="183"/>
      <c r="G925" s="183"/>
      <c r="H925" s="182"/>
      <c r="I925" s="171"/>
      <c r="J925" s="185"/>
      <c r="K925" s="207"/>
    </row>
    <row r="926" ht="15.75" customHeight="1">
      <c r="B926" s="181"/>
      <c r="E926" s="183"/>
      <c r="F926" s="183"/>
      <c r="G926" s="183"/>
      <c r="H926" s="182"/>
      <c r="I926" s="171"/>
      <c r="J926" s="185"/>
      <c r="K926" s="207"/>
    </row>
    <row r="927" ht="15.75" customHeight="1">
      <c r="B927" s="181"/>
      <c r="E927" s="183"/>
      <c r="F927" s="183"/>
      <c r="G927" s="183"/>
      <c r="H927" s="182"/>
      <c r="I927" s="171"/>
      <c r="J927" s="185"/>
      <c r="K927" s="207"/>
    </row>
    <row r="928" ht="15.75" customHeight="1">
      <c r="B928" s="181"/>
      <c r="E928" s="183"/>
      <c r="F928" s="183"/>
      <c r="G928" s="183"/>
      <c r="H928" s="182"/>
      <c r="I928" s="171"/>
      <c r="J928" s="185"/>
      <c r="K928" s="207"/>
    </row>
    <row r="929" ht="15.75" customHeight="1">
      <c r="B929" s="181"/>
      <c r="E929" s="183"/>
      <c r="F929" s="183"/>
      <c r="G929" s="183"/>
      <c r="H929" s="182"/>
      <c r="I929" s="171"/>
      <c r="J929" s="185"/>
      <c r="K929" s="207"/>
    </row>
    <row r="930" ht="15.75" customHeight="1">
      <c r="B930" s="181"/>
      <c r="E930" s="183"/>
      <c r="F930" s="183"/>
      <c r="G930" s="183"/>
      <c r="H930" s="182"/>
      <c r="I930" s="171"/>
      <c r="J930" s="185"/>
      <c r="K930" s="207"/>
    </row>
    <row r="931" ht="15.75" customHeight="1">
      <c r="B931" s="181"/>
      <c r="E931" s="183"/>
      <c r="F931" s="183"/>
      <c r="G931" s="183"/>
      <c r="H931" s="182"/>
      <c r="I931" s="171"/>
      <c r="J931" s="185"/>
      <c r="K931" s="207"/>
    </row>
    <row r="932" ht="15.75" customHeight="1">
      <c r="B932" s="181"/>
      <c r="E932" s="183"/>
      <c r="F932" s="183"/>
      <c r="G932" s="183"/>
      <c r="H932" s="182"/>
      <c r="I932" s="171"/>
      <c r="J932" s="185"/>
      <c r="K932" s="207"/>
    </row>
    <row r="933" ht="15.75" customHeight="1">
      <c r="B933" s="181"/>
      <c r="E933" s="183"/>
      <c r="F933" s="183"/>
      <c r="G933" s="183"/>
      <c r="H933" s="182"/>
      <c r="I933" s="171"/>
      <c r="J933" s="185"/>
      <c r="K933" s="207"/>
    </row>
    <row r="934" ht="15.75" customHeight="1">
      <c r="B934" s="181"/>
      <c r="E934" s="183"/>
      <c r="F934" s="183"/>
      <c r="G934" s="183"/>
      <c r="H934" s="182"/>
      <c r="I934" s="171"/>
      <c r="J934" s="185"/>
      <c r="K934" s="207"/>
    </row>
    <row r="935" ht="15.75" customHeight="1">
      <c r="B935" s="181"/>
      <c r="E935" s="183"/>
      <c r="F935" s="183"/>
      <c r="G935" s="183"/>
      <c r="H935" s="182"/>
      <c r="I935" s="171"/>
      <c r="J935" s="185"/>
      <c r="K935" s="207"/>
    </row>
    <row r="936" ht="15.75" customHeight="1">
      <c r="B936" s="181"/>
      <c r="E936" s="183"/>
      <c r="F936" s="183"/>
      <c r="G936" s="183"/>
      <c r="H936" s="182"/>
      <c r="I936" s="171"/>
      <c r="J936" s="185"/>
      <c r="K936" s="207"/>
    </row>
    <row r="937" ht="15.75" customHeight="1">
      <c r="B937" s="181"/>
      <c r="E937" s="183"/>
      <c r="F937" s="183"/>
      <c r="G937" s="183"/>
      <c r="H937" s="182"/>
      <c r="I937" s="171"/>
      <c r="J937" s="185"/>
      <c r="K937" s="207"/>
    </row>
    <row r="938" ht="15.75" customHeight="1">
      <c r="B938" s="181"/>
      <c r="E938" s="183"/>
      <c r="F938" s="183"/>
      <c r="G938" s="183"/>
      <c r="H938" s="182"/>
      <c r="I938" s="171"/>
      <c r="J938" s="185"/>
      <c r="K938" s="207"/>
    </row>
    <row r="939" ht="15.75" customHeight="1">
      <c r="B939" s="181"/>
      <c r="E939" s="183"/>
      <c r="F939" s="183"/>
      <c r="G939" s="183"/>
      <c r="H939" s="182"/>
      <c r="I939" s="171"/>
      <c r="J939" s="185"/>
      <c r="K939" s="207"/>
    </row>
    <row r="940" ht="15.75" customHeight="1">
      <c r="B940" s="181"/>
      <c r="E940" s="183"/>
      <c r="F940" s="183"/>
      <c r="G940" s="183"/>
      <c r="H940" s="182"/>
      <c r="I940" s="171"/>
      <c r="J940" s="185"/>
      <c r="K940" s="207"/>
    </row>
    <row r="941" ht="15.75" customHeight="1">
      <c r="B941" s="181"/>
      <c r="E941" s="183"/>
      <c r="F941" s="183"/>
      <c r="G941" s="183"/>
      <c r="H941" s="182"/>
      <c r="I941" s="171"/>
      <c r="J941" s="185"/>
      <c r="K941" s="207"/>
    </row>
    <row r="942" ht="15.75" customHeight="1">
      <c r="B942" s="181"/>
      <c r="E942" s="183"/>
      <c r="F942" s="183"/>
      <c r="G942" s="183"/>
      <c r="H942" s="182"/>
      <c r="I942" s="171"/>
      <c r="J942" s="185"/>
      <c r="K942" s="207"/>
    </row>
    <row r="943" ht="15.75" customHeight="1">
      <c r="B943" s="181"/>
      <c r="E943" s="183"/>
      <c r="F943" s="183"/>
      <c r="G943" s="183"/>
      <c r="H943" s="182"/>
      <c r="I943" s="171"/>
      <c r="J943" s="185"/>
      <c r="K943" s="207"/>
    </row>
    <row r="944" ht="15.75" customHeight="1">
      <c r="B944" s="181"/>
      <c r="E944" s="183"/>
      <c r="F944" s="183"/>
      <c r="G944" s="183"/>
      <c r="H944" s="182"/>
      <c r="I944" s="171"/>
      <c r="J944" s="185"/>
      <c r="K944" s="207"/>
    </row>
    <row r="945" ht="15.75" customHeight="1">
      <c r="B945" s="181"/>
      <c r="E945" s="183"/>
      <c r="F945" s="183"/>
      <c r="G945" s="183"/>
      <c r="H945" s="182"/>
      <c r="I945" s="171"/>
      <c r="J945" s="185"/>
      <c r="K945" s="207"/>
    </row>
    <row r="946" ht="15.75" customHeight="1">
      <c r="B946" s="181"/>
      <c r="E946" s="183"/>
      <c r="F946" s="183"/>
      <c r="G946" s="183"/>
      <c r="H946" s="182"/>
      <c r="I946" s="171"/>
      <c r="J946" s="185"/>
      <c r="K946" s="207"/>
    </row>
    <row r="947" ht="15.75" customHeight="1">
      <c r="B947" s="181"/>
      <c r="E947" s="183"/>
      <c r="F947" s="183"/>
      <c r="G947" s="183"/>
      <c r="H947" s="182"/>
      <c r="I947" s="171"/>
      <c r="J947" s="185"/>
      <c r="K947" s="207"/>
    </row>
    <row r="948" ht="15.75" customHeight="1">
      <c r="B948" s="181"/>
      <c r="E948" s="183"/>
      <c r="F948" s="183"/>
      <c r="G948" s="183"/>
      <c r="H948" s="182"/>
      <c r="I948" s="171"/>
      <c r="J948" s="185"/>
      <c r="K948" s="207"/>
    </row>
    <row r="949" ht="15.75" customHeight="1">
      <c r="B949" s="181"/>
      <c r="E949" s="183"/>
      <c r="F949" s="183"/>
      <c r="G949" s="183"/>
      <c r="H949" s="182"/>
      <c r="I949" s="171"/>
      <c r="J949" s="185"/>
      <c r="K949" s="207"/>
    </row>
    <row r="950" ht="15.75" customHeight="1">
      <c r="B950" s="181"/>
      <c r="E950" s="183"/>
      <c r="F950" s="183"/>
      <c r="G950" s="183"/>
      <c r="H950" s="182"/>
      <c r="I950" s="171"/>
      <c r="J950" s="185"/>
      <c r="K950" s="207"/>
    </row>
    <row r="951" ht="15.75" customHeight="1">
      <c r="B951" s="181"/>
      <c r="E951" s="183"/>
      <c r="F951" s="183"/>
      <c r="G951" s="183"/>
      <c r="H951" s="182"/>
      <c r="I951" s="171"/>
      <c r="J951" s="185"/>
      <c r="K951" s="207"/>
    </row>
    <row r="952" ht="15.75" customHeight="1">
      <c r="B952" s="181"/>
      <c r="E952" s="183"/>
      <c r="F952" s="183"/>
      <c r="G952" s="183"/>
      <c r="H952" s="182"/>
      <c r="I952" s="171"/>
      <c r="J952" s="185"/>
      <c r="K952" s="207"/>
    </row>
    <row r="953" ht="15.75" customHeight="1">
      <c r="B953" s="181"/>
      <c r="E953" s="183"/>
      <c r="F953" s="183"/>
      <c r="G953" s="183"/>
      <c r="H953" s="182"/>
      <c r="I953" s="171"/>
      <c r="J953" s="185"/>
      <c r="K953" s="207"/>
    </row>
    <row r="954" ht="15.75" customHeight="1">
      <c r="B954" s="181"/>
      <c r="E954" s="183"/>
      <c r="F954" s="183"/>
      <c r="G954" s="183"/>
      <c r="H954" s="182"/>
      <c r="I954" s="171"/>
      <c r="J954" s="185"/>
      <c r="K954" s="207"/>
    </row>
    <row r="955" ht="15.75" customHeight="1">
      <c r="B955" s="181"/>
      <c r="E955" s="183"/>
      <c r="F955" s="183"/>
      <c r="G955" s="183"/>
      <c r="H955" s="182"/>
      <c r="I955" s="171"/>
      <c r="J955" s="185"/>
      <c r="K955" s="207"/>
    </row>
    <row r="956" ht="15.75" customHeight="1">
      <c r="B956" s="181"/>
      <c r="E956" s="183"/>
      <c r="F956" s="183"/>
      <c r="G956" s="183"/>
      <c r="H956" s="182"/>
      <c r="I956" s="171"/>
      <c r="J956" s="185"/>
      <c r="K956" s="207"/>
    </row>
    <row r="957" ht="15.75" customHeight="1">
      <c r="B957" s="181"/>
      <c r="E957" s="183"/>
      <c r="F957" s="183"/>
      <c r="G957" s="183"/>
      <c r="H957" s="182"/>
      <c r="I957" s="171"/>
      <c r="J957" s="185"/>
      <c r="K957" s="207"/>
    </row>
    <row r="958" ht="15.75" customHeight="1">
      <c r="B958" s="181"/>
      <c r="E958" s="183"/>
      <c r="F958" s="183"/>
      <c r="G958" s="183"/>
      <c r="H958" s="182"/>
      <c r="I958" s="171"/>
      <c r="J958" s="185"/>
      <c r="K958" s="207"/>
    </row>
    <row r="959" ht="15.75" customHeight="1">
      <c r="B959" s="181"/>
      <c r="E959" s="183"/>
      <c r="F959" s="183"/>
      <c r="G959" s="183"/>
      <c r="H959" s="182"/>
      <c r="I959" s="171"/>
      <c r="J959" s="185"/>
      <c r="K959" s="207"/>
    </row>
    <row r="960" ht="15.75" customHeight="1">
      <c r="B960" s="181"/>
      <c r="E960" s="183"/>
      <c r="F960" s="183"/>
      <c r="G960" s="183"/>
      <c r="H960" s="182"/>
      <c r="I960" s="171"/>
      <c r="J960" s="185"/>
      <c r="K960" s="207"/>
    </row>
    <row r="961" ht="15.75" customHeight="1">
      <c r="B961" s="181"/>
      <c r="E961" s="183"/>
      <c r="F961" s="183"/>
      <c r="G961" s="183"/>
      <c r="H961" s="182"/>
      <c r="I961" s="171"/>
      <c r="J961" s="185"/>
      <c r="K961" s="207"/>
    </row>
    <row r="962" ht="15.75" customHeight="1">
      <c r="B962" s="181"/>
      <c r="E962" s="183"/>
      <c r="F962" s="183"/>
      <c r="G962" s="183"/>
      <c r="H962" s="182"/>
      <c r="I962" s="171"/>
      <c r="J962" s="185"/>
      <c r="K962" s="207"/>
    </row>
    <row r="963" ht="15.75" customHeight="1">
      <c r="B963" s="181"/>
      <c r="E963" s="183"/>
      <c r="F963" s="183"/>
      <c r="G963" s="183"/>
      <c r="H963" s="182"/>
      <c r="I963" s="171"/>
      <c r="J963" s="185"/>
      <c r="K963" s="207"/>
    </row>
    <row r="964" ht="15.75" customHeight="1">
      <c r="B964" s="181"/>
      <c r="E964" s="183"/>
      <c r="F964" s="183"/>
      <c r="G964" s="183"/>
      <c r="H964" s="182"/>
      <c r="I964" s="171"/>
      <c r="J964" s="185"/>
      <c r="K964" s="207"/>
    </row>
    <row r="965" ht="15.75" customHeight="1">
      <c r="B965" s="181"/>
      <c r="E965" s="183"/>
      <c r="F965" s="183"/>
      <c r="G965" s="183"/>
      <c r="H965" s="182"/>
      <c r="I965" s="171"/>
      <c r="J965" s="185"/>
      <c r="K965" s="207"/>
    </row>
    <row r="966" ht="15.75" customHeight="1">
      <c r="B966" s="181"/>
      <c r="E966" s="183"/>
      <c r="F966" s="183"/>
      <c r="G966" s="183"/>
      <c r="H966" s="182"/>
      <c r="I966" s="171"/>
      <c r="J966" s="185"/>
      <c r="K966" s="207"/>
    </row>
    <row r="967" ht="15.75" customHeight="1">
      <c r="B967" s="181"/>
      <c r="E967" s="183"/>
      <c r="F967" s="183"/>
      <c r="G967" s="183"/>
      <c r="H967" s="182"/>
      <c r="I967" s="171"/>
      <c r="J967" s="185"/>
      <c r="K967" s="207"/>
    </row>
    <row r="968" ht="15.75" customHeight="1">
      <c r="B968" s="181"/>
      <c r="E968" s="183"/>
      <c r="F968" s="183"/>
      <c r="G968" s="183"/>
      <c r="H968" s="182"/>
      <c r="I968" s="171"/>
      <c r="J968" s="185"/>
      <c r="K968" s="207"/>
    </row>
    <row r="969" ht="15.75" customHeight="1">
      <c r="B969" s="181"/>
      <c r="E969" s="183"/>
      <c r="F969" s="183"/>
      <c r="G969" s="183"/>
      <c r="H969" s="182"/>
      <c r="I969" s="171"/>
      <c r="J969" s="185"/>
      <c r="K969" s="207"/>
    </row>
    <row r="970" ht="15.75" customHeight="1">
      <c r="B970" s="181"/>
      <c r="E970" s="183"/>
      <c r="F970" s="183"/>
      <c r="G970" s="183"/>
      <c r="H970" s="182"/>
      <c r="I970" s="171"/>
      <c r="J970" s="185"/>
      <c r="K970" s="207"/>
    </row>
    <row r="971" ht="15.75" customHeight="1">
      <c r="B971" s="181"/>
      <c r="E971" s="183"/>
      <c r="F971" s="183"/>
      <c r="G971" s="183"/>
      <c r="H971" s="182"/>
      <c r="I971" s="171"/>
      <c r="J971" s="185"/>
      <c r="K971" s="207"/>
    </row>
    <row r="972" ht="15.75" customHeight="1">
      <c r="B972" s="181"/>
      <c r="E972" s="183"/>
      <c r="F972" s="183"/>
      <c r="G972" s="183"/>
      <c r="H972" s="182"/>
      <c r="I972" s="171"/>
      <c r="J972" s="185"/>
      <c r="K972" s="207"/>
    </row>
    <row r="973" ht="15.75" customHeight="1">
      <c r="B973" s="181"/>
      <c r="E973" s="183"/>
      <c r="F973" s="183"/>
      <c r="G973" s="183"/>
      <c r="H973" s="182"/>
      <c r="I973" s="171"/>
      <c r="J973" s="185"/>
      <c r="K973" s="207"/>
    </row>
    <row r="974" ht="15.75" customHeight="1">
      <c r="B974" s="181"/>
      <c r="E974" s="183"/>
      <c r="F974" s="183"/>
      <c r="G974" s="183"/>
      <c r="H974" s="182"/>
      <c r="I974" s="171"/>
      <c r="J974" s="185"/>
      <c r="K974" s="207"/>
    </row>
    <row r="975" ht="15.75" customHeight="1">
      <c r="B975" s="181"/>
      <c r="E975" s="183"/>
      <c r="F975" s="183"/>
      <c r="G975" s="183"/>
      <c r="H975" s="182"/>
      <c r="I975" s="171"/>
      <c r="J975" s="185"/>
      <c r="K975" s="207"/>
    </row>
    <row r="976" ht="15.75" customHeight="1">
      <c r="B976" s="181"/>
      <c r="E976" s="183"/>
      <c r="F976" s="183"/>
      <c r="G976" s="183"/>
      <c r="H976" s="182"/>
      <c r="I976" s="171"/>
      <c r="J976" s="185"/>
      <c r="K976" s="207"/>
    </row>
    <row r="977" ht="15.75" customHeight="1">
      <c r="B977" s="181"/>
      <c r="E977" s="183"/>
      <c r="F977" s="183"/>
      <c r="G977" s="183"/>
      <c r="H977" s="182"/>
      <c r="I977" s="171"/>
      <c r="J977" s="185"/>
      <c r="K977" s="207"/>
    </row>
    <row r="978" ht="15.75" customHeight="1">
      <c r="B978" s="181"/>
      <c r="E978" s="183"/>
      <c r="F978" s="183"/>
      <c r="G978" s="183"/>
      <c r="H978" s="182"/>
      <c r="I978" s="171"/>
      <c r="J978" s="185"/>
      <c r="K978" s="207"/>
    </row>
    <row r="979" ht="15.75" customHeight="1">
      <c r="B979" s="181"/>
      <c r="E979" s="183"/>
      <c r="F979" s="183"/>
      <c r="G979" s="183"/>
      <c r="H979" s="182"/>
      <c r="I979" s="171"/>
      <c r="J979" s="185"/>
      <c r="K979" s="207"/>
    </row>
    <row r="980" ht="15.75" customHeight="1">
      <c r="B980" s="181"/>
      <c r="E980" s="183"/>
      <c r="F980" s="183"/>
      <c r="G980" s="183"/>
      <c r="H980" s="182"/>
      <c r="I980" s="171"/>
      <c r="J980" s="185"/>
      <c r="K980" s="207"/>
    </row>
    <row r="981" ht="15.75" customHeight="1">
      <c r="B981" s="181"/>
      <c r="E981" s="183"/>
      <c r="F981" s="183"/>
      <c r="G981" s="183"/>
      <c r="H981" s="182"/>
      <c r="I981" s="171"/>
      <c r="J981" s="185"/>
      <c r="K981" s="207"/>
    </row>
    <row r="982" ht="15.75" customHeight="1">
      <c r="B982" s="181"/>
      <c r="E982" s="183"/>
      <c r="F982" s="183"/>
      <c r="G982" s="183"/>
      <c r="H982" s="182"/>
      <c r="I982" s="171"/>
      <c r="J982" s="185"/>
      <c r="K982" s="207"/>
    </row>
    <row r="983" ht="15.75" customHeight="1">
      <c r="B983" s="181"/>
      <c r="E983" s="183"/>
      <c r="F983" s="183"/>
      <c r="G983" s="183"/>
      <c r="H983" s="182"/>
      <c r="I983" s="171"/>
      <c r="J983" s="185"/>
      <c r="K983" s="207"/>
    </row>
    <row r="984" ht="15.75" customHeight="1">
      <c r="B984" s="181"/>
      <c r="E984" s="183"/>
      <c r="F984" s="183"/>
      <c r="G984" s="183"/>
      <c r="H984" s="182"/>
      <c r="I984" s="171"/>
      <c r="J984" s="185"/>
      <c r="K984" s="207"/>
    </row>
    <row r="985" ht="15.75" customHeight="1">
      <c r="B985" s="181"/>
      <c r="E985" s="183"/>
      <c r="F985" s="183"/>
      <c r="G985" s="183"/>
      <c r="H985" s="182"/>
      <c r="I985" s="171"/>
      <c r="J985" s="185"/>
      <c r="K985" s="207"/>
    </row>
    <row r="986" ht="15.75" customHeight="1">
      <c r="B986" s="181"/>
      <c r="E986" s="183"/>
      <c r="F986" s="183"/>
      <c r="G986" s="183"/>
      <c r="H986" s="182"/>
      <c r="I986" s="171"/>
      <c r="J986" s="185"/>
      <c r="K986" s="207"/>
    </row>
    <row r="987" ht="15.75" customHeight="1">
      <c r="B987" s="181"/>
      <c r="E987" s="183"/>
      <c r="F987" s="183"/>
      <c r="G987" s="183"/>
      <c r="H987" s="182"/>
      <c r="I987" s="171"/>
      <c r="J987" s="185"/>
      <c r="K987" s="207"/>
    </row>
    <row r="988" ht="15.75" customHeight="1">
      <c r="B988" s="181"/>
      <c r="E988" s="183"/>
      <c r="F988" s="183"/>
      <c r="G988" s="183"/>
      <c r="H988" s="182"/>
      <c r="I988" s="171"/>
      <c r="J988" s="185"/>
      <c r="K988" s="207"/>
    </row>
    <row r="989" ht="15.75" customHeight="1">
      <c r="B989" s="181"/>
      <c r="E989" s="183"/>
      <c r="F989" s="183"/>
      <c r="G989" s="183"/>
      <c r="H989" s="182"/>
      <c r="I989" s="171"/>
      <c r="J989" s="185"/>
      <c r="K989" s="207"/>
    </row>
    <row r="990" ht="15.75" customHeight="1">
      <c r="B990" s="181"/>
      <c r="E990" s="183"/>
      <c r="F990" s="183"/>
      <c r="G990" s="183"/>
      <c r="H990" s="182"/>
      <c r="I990" s="171"/>
      <c r="J990" s="185"/>
      <c r="K990" s="207"/>
    </row>
    <row r="991" ht="15.75" customHeight="1">
      <c r="B991" s="181"/>
      <c r="E991" s="183"/>
      <c r="F991" s="183"/>
      <c r="G991" s="183"/>
      <c r="H991" s="182"/>
      <c r="I991" s="171"/>
      <c r="J991" s="185"/>
      <c r="K991" s="207"/>
    </row>
    <row r="992" ht="15.75" customHeight="1">
      <c r="B992" s="181"/>
      <c r="E992" s="183"/>
      <c r="F992" s="183"/>
      <c r="G992" s="183"/>
      <c r="H992" s="182"/>
      <c r="I992" s="171"/>
      <c r="J992" s="185"/>
      <c r="K992" s="207"/>
    </row>
    <row r="993" ht="15.75" customHeight="1">
      <c r="B993" s="181"/>
      <c r="E993" s="183"/>
      <c r="F993" s="183"/>
      <c r="G993" s="183"/>
      <c r="H993" s="182"/>
      <c r="I993" s="171"/>
      <c r="J993" s="185"/>
      <c r="K993" s="207"/>
    </row>
    <row r="994" ht="15.75" customHeight="1">
      <c r="B994" s="181"/>
      <c r="E994" s="183"/>
      <c r="F994" s="183"/>
      <c r="G994" s="183"/>
      <c r="H994" s="182"/>
      <c r="I994" s="171"/>
      <c r="J994" s="185"/>
      <c r="K994" s="207"/>
    </row>
    <row r="995" ht="15.75" customHeight="1">
      <c r="B995" s="181"/>
      <c r="E995" s="183"/>
      <c r="F995" s="183"/>
      <c r="G995" s="183"/>
      <c r="H995" s="182"/>
      <c r="I995" s="171"/>
      <c r="J995" s="185"/>
      <c r="K995" s="207"/>
    </row>
    <row r="996" ht="15.75" customHeight="1">
      <c r="B996" s="181"/>
      <c r="E996" s="183"/>
      <c r="F996" s="183"/>
      <c r="G996" s="183"/>
      <c r="H996" s="182"/>
      <c r="I996" s="171"/>
      <c r="J996" s="185"/>
      <c r="K996" s="207"/>
    </row>
    <row r="997" ht="15.75" customHeight="1">
      <c r="B997" s="181"/>
      <c r="E997" s="183"/>
      <c r="F997" s="183"/>
      <c r="G997" s="183"/>
      <c r="H997" s="182"/>
      <c r="I997" s="171"/>
      <c r="J997" s="185"/>
      <c r="K997" s="207"/>
    </row>
    <row r="998" ht="15.75" customHeight="1">
      <c r="B998" s="181"/>
      <c r="E998" s="183"/>
      <c r="F998" s="183"/>
      <c r="G998" s="183"/>
      <c r="H998" s="182"/>
      <c r="I998" s="171"/>
      <c r="J998" s="185"/>
      <c r="K998" s="207"/>
    </row>
    <row r="999" ht="15.75" customHeight="1">
      <c r="B999" s="181"/>
      <c r="E999" s="183"/>
      <c r="F999" s="183"/>
      <c r="G999" s="183"/>
      <c r="H999" s="182"/>
      <c r="I999" s="171"/>
      <c r="J999" s="185"/>
      <c r="K999" s="207"/>
    </row>
    <row r="1000" ht="15.75" customHeight="1">
      <c r="B1000" s="181"/>
      <c r="E1000" s="183"/>
      <c r="F1000" s="183"/>
      <c r="G1000" s="183"/>
      <c r="H1000" s="182"/>
      <c r="I1000" s="171"/>
      <c r="J1000" s="185"/>
      <c r="K1000" s="207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42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1.22" defaultRowHeight="15.0"/>
  <cols>
    <col customWidth="1" min="1" max="1" width="3.78"/>
    <col customWidth="1" min="2" max="2" width="14.0"/>
    <col customWidth="1" min="3" max="3" width="14.22"/>
    <col customWidth="1" min="4" max="4" width="19.0"/>
    <col customWidth="1" min="5" max="5" width="16.44"/>
    <col customWidth="1" min="6" max="6" width="17.78"/>
    <col customWidth="1" min="7" max="7" width="18.22"/>
    <col customWidth="1" min="8" max="9" width="10.0"/>
    <col customWidth="1" min="10" max="10" width="8.89"/>
    <col customWidth="1" min="11" max="11" width="15.33"/>
    <col customWidth="1" min="12" max="13" width="16.33"/>
    <col customWidth="1" min="14" max="14" width="14.78"/>
    <col customWidth="1" min="15" max="15" width="13.89"/>
    <col customWidth="1" min="16" max="16" width="14.78"/>
    <col customWidth="1" min="17" max="17" width="15.67"/>
    <col customWidth="1" min="18" max="18" width="14.56"/>
    <col customWidth="1" min="19" max="19" width="15.67"/>
    <col customWidth="1" min="20" max="20" width="15.44"/>
    <col customWidth="1" min="21" max="21" width="14.11"/>
    <col customWidth="1" min="22" max="23" width="16.33"/>
    <col customWidth="1" min="24" max="26" width="15.78"/>
    <col customWidth="1" min="27" max="27" width="16.0"/>
    <col customWidth="1" min="28" max="28" width="8.56"/>
  </cols>
  <sheetData>
    <row r="1" ht="26.25" customHeight="1">
      <c r="A1" s="113" t="s">
        <v>75</v>
      </c>
    </row>
    <row r="2" ht="26.25" customHeight="1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</row>
    <row r="3" ht="15.75" customHeight="1">
      <c r="A3" s="114" t="s">
        <v>22</v>
      </c>
      <c r="B3" s="114" t="s">
        <v>23</v>
      </c>
      <c r="C3" s="272" t="s">
        <v>76</v>
      </c>
      <c r="D3" s="273" t="s">
        <v>25</v>
      </c>
      <c r="E3" s="273" t="s">
        <v>26</v>
      </c>
      <c r="F3" s="273" t="s">
        <v>27</v>
      </c>
      <c r="G3" s="116" t="s">
        <v>28</v>
      </c>
      <c r="H3" s="116" t="s">
        <v>77</v>
      </c>
      <c r="I3" s="274"/>
      <c r="J3" s="116" t="s">
        <v>78</v>
      </c>
      <c r="K3" s="273" t="s">
        <v>32</v>
      </c>
      <c r="L3" s="275" t="s">
        <v>34</v>
      </c>
      <c r="M3" s="276"/>
      <c r="N3" s="117" t="s">
        <v>35</v>
      </c>
      <c r="O3" s="276"/>
      <c r="P3" s="117" t="s">
        <v>79</v>
      </c>
      <c r="Q3" s="118" t="s">
        <v>36</v>
      </c>
      <c r="R3" s="119" t="s">
        <v>40</v>
      </c>
      <c r="S3" s="120" t="s">
        <v>41</v>
      </c>
      <c r="T3" s="122" t="s">
        <v>80</v>
      </c>
      <c r="U3" s="122" t="s">
        <v>81</v>
      </c>
      <c r="V3" s="121" t="s">
        <v>82</v>
      </c>
      <c r="W3" s="277"/>
      <c r="X3" s="121" t="s">
        <v>83</v>
      </c>
      <c r="Y3" s="277"/>
      <c r="Z3" s="121" t="s">
        <v>84</v>
      </c>
      <c r="AA3" s="121" t="s">
        <v>84</v>
      </c>
    </row>
    <row r="4" ht="15.75" customHeight="1">
      <c r="A4" s="95"/>
      <c r="B4" s="95"/>
      <c r="C4" s="95"/>
      <c r="D4" s="95"/>
      <c r="E4" s="95"/>
      <c r="F4" s="95"/>
      <c r="G4" s="95"/>
      <c r="H4" s="95"/>
      <c r="I4" s="278"/>
      <c r="J4" s="95"/>
      <c r="K4" s="95"/>
      <c r="L4" s="95"/>
      <c r="M4" s="279"/>
      <c r="N4" s="95"/>
      <c r="O4" s="279"/>
      <c r="P4" s="95"/>
      <c r="Q4" s="95"/>
      <c r="R4" s="95"/>
      <c r="S4" s="95"/>
      <c r="T4" s="95"/>
      <c r="U4" s="95"/>
      <c r="V4" s="95"/>
      <c r="W4" s="280"/>
      <c r="X4" s="95"/>
      <c r="Y4" s="280"/>
      <c r="Z4" s="95"/>
      <c r="AA4" s="95"/>
    </row>
    <row r="5" ht="15.75" customHeight="1">
      <c r="A5" s="125">
        <v>1.0</v>
      </c>
      <c r="B5" s="126">
        <v>45137.0</v>
      </c>
      <c r="C5" s="281">
        <f t="shared" ref="C5:C11" si="1">SUM(D5:H5)</f>
        <v>5107</v>
      </c>
      <c r="D5" s="281">
        <v>0.0</v>
      </c>
      <c r="E5" s="128">
        <v>5015.0</v>
      </c>
      <c r="F5" s="128">
        <v>0.0</v>
      </c>
      <c r="G5" s="282">
        <v>0.0</v>
      </c>
      <c r="H5" s="127">
        <v>92.0</v>
      </c>
      <c r="I5" s="128"/>
      <c r="J5" s="282">
        <v>0.0</v>
      </c>
      <c r="K5" s="128">
        <v>0.0</v>
      </c>
      <c r="L5" s="128">
        <f t="shared" ref="L5:L11" si="2">(E5*13000)+(F5*12000)+(G5*11000)+(K5*13000)</f>
        <v>65195000</v>
      </c>
      <c r="M5" s="128"/>
      <c r="N5" s="128">
        <f t="shared" ref="N5:N11" si="3">7000*H5</f>
        <v>644000</v>
      </c>
      <c r="O5" s="128"/>
      <c r="P5" s="128"/>
      <c r="Q5" s="129">
        <v>728000.0</v>
      </c>
      <c r="R5" s="129">
        <v>1532100.0</v>
      </c>
      <c r="S5" s="129">
        <f t="shared" ref="S5:S11" si="4">3000*SUM(E5:J5)</f>
        <v>15321000</v>
      </c>
      <c r="T5" s="129">
        <f t="shared" ref="T5:T11" si="5">SUM(Q5:S5)</f>
        <v>17581100</v>
      </c>
      <c r="U5" s="129">
        <f t="shared" ref="U5:U11" si="6">T5/SUM(E5:J5)</f>
        <v>3442.549442</v>
      </c>
      <c r="V5" s="129">
        <f>13000+U5</f>
        <v>16442.54944</v>
      </c>
      <c r="W5" s="129"/>
      <c r="X5" s="129">
        <f t="shared" ref="X5:X11" si="7">U5+7000</f>
        <v>10442.54944</v>
      </c>
      <c r="Y5" s="129"/>
      <c r="Z5" s="129"/>
      <c r="AA5" s="283"/>
    </row>
    <row r="6" ht="15.75" customHeight="1">
      <c r="A6" s="125">
        <v>2.0</v>
      </c>
      <c r="B6" s="126">
        <v>45138.0</v>
      </c>
      <c r="C6" s="281">
        <f t="shared" si="1"/>
        <v>10241</v>
      </c>
      <c r="D6" s="281">
        <v>0.0</v>
      </c>
      <c r="E6" s="128">
        <v>7584.0</v>
      </c>
      <c r="F6" s="128">
        <v>1129.0</v>
      </c>
      <c r="G6" s="127">
        <v>900.0</v>
      </c>
      <c r="H6" s="127">
        <v>628.0</v>
      </c>
      <c r="I6" s="128"/>
      <c r="J6" s="282">
        <v>0.0</v>
      </c>
      <c r="K6" s="128">
        <v>0.0</v>
      </c>
      <c r="L6" s="128">
        <f t="shared" si="2"/>
        <v>122040000</v>
      </c>
      <c r="M6" s="128"/>
      <c r="N6" s="128">
        <f t="shared" si="3"/>
        <v>4396000</v>
      </c>
      <c r="O6" s="128"/>
      <c r="P6" s="128"/>
      <c r="Q6" s="129">
        <v>1460000.0</v>
      </c>
      <c r="R6" s="129">
        <v>3072300.0</v>
      </c>
      <c r="S6" s="129">
        <f t="shared" si="4"/>
        <v>30723000</v>
      </c>
      <c r="T6" s="129">
        <f t="shared" si="5"/>
        <v>35255300</v>
      </c>
      <c r="U6" s="129">
        <f t="shared" si="6"/>
        <v>3442.564203</v>
      </c>
      <c r="V6" s="129">
        <f t="shared" ref="V6:V11" si="8">L6/SUM(E6:G6)+U6</f>
        <v>16137.87264</v>
      </c>
      <c r="W6" s="129"/>
      <c r="X6" s="129">
        <f t="shared" si="7"/>
        <v>10442.5642</v>
      </c>
      <c r="Y6" s="129"/>
      <c r="Z6" s="129"/>
      <c r="AA6" s="283"/>
    </row>
    <row r="7" ht="15.75" customHeight="1">
      <c r="A7" s="125">
        <v>3.0</v>
      </c>
      <c r="B7" s="126">
        <v>45139.0</v>
      </c>
      <c r="C7" s="281">
        <f t="shared" si="1"/>
        <v>2235</v>
      </c>
      <c r="D7" s="281">
        <v>0.0</v>
      </c>
      <c r="E7" s="128">
        <v>1784.0</v>
      </c>
      <c r="F7" s="128">
        <v>0.0</v>
      </c>
      <c r="G7" s="282">
        <v>0.0</v>
      </c>
      <c r="H7" s="127">
        <v>451.0</v>
      </c>
      <c r="I7" s="128"/>
      <c r="J7" s="282">
        <v>0.0</v>
      </c>
      <c r="K7" s="128">
        <v>0.0</v>
      </c>
      <c r="L7" s="128">
        <f t="shared" si="2"/>
        <v>23192000</v>
      </c>
      <c r="M7" s="128"/>
      <c r="N7" s="128">
        <f t="shared" si="3"/>
        <v>3157000</v>
      </c>
      <c r="O7" s="128"/>
      <c r="P7" s="128"/>
      <c r="Q7" s="129">
        <v>324000.0</v>
      </c>
      <c r="R7" s="129">
        <v>670500.0</v>
      </c>
      <c r="S7" s="129">
        <f t="shared" si="4"/>
        <v>6705000</v>
      </c>
      <c r="T7" s="129">
        <f t="shared" si="5"/>
        <v>7699500</v>
      </c>
      <c r="U7" s="129">
        <f t="shared" si="6"/>
        <v>3444.966443</v>
      </c>
      <c r="V7" s="129">
        <f t="shared" si="8"/>
        <v>16444.96644</v>
      </c>
      <c r="W7" s="129"/>
      <c r="X7" s="129">
        <f t="shared" si="7"/>
        <v>10444.96644</v>
      </c>
      <c r="Y7" s="129"/>
      <c r="Z7" s="129"/>
      <c r="AA7" s="283"/>
    </row>
    <row r="8" ht="15.75" customHeight="1">
      <c r="A8" s="125">
        <v>4.0</v>
      </c>
      <c r="B8" s="126">
        <v>45149.0</v>
      </c>
      <c r="C8" s="281">
        <f t="shared" si="1"/>
        <v>5641</v>
      </c>
      <c r="D8" s="281">
        <v>0.0</v>
      </c>
      <c r="E8" s="128">
        <v>3991.0</v>
      </c>
      <c r="F8" s="128">
        <v>812.0</v>
      </c>
      <c r="G8" s="282">
        <v>0.0</v>
      </c>
      <c r="H8" s="127">
        <v>838.0</v>
      </c>
      <c r="I8" s="128"/>
      <c r="J8" s="282">
        <v>0.0</v>
      </c>
      <c r="K8" s="128">
        <v>0.0</v>
      </c>
      <c r="L8" s="128">
        <f t="shared" si="2"/>
        <v>61627000</v>
      </c>
      <c r="M8" s="128"/>
      <c r="N8" s="128">
        <f t="shared" si="3"/>
        <v>5866000</v>
      </c>
      <c r="O8" s="128"/>
      <c r="P8" s="128"/>
      <c r="Q8" s="129">
        <v>804000.0</v>
      </c>
      <c r="R8" s="129">
        <v>1988400.0</v>
      </c>
      <c r="S8" s="129">
        <f t="shared" si="4"/>
        <v>16923000</v>
      </c>
      <c r="T8" s="129">
        <f t="shared" si="5"/>
        <v>19715400</v>
      </c>
      <c r="U8" s="129">
        <f t="shared" si="6"/>
        <v>3495.018614</v>
      </c>
      <c r="V8" s="129">
        <f t="shared" si="8"/>
        <v>16325.95761</v>
      </c>
      <c r="W8" s="129"/>
      <c r="X8" s="129">
        <f t="shared" si="7"/>
        <v>10495.01861</v>
      </c>
      <c r="Y8" s="129"/>
      <c r="Z8" s="129"/>
      <c r="AA8" s="283"/>
    </row>
    <row r="9" ht="15.75" customHeight="1">
      <c r="A9" s="125">
        <v>6.0</v>
      </c>
      <c r="B9" s="126">
        <v>45165.0</v>
      </c>
      <c r="C9" s="281">
        <f t="shared" si="1"/>
        <v>4286</v>
      </c>
      <c r="D9" s="281">
        <v>0.0</v>
      </c>
      <c r="E9" s="128">
        <v>3462.0</v>
      </c>
      <c r="F9" s="128">
        <v>0.0</v>
      </c>
      <c r="G9" s="282">
        <v>0.0</v>
      </c>
      <c r="H9" s="127">
        <v>824.0</v>
      </c>
      <c r="I9" s="128"/>
      <c r="J9" s="282">
        <v>0.0</v>
      </c>
      <c r="K9" s="128">
        <v>0.0</v>
      </c>
      <c r="L9" s="128">
        <f t="shared" si="2"/>
        <v>45006000</v>
      </c>
      <c r="M9" s="128"/>
      <c r="N9" s="128">
        <f t="shared" si="3"/>
        <v>5768000</v>
      </c>
      <c r="O9" s="128"/>
      <c r="P9" s="128"/>
      <c r="Q9" s="129">
        <v>612000.0</v>
      </c>
      <c r="R9" s="129">
        <v>1285800.0</v>
      </c>
      <c r="S9" s="129">
        <f t="shared" si="4"/>
        <v>12858000</v>
      </c>
      <c r="T9" s="129">
        <f t="shared" si="5"/>
        <v>14755800</v>
      </c>
      <c r="U9" s="129">
        <f t="shared" si="6"/>
        <v>3442.790481</v>
      </c>
      <c r="V9" s="129">
        <f t="shared" si="8"/>
        <v>16442.79048</v>
      </c>
      <c r="W9" s="129"/>
      <c r="X9" s="129">
        <f t="shared" si="7"/>
        <v>10442.79048</v>
      </c>
      <c r="Y9" s="129"/>
      <c r="Z9" s="129"/>
      <c r="AA9" s="283"/>
    </row>
    <row r="10" ht="15.75" customHeight="1">
      <c r="A10" s="125">
        <v>7.0</v>
      </c>
      <c r="B10" s="126">
        <v>45167.0</v>
      </c>
      <c r="C10" s="281">
        <f t="shared" si="1"/>
        <v>678</v>
      </c>
      <c r="D10" s="281">
        <v>0.0</v>
      </c>
      <c r="E10" s="128">
        <v>495.0</v>
      </c>
      <c r="F10" s="128">
        <v>0.0</v>
      </c>
      <c r="G10" s="282">
        <v>0.0</v>
      </c>
      <c r="H10" s="127">
        <v>183.0</v>
      </c>
      <c r="I10" s="128"/>
      <c r="J10" s="282">
        <v>0.0</v>
      </c>
      <c r="K10" s="128">
        <v>0.0</v>
      </c>
      <c r="L10" s="128">
        <f t="shared" si="2"/>
        <v>6435000</v>
      </c>
      <c r="M10" s="128"/>
      <c r="N10" s="128">
        <f t="shared" si="3"/>
        <v>1281000</v>
      </c>
      <c r="O10" s="128"/>
      <c r="P10" s="128"/>
      <c r="Q10" s="129">
        <v>96000.0</v>
      </c>
      <c r="R10" s="129">
        <v>203400.0</v>
      </c>
      <c r="S10" s="129">
        <f t="shared" si="4"/>
        <v>2034000</v>
      </c>
      <c r="T10" s="129">
        <f t="shared" si="5"/>
        <v>2333400</v>
      </c>
      <c r="U10" s="129">
        <f t="shared" si="6"/>
        <v>3441.59292</v>
      </c>
      <c r="V10" s="129">
        <f t="shared" si="8"/>
        <v>16441.59292</v>
      </c>
      <c r="W10" s="129"/>
      <c r="X10" s="129">
        <f t="shared" si="7"/>
        <v>10441.59292</v>
      </c>
      <c r="Y10" s="129"/>
      <c r="Z10" s="129"/>
      <c r="AA10" s="283"/>
    </row>
    <row r="11" ht="15.75" customHeight="1">
      <c r="A11" s="125">
        <v>8.0</v>
      </c>
      <c r="B11" s="126">
        <v>45169.0</v>
      </c>
      <c r="C11" s="281">
        <f t="shared" si="1"/>
        <v>2053</v>
      </c>
      <c r="D11" s="281">
        <v>0.0</v>
      </c>
      <c r="E11" s="128">
        <v>1766.0</v>
      </c>
      <c r="F11" s="128">
        <v>0.0</v>
      </c>
      <c r="G11" s="282">
        <v>0.0</v>
      </c>
      <c r="H11" s="127">
        <v>287.0</v>
      </c>
      <c r="I11" s="128"/>
      <c r="J11" s="282">
        <v>0.0</v>
      </c>
      <c r="K11" s="128">
        <v>8.0</v>
      </c>
      <c r="L11" s="128">
        <f t="shared" si="2"/>
        <v>23062000</v>
      </c>
      <c r="M11" s="128"/>
      <c r="N11" s="128">
        <f t="shared" si="3"/>
        <v>2009000</v>
      </c>
      <c r="O11" s="128"/>
      <c r="P11" s="128"/>
      <c r="Q11" s="129">
        <v>292000.0</v>
      </c>
      <c r="R11" s="129">
        <v>616200.0</v>
      </c>
      <c r="S11" s="129">
        <f t="shared" si="4"/>
        <v>6159000</v>
      </c>
      <c r="T11" s="129">
        <f t="shared" si="5"/>
        <v>7067200</v>
      </c>
      <c r="U11" s="129">
        <f t="shared" si="6"/>
        <v>3442.377009</v>
      </c>
      <c r="V11" s="129">
        <f t="shared" si="8"/>
        <v>16501.26716</v>
      </c>
      <c r="W11" s="129"/>
      <c r="X11" s="129">
        <f t="shared" si="7"/>
        <v>10442.37701</v>
      </c>
      <c r="Y11" s="129"/>
      <c r="Z11" s="129"/>
      <c r="AA11" s="283"/>
    </row>
    <row r="12" ht="15.75" customHeight="1">
      <c r="A12" s="132" t="s">
        <v>54</v>
      </c>
      <c r="B12" s="134"/>
      <c r="C12" s="284">
        <f>SUM(C5:C11)</f>
        <v>30241</v>
      </c>
      <c r="D12" s="285"/>
      <c r="E12" s="286">
        <f t="shared" ref="E12:H12" si="9">SUM(E5:E11)</f>
        <v>24097</v>
      </c>
      <c r="F12" s="154">
        <f t="shared" si="9"/>
        <v>1941</v>
      </c>
      <c r="G12" s="287">
        <f t="shared" si="9"/>
        <v>900</v>
      </c>
      <c r="H12" s="135">
        <f t="shared" si="9"/>
        <v>3303</v>
      </c>
      <c r="I12" s="286"/>
      <c r="J12" s="287">
        <f t="shared" ref="J12:L12" si="10">SUM(J5:J11)</f>
        <v>0</v>
      </c>
      <c r="K12" s="154">
        <f t="shared" si="10"/>
        <v>8</v>
      </c>
      <c r="L12" s="154">
        <f t="shared" si="10"/>
        <v>346557000</v>
      </c>
      <c r="M12" s="154"/>
      <c r="N12" s="287">
        <f>SUM(N5:N11)</f>
        <v>23121000</v>
      </c>
      <c r="O12" s="154"/>
      <c r="P12" s="287"/>
      <c r="Q12" s="288">
        <f t="shared" ref="Q12:T12" si="11">SUM(Q5:Q11)</f>
        <v>4316000</v>
      </c>
      <c r="R12" s="288">
        <f t="shared" si="11"/>
        <v>9368700</v>
      </c>
      <c r="S12" s="288">
        <f t="shared" si="11"/>
        <v>90723000</v>
      </c>
      <c r="T12" s="288">
        <f t="shared" si="11"/>
        <v>104407700</v>
      </c>
      <c r="U12" s="288"/>
      <c r="V12" s="288"/>
      <c r="W12" s="288"/>
      <c r="X12" s="288"/>
      <c r="Y12" s="288"/>
      <c r="Z12" s="288"/>
      <c r="AA12" s="289"/>
      <c r="AB12" s="176"/>
    </row>
    <row r="13" ht="15.75" customHeight="1">
      <c r="D13" s="124"/>
      <c r="E13" s="124"/>
      <c r="F13" s="124"/>
      <c r="I13" s="124"/>
      <c r="K13" s="124"/>
      <c r="L13" s="124"/>
      <c r="M13" s="124"/>
      <c r="O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</row>
    <row r="14" ht="15.75" customHeight="1">
      <c r="A14" s="156">
        <v>1.0</v>
      </c>
      <c r="B14" s="143">
        <v>45170.0</v>
      </c>
      <c r="C14" s="290">
        <f t="shared" ref="C14:C20" si="12">SUM(D14:H14)</f>
        <v>7956</v>
      </c>
      <c r="D14" s="157">
        <v>528.0</v>
      </c>
      <c r="E14" s="157">
        <v>6069.0</v>
      </c>
      <c r="F14" s="157">
        <v>0.0</v>
      </c>
      <c r="G14" s="157">
        <v>0.0</v>
      </c>
      <c r="H14" s="157">
        <v>1359.0</v>
      </c>
      <c r="I14" s="157"/>
      <c r="J14" s="157">
        <v>0.0</v>
      </c>
      <c r="K14" s="157">
        <v>0.0</v>
      </c>
      <c r="L14" s="157">
        <f>(SUM(E14)*13000)+D14*14000</f>
        <v>86289000</v>
      </c>
      <c r="M14" s="157"/>
      <c r="N14" s="131">
        <f t="shared" ref="N14:N20" si="13">H14*7000</f>
        <v>9513000</v>
      </c>
      <c r="O14" s="157"/>
      <c r="P14" s="131"/>
      <c r="Q14" s="158">
        <f>4000*284</f>
        <v>1136000</v>
      </c>
      <c r="R14" s="158">
        <f t="shared" ref="R14:R20" si="14">300*(SUM(D14:J14))</f>
        <v>2386800</v>
      </c>
      <c r="S14" s="158">
        <f t="shared" ref="S14:S20" si="15">3000*SUM(D14:J14)</f>
        <v>23868000</v>
      </c>
      <c r="T14" s="158">
        <f t="shared" ref="T14:T20" si="16">SUM(Q14:S14)</f>
        <v>27390800</v>
      </c>
      <c r="U14" s="158">
        <f t="shared" ref="U14:U20" si="17">T14/SUM(D14:J14)</f>
        <v>3442.785319</v>
      </c>
      <c r="V14" s="158">
        <f t="shared" ref="V14:V20" si="18">L14/SUM(D14:G14)+U14</f>
        <v>16522.8217</v>
      </c>
      <c r="W14" s="158"/>
      <c r="X14" s="158">
        <f t="shared" ref="X14:X20" si="19">(N14/H14)+U14</f>
        <v>10442.78532</v>
      </c>
      <c r="Y14" s="158"/>
      <c r="Z14" s="158"/>
      <c r="AA14" s="158">
        <f t="shared" ref="AA14:AA20" si="20">K14*13000</f>
        <v>0</v>
      </c>
      <c r="AB14" s="160"/>
    </row>
    <row r="15" ht="15.75" customHeight="1">
      <c r="A15" s="125">
        <v>2.0</v>
      </c>
      <c r="B15" s="126">
        <v>45171.0</v>
      </c>
      <c r="C15" s="290">
        <f t="shared" si="12"/>
        <v>2913</v>
      </c>
      <c r="D15" s="128">
        <v>0.0</v>
      </c>
      <c r="E15" s="128">
        <v>2467.0</v>
      </c>
      <c r="F15" s="128">
        <v>0.0</v>
      </c>
      <c r="G15" s="128">
        <v>0.0</v>
      </c>
      <c r="H15" s="128">
        <v>446.0</v>
      </c>
      <c r="I15" s="128"/>
      <c r="J15" s="157">
        <v>0.0</v>
      </c>
      <c r="K15" s="128">
        <v>0.0</v>
      </c>
      <c r="L15" s="128">
        <f t="shared" ref="L15:L16" si="21">SUM(D15:G15)*13000</f>
        <v>32071000</v>
      </c>
      <c r="M15" s="128"/>
      <c r="N15" s="131">
        <f t="shared" si="13"/>
        <v>3122000</v>
      </c>
      <c r="O15" s="157"/>
      <c r="P15" s="131"/>
      <c r="Q15" s="158">
        <f>4000*104</f>
        <v>416000</v>
      </c>
      <c r="R15" s="158">
        <f t="shared" si="14"/>
        <v>873900</v>
      </c>
      <c r="S15" s="158">
        <f t="shared" si="15"/>
        <v>8739000</v>
      </c>
      <c r="T15" s="158">
        <f t="shared" si="16"/>
        <v>10028900</v>
      </c>
      <c r="U15" s="158">
        <f t="shared" si="17"/>
        <v>3442.808102</v>
      </c>
      <c r="V15" s="158">
        <f t="shared" si="18"/>
        <v>16442.8081</v>
      </c>
      <c r="W15" s="158"/>
      <c r="X15" s="158">
        <f t="shared" si="19"/>
        <v>10442.8081</v>
      </c>
      <c r="Y15" s="158"/>
      <c r="Z15" s="158"/>
      <c r="AA15" s="158">
        <f t="shared" si="20"/>
        <v>0</v>
      </c>
    </row>
    <row r="16" ht="15.75" customHeight="1">
      <c r="A16" s="125">
        <v>3.0</v>
      </c>
      <c r="B16" s="126">
        <v>45172.0</v>
      </c>
      <c r="C16" s="290">
        <f t="shared" si="12"/>
        <v>276</v>
      </c>
      <c r="D16" s="128">
        <v>0.0</v>
      </c>
      <c r="E16" s="128">
        <v>235.0</v>
      </c>
      <c r="F16" s="128">
        <v>0.0</v>
      </c>
      <c r="G16" s="128">
        <v>0.0</v>
      </c>
      <c r="H16" s="128">
        <v>41.0</v>
      </c>
      <c r="I16" s="128"/>
      <c r="J16" s="157">
        <v>0.0</v>
      </c>
      <c r="K16" s="128">
        <v>0.0</v>
      </c>
      <c r="L16" s="128">
        <f t="shared" si="21"/>
        <v>3055000</v>
      </c>
      <c r="M16" s="128"/>
      <c r="N16" s="131">
        <f t="shared" si="13"/>
        <v>287000</v>
      </c>
      <c r="O16" s="157"/>
      <c r="P16" s="131"/>
      <c r="Q16" s="158">
        <f>4000*10</f>
        <v>40000</v>
      </c>
      <c r="R16" s="158">
        <f t="shared" si="14"/>
        <v>82800</v>
      </c>
      <c r="S16" s="158">
        <f t="shared" si="15"/>
        <v>828000</v>
      </c>
      <c r="T16" s="158">
        <f t="shared" si="16"/>
        <v>950800</v>
      </c>
      <c r="U16" s="158">
        <f t="shared" si="17"/>
        <v>3444.927536</v>
      </c>
      <c r="V16" s="158">
        <f t="shared" si="18"/>
        <v>16444.92754</v>
      </c>
      <c r="W16" s="158"/>
      <c r="X16" s="158">
        <f t="shared" si="19"/>
        <v>10444.92754</v>
      </c>
      <c r="Y16" s="158"/>
      <c r="Z16" s="158"/>
      <c r="AA16" s="158">
        <f t="shared" si="20"/>
        <v>0</v>
      </c>
    </row>
    <row r="17" ht="15.75" customHeight="1">
      <c r="A17" s="125">
        <v>4.0</v>
      </c>
      <c r="B17" s="126">
        <v>45173.0</v>
      </c>
      <c r="C17" s="290">
        <f t="shared" si="12"/>
        <v>4973</v>
      </c>
      <c r="D17" s="128">
        <v>436.0</v>
      </c>
      <c r="E17" s="141">
        <v>3315.0</v>
      </c>
      <c r="F17" s="128">
        <v>0.0</v>
      </c>
      <c r="G17" s="128">
        <v>0.0</v>
      </c>
      <c r="H17" s="128">
        <v>1222.0</v>
      </c>
      <c r="I17" s="128"/>
      <c r="J17" s="157">
        <v>0.0</v>
      </c>
      <c r="K17" s="141">
        <v>0.0</v>
      </c>
      <c r="L17" s="128">
        <f>(E17*13000)+(F17*12000)+(D17*13500)</f>
        <v>48981000</v>
      </c>
      <c r="M17" s="128"/>
      <c r="N17" s="131">
        <f t="shared" si="13"/>
        <v>8554000</v>
      </c>
      <c r="O17" s="157"/>
      <c r="P17" s="131"/>
      <c r="Q17" s="158">
        <f>4000*177</f>
        <v>708000</v>
      </c>
      <c r="R17" s="158">
        <f t="shared" si="14"/>
        <v>1491900</v>
      </c>
      <c r="S17" s="158">
        <f t="shared" si="15"/>
        <v>14919000</v>
      </c>
      <c r="T17" s="158">
        <f t="shared" si="16"/>
        <v>17118900</v>
      </c>
      <c r="U17" s="158">
        <f t="shared" si="17"/>
        <v>3442.368791</v>
      </c>
      <c r="V17" s="158">
        <f t="shared" si="18"/>
        <v>16500.48663</v>
      </c>
      <c r="W17" s="158"/>
      <c r="X17" s="158">
        <f t="shared" si="19"/>
        <v>10442.36879</v>
      </c>
      <c r="Y17" s="158"/>
      <c r="Z17" s="158"/>
      <c r="AA17" s="158">
        <f t="shared" si="20"/>
        <v>0</v>
      </c>
    </row>
    <row r="18" ht="15.75" customHeight="1">
      <c r="A18" s="125">
        <v>5.0</v>
      </c>
      <c r="B18" s="126">
        <v>45195.0</v>
      </c>
      <c r="C18" s="290">
        <f t="shared" si="12"/>
        <v>1990</v>
      </c>
      <c r="D18" s="128">
        <v>0.0</v>
      </c>
      <c r="E18" s="141">
        <v>818.0</v>
      </c>
      <c r="F18" s="128">
        <v>0.0</v>
      </c>
      <c r="G18" s="128">
        <v>0.0</v>
      </c>
      <c r="H18" s="140">
        <v>1172.0</v>
      </c>
      <c r="I18" s="141"/>
      <c r="J18" s="157">
        <v>0.0</v>
      </c>
      <c r="K18" s="141">
        <v>0.0</v>
      </c>
      <c r="L18" s="128">
        <f t="shared" ref="L18:L20" si="22">SUM(D18:G18)*13000</f>
        <v>10634000</v>
      </c>
      <c r="M18" s="128"/>
      <c r="N18" s="131">
        <f t="shared" si="13"/>
        <v>8204000</v>
      </c>
      <c r="O18" s="157"/>
      <c r="P18" s="131"/>
      <c r="Q18" s="158">
        <f>4000*71</f>
        <v>284000</v>
      </c>
      <c r="R18" s="158">
        <f t="shared" si="14"/>
        <v>597000</v>
      </c>
      <c r="S18" s="158">
        <f t="shared" si="15"/>
        <v>5970000</v>
      </c>
      <c r="T18" s="158">
        <f t="shared" si="16"/>
        <v>6851000</v>
      </c>
      <c r="U18" s="158">
        <f t="shared" si="17"/>
        <v>3442.713568</v>
      </c>
      <c r="V18" s="158">
        <f t="shared" si="18"/>
        <v>16442.71357</v>
      </c>
      <c r="W18" s="158"/>
      <c r="X18" s="158">
        <f t="shared" si="19"/>
        <v>10442.71357</v>
      </c>
      <c r="Y18" s="158"/>
      <c r="Z18" s="158"/>
      <c r="AA18" s="158">
        <f t="shared" si="20"/>
        <v>0</v>
      </c>
    </row>
    <row r="19" ht="15.75" customHeight="1">
      <c r="A19" s="125">
        <v>6.0</v>
      </c>
      <c r="B19" s="126">
        <v>45197.0</v>
      </c>
      <c r="C19" s="290">
        <f t="shared" si="12"/>
        <v>1548</v>
      </c>
      <c r="D19" s="128">
        <v>0.0</v>
      </c>
      <c r="E19" s="141">
        <v>1309.0</v>
      </c>
      <c r="F19" s="128">
        <v>0.0</v>
      </c>
      <c r="G19" s="128">
        <v>0.0</v>
      </c>
      <c r="H19" s="140">
        <v>239.0</v>
      </c>
      <c r="I19" s="141"/>
      <c r="J19" s="157">
        <v>0.0</v>
      </c>
      <c r="K19" s="128">
        <v>0.0</v>
      </c>
      <c r="L19" s="128">
        <f t="shared" si="22"/>
        <v>17017000</v>
      </c>
      <c r="M19" s="128"/>
      <c r="N19" s="131">
        <f t="shared" si="13"/>
        <v>1673000</v>
      </c>
      <c r="O19" s="157"/>
      <c r="P19" s="131"/>
      <c r="Q19" s="158">
        <f>4000*55</f>
        <v>220000</v>
      </c>
      <c r="R19" s="158">
        <f t="shared" si="14"/>
        <v>464400</v>
      </c>
      <c r="S19" s="158">
        <f t="shared" si="15"/>
        <v>4644000</v>
      </c>
      <c r="T19" s="158">
        <f t="shared" si="16"/>
        <v>5328400</v>
      </c>
      <c r="U19" s="158">
        <f t="shared" si="17"/>
        <v>3442.118863</v>
      </c>
      <c r="V19" s="158">
        <f t="shared" si="18"/>
        <v>16442.11886</v>
      </c>
      <c r="W19" s="158"/>
      <c r="X19" s="158">
        <f t="shared" si="19"/>
        <v>10442.11886</v>
      </c>
      <c r="Y19" s="158"/>
      <c r="Z19" s="158"/>
      <c r="AA19" s="158">
        <f t="shared" si="20"/>
        <v>0</v>
      </c>
    </row>
    <row r="20" ht="15.75" customHeight="1">
      <c r="A20" s="125">
        <v>7.0</v>
      </c>
      <c r="B20" s="126">
        <v>45199.0</v>
      </c>
      <c r="C20" s="290">
        <f t="shared" si="12"/>
        <v>3269</v>
      </c>
      <c r="D20" s="128">
        <v>0.0</v>
      </c>
      <c r="E20" s="141">
        <v>2250.0</v>
      </c>
      <c r="F20" s="128">
        <v>0.0</v>
      </c>
      <c r="G20" s="128">
        <v>0.0</v>
      </c>
      <c r="H20" s="140">
        <v>1019.0</v>
      </c>
      <c r="I20" s="141"/>
      <c r="J20" s="157">
        <v>0.0</v>
      </c>
      <c r="K20" s="141">
        <v>0.0</v>
      </c>
      <c r="L20" s="128">
        <f t="shared" si="22"/>
        <v>29250000</v>
      </c>
      <c r="M20" s="128"/>
      <c r="N20" s="131">
        <f t="shared" si="13"/>
        <v>7133000</v>
      </c>
      <c r="O20" s="157"/>
      <c r="P20" s="131"/>
      <c r="Q20" s="158">
        <f>4000*117</f>
        <v>468000</v>
      </c>
      <c r="R20" s="158">
        <f t="shared" si="14"/>
        <v>980700</v>
      </c>
      <c r="S20" s="158">
        <f t="shared" si="15"/>
        <v>9807000</v>
      </c>
      <c r="T20" s="158">
        <f t="shared" si="16"/>
        <v>11255700</v>
      </c>
      <c r="U20" s="158">
        <f t="shared" si="17"/>
        <v>3443.163047</v>
      </c>
      <c r="V20" s="158">
        <f t="shared" si="18"/>
        <v>16443.16305</v>
      </c>
      <c r="W20" s="158"/>
      <c r="X20" s="158">
        <f t="shared" si="19"/>
        <v>10443.16305</v>
      </c>
      <c r="Y20" s="158"/>
      <c r="Z20" s="158"/>
      <c r="AA20" s="158">
        <f t="shared" si="20"/>
        <v>0</v>
      </c>
    </row>
    <row r="21" ht="15.75" customHeight="1">
      <c r="A21" s="132" t="s">
        <v>54</v>
      </c>
      <c r="B21" s="134"/>
      <c r="C21" s="291">
        <f t="shared" ref="C21:H21" si="23">SUM(C14:C20)</f>
        <v>22925</v>
      </c>
      <c r="D21" s="154">
        <f t="shared" si="23"/>
        <v>964</v>
      </c>
      <c r="E21" s="286">
        <f t="shared" si="23"/>
        <v>16463</v>
      </c>
      <c r="F21" s="286">
        <f t="shared" si="23"/>
        <v>0</v>
      </c>
      <c r="G21" s="136">
        <f t="shared" si="23"/>
        <v>0</v>
      </c>
      <c r="H21" s="135">
        <f t="shared" si="23"/>
        <v>5498</v>
      </c>
      <c r="I21" s="286"/>
      <c r="J21" s="135"/>
      <c r="K21" s="286">
        <f t="shared" ref="K21:L21" si="24">SUM(K14:K20)</f>
        <v>0</v>
      </c>
      <c r="L21" s="286">
        <f t="shared" si="24"/>
        <v>227297000</v>
      </c>
      <c r="M21" s="286"/>
      <c r="N21" s="135">
        <f>SUM(N14:N20)</f>
        <v>38486000</v>
      </c>
      <c r="O21" s="286"/>
      <c r="P21" s="135"/>
      <c r="Q21" s="138">
        <f t="shared" ref="Q21:T21" si="25">SUM(Q14:Q20)</f>
        <v>3272000</v>
      </c>
      <c r="R21" s="138">
        <f t="shared" si="25"/>
        <v>6877500</v>
      </c>
      <c r="S21" s="138">
        <f t="shared" si="25"/>
        <v>68775000</v>
      </c>
      <c r="T21" s="138">
        <f t="shared" si="25"/>
        <v>78924500</v>
      </c>
      <c r="U21" s="139"/>
      <c r="V21" s="139"/>
      <c r="W21" s="139"/>
      <c r="X21" s="139"/>
      <c r="Y21" s="139"/>
      <c r="Z21" s="139"/>
      <c r="AA21" s="139"/>
    </row>
    <row r="22" ht="15.75" customHeight="1">
      <c r="D22" s="124"/>
      <c r="E22" s="124"/>
      <c r="F22" s="124"/>
      <c r="I22" s="124"/>
      <c r="K22" s="124"/>
      <c r="L22" s="124"/>
      <c r="M22" s="124"/>
      <c r="O22" s="124"/>
      <c r="P22" s="124"/>
      <c r="Q22" s="124"/>
      <c r="R22" s="124"/>
      <c r="S22" s="124"/>
    </row>
    <row r="23" ht="15.75" customHeight="1">
      <c r="A23" s="156">
        <v>1.0</v>
      </c>
      <c r="B23" s="126">
        <v>45200.0</v>
      </c>
      <c r="C23" s="290">
        <f t="shared" ref="C23:C26" si="26">SUM(D23:J23)</f>
        <v>1187</v>
      </c>
      <c r="D23" s="157">
        <v>0.0</v>
      </c>
      <c r="E23" s="157">
        <v>855.0</v>
      </c>
      <c r="F23" s="157">
        <v>0.0</v>
      </c>
      <c r="G23" s="157">
        <v>0.0</v>
      </c>
      <c r="H23" s="157">
        <v>332.0</v>
      </c>
      <c r="I23" s="157"/>
      <c r="J23" s="157">
        <v>0.0</v>
      </c>
      <c r="K23" s="157">
        <v>0.0</v>
      </c>
      <c r="L23" s="157">
        <f>(SUM(E23)*13000)+D23*14000</f>
        <v>11115000</v>
      </c>
      <c r="M23" s="157"/>
      <c r="N23" s="131">
        <f t="shared" ref="N23:N40" si="27">H23*7000</f>
        <v>2324000</v>
      </c>
      <c r="O23" s="157"/>
      <c r="P23" s="131"/>
      <c r="Q23" s="158">
        <f>4000*42</f>
        <v>168000</v>
      </c>
      <c r="R23" s="158">
        <f t="shared" ref="R23:R26" si="28">300*(SUM(D23:J23))</f>
        <v>356100</v>
      </c>
      <c r="S23" s="158">
        <f t="shared" ref="S23:S26" si="29">3000*SUM(D23:J23)</f>
        <v>3561000</v>
      </c>
      <c r="T23" s="158">
        <f t="shared" ref="T23:T40" si="30">SUM(Q23:S23)</f>
        <v>4085100</v>
      </c>
      <c r="U23" s="158">
        <f t="shared" ref="U23:U40" si="31">T23/SUM(D23:J23)</f>
        <v>3441.533277</v>
      </c>
      <c r="V23" s="158">
        <f t="shared" ref="V23:V26" si="32">L23/SUM(D23:G23)+U23</f>
        <v>16441.53328</v>
      </c>
      <c r="W23" s="158"/>
      <c r="X23" s="158">
        <f t="shared" ref="X23:X40" si="33">(N23/H23)+U23</f>
        <v>10441.53328</v>
      </c>
      <c r="Y23" s="158"/>
      <c r="Z23" s="158"/>
      <c r="AA23" s="158">
        <f t="shared" ref="AA23:AA30" si="34">K23*13000</f>
        <v>0</v>
      </c>
      <c r="AB23" s="160"/>
    </row>
    <row r="24" ht="15.75" customHeight="1">
      <c r="A24" s="125">
        <v>2.0</v>
      </c>
      <c r="B24" s="126">
        <v>45202.0</v>
      </c>
      <c r="C24" s="290">
        <f t="shared" si="26"/>
        <v>4923</v>
      </c>
      <c r="D24" s="128">
        <v>0.0</v>
      </c>
      <c r="E24" s="128">
        <v>4470.0</v>
      </c>
      <c r="F24" s="128">
        <v>0.0</v>
      </c>
      <c r="G24" s="128">
        <v>0.0</v>
      </c>
      <c r="H24" s="128">
        <v>453.0</v>
      </c>
      <c r="I24" s="128"/>
      <c r="J24" s="157">
        <v>0.0</v>
      </c>
      <c r="K24" s="128">
        <v>0.0</v>
      </c>
      <c r="L24" s="128">
        <f t="shared" ref="L24:L25" si="35">SUM(D24:G24)*13000</f>
        <v>58110000</v>
      </c>
      <c r="M24" s="128"/>
      <c r="N24" s="131">
        <f t="shared" si="27"/>
        <v>3171000</v>
      </c>
      <c r="O24" s="157"/>
      <c r="P24" s="131"/>
      <c r="Q24" s="158">
        <f>4000*175</f>
        <v>700000</v>
      </c>
      <c r="R24" s="158">
        <f t="shared" si="28"/>
        <v>1476900</v>
      </c>
      <c r="S24" s="158">
        <f t="shared" si="29"/>
        <v>14769000</v>
      </c>
      <c r="T24" s="158">
        <f t="shared" si="30"/>
        <v>16945900</v>
      </c>
      <c r="U24" s="158">
        <f t="shared" si="31"/>
        <v>3442.189722</v>
      </c>
      <c r="V24" s="158">
        <f t="shared" si="32"/>
        <v>16442.18972</v>
      </c>
      <c r="W24" s="158"/>
      <c r="X24" s="158">
        <f t="shared" si="33"/>
        <v>10442.18972</v>
      </c>
      <c r="Y24" s="158"/>
      <c r="Z24" s="158"/>
      <c r="AA24" s="158">
        <f t="shared" si="34"/>
        <v>0</v>
      </c>
    </row>
    <row r="25" ht="15.75" customHeight="1">
      <c r="A25" s="125">
        <v>3.0</v>
      </c>
      <c r="B25" s="126">
        <v>45203.0</v>
      </c>
      <c r="C25" s="290">
        <f t="shared" si="26"/>
        <v>3212</v>
      </c>
      <c r="D25" s="128">
        <v>0.0</v>
      </c>
      <c r="E25" s="128">
        <v>2975.0</v>
      </c>
      <c r="F25" s="128">
        <v>0.0</v>
      </c>
      <c r="G25" s="128">
        <v>0.0</v>
      </c>
      <c r="H25" s="128">
        <v>237.0</v>
      </c>
      <c r="I25" s="128"/>
      <c r="J25" s="157">
        <v>0.0</v>
      </c>
      <c r="K25" s="128">
        <v>0.0</v>
      </c>
      <c r="L25" s="128">
        <f t="shared" si="35"/>
        <v>38675000</v>
      </c>
      <c r="M25" s="128"/>
      <c r="N25" s="131">
        <f t="shared" si="27"/>
        <v>1659000</v>
      </c>
      <c r="O25" s="157"/>
      <c r="P25" s="131"/>
      <c r="Q25" s="158">
        <f>4000*116</f>
        <v>464000</v>
      </c>
      <c r="R25" s="158">
        <f t="shared" si="28"/>
        <v>963600</v>
      </c>
      <c r="S25" s="158">
        <f t="shared" si="29"/>
        <v>9636000</v>
      </c>
      <c r="T25" s="158">
        <f t="shared" si="30"/>
        <v>11063600</v>
      </c>
      <c r="U25" s="158">
        <f t="shared" si="31"/>
        <v>3444.458281</v>
      </c>
      <c r="V25" s="158">
        <f t="shared" si="32"/>
        <v>16444.45828</v>
      </c>
      <c r="W25" s="158"/>
      <c r="X25" s="158">
        <f t="shared" si="33"/>
        <v>10444.45828</v>
      </c>
      <c r="Y25" s="158"/>
      <c r="Z25" s="158"/>
      <c r="AA25" s="158">
        <f t="shared" si="34"/>
        <v>0</v>
      </c>
    </row>
    <row r="26" ht="15.75" customHeight="1">
      <c r="A26" s="125">
        <v>4.0</v>
      </c>
      <c r="B26" s="126">
        <v>45204.0</v>
      </c>
      <c r="C26" s="290">
        <f t="shared" si="26"/>
        <v>1200</v>
      </c>
      <c r="D26" s="128">
        <v>0.0</v>
      </c>
      <c r="E26" s="141">
        <v>419.0</v>
      </c>
      <c r="F26" s="128">
        <v>0.0</v>
      </c>
      <c r="G26" s="128">
        <v>0.0</v>
      </c>
      <c r="H26" s="128">
        <v>767.0</v>
      </c>
      <c r="I26" s="141"/>
      <c r="J26" s="141">
        <v>14.0</v>
      </c>
      <c r="K26" s="141">
        <v>0.0</v>
      </c>
      <c r="L26" s="128">
        <f>(E26*13000)+(F26*12000)+(D26*13500)</f>
        <v>5447000</v>
      </c>
      <c r="M26" s="128"/>
      <c r="N26" s="131">
        <f t="shared" si="27"/>
        <v>5369000</v>
      </c>
      <c r="O26" s="157"/>
      <c r="P26" s="131">
        <f t="shared" ref="P26:P40" si="36">J26*4000</f>
        <v>56000</v>
      </c>
      <c r="Q26" s="158">
        <f>4000*44</f>
        <v>176000</v>
      </c>
      <c r="R26" s="158">
        <f t="shared" si="28"/>
        <v>360000</v>
      </c>
      <c r="S26" s="158">
        <f t="shared" si="29"/>
        <v>3600000</v>
      </c>
      <c r="T26" s="158">
        <f t="shared" si="30"/>
        <v>4136000</v>
      </c>
      <c r="U26" s="158">
        <f t="shared" si="31"/>
        <v>3446.666667</v>
      </c>
      <c r="V26" s="158">
        <f t="shared" si="32"/>
        <v>16446.66667</v>
      </c>
      <c r="W26" s="158"/>
      <c r="X26" s="158">
        <f t="shared" si="33"/>
        <v>10446.66667</v>
      </c>
      <c r="Y26" s="158"/>
      <c r="Z26" s="158">
        <f t="shared" ref="Z26:Z40" si="37">(P26/J26)+U26</f>
        <v>7446.666667</v>
      </c>
      <c r="AA26" s="158">
        <f t="shared" si="34"/>
        <v>0</v>
      </c>
    </row>
    <row r="27" ht="15.75" customHeight="1">
      <c r="A27" s="292">
        <v>5.0</v>
      </c>
      <c r="B27" s="126">
        <v>45207.0</v>
      </c>
      <c r="C27" s="290">
        <f>SUM(D27:J27)+0.6</f>
        <v>8086.6</v>
      </c>
      <c r="D27" s="128">
        <v>0.0</v>
      </c>
      <c r="E27" s="141">
        <f>4483-K27</f>
        <v>4315</v>
      </c>
      <c r="F27" s="128">
        <v>0.0</v>
      </c>
      <c r="G27" s="128">
        <v>0.0</v>
      </c>
      <c r="H27" s="140">
        <v>3732.0</v>
      </c>
      <c r="I27" s="141"/>
      <c r="J27" s="140">
        <v>39.0</v>
      </c>
      <c r="K27" s="141">
        <v>168.0</v>
      </c>
      <c r="L27" s="128">
        <f t="shared" ref="L27:L30" si="38">(E27+K27)*13000</f>
        <v>58279000</v>
      </c>
      <c r="M27" s="128"/>
      <c r="N27" s="131">
        <f t="shared" si="27"/>
        <v>26124000</v>
      </c>
      <c r="O27" s="157"/>
      <c r="P27" s="131">
        <f t="shared" si="36"/>
        <v>156000</v>
      </c>
      <c r="Q27" s="158">
        <f>4000*300</f>
        <v>1200000</v>
      </c>
      <c r="R27" s="158">
        <v>2525100.0</v>
      </c>
      <c r="S27" s="158">
        <f t="shared" ref="S27:S40" si="39">2834*SUM(D27:J27)</f>
        <v>22915724</v>
      </c>
      <c r="T27" s="158">
        <f t="shared" si="30"/>
        <v>26640824</v>
      </c>
      <c r="U27" s="158">
        <f t="shared" si="31"/>
        <v>3294.685135</v>
      </c>
      <c r="V27" s="158">
        <f t="shared" ref="V27:V40" si="40">L27/(SUM(D27:G27)+K27)+U27</f>
        <v>16294.68513</v>
      </c>
      <c r="W27" s="158"/>
      <c r="X27" s="158">
        <f t="shared" si="33"/>
        <v>10294.68513</v>
      </c>
      <c r="Y27" s="158"/>
      <c r="Z27" s="158">
        <f t="shared" si="37"/>
        <v>7294.685135</v>
      </c>
      <c r="AA27" s="158">
        <f t="shared" si="34"/>
        <v>2184000</v>
      </c>
    </row>
    <row r="28" ht="15.75" customHeight="1">
      <c r="A28" s="125">
        <v>6.0</v>
      </c>
      <c r="B28" s="126">
        <v>45208.0</v>
      </c>
      <c r="C28" s="290">
        <f>SUM(D28:J28)+0.3</f>
        <v>7451.3</v>
      </c>
      <c r="D28" s="128">
        <v>0.0</v>
      </c>
      <c r="E28" s="141">
        <f>4649-K28</f>
        <v>4502</v>
      </c>
      <c r="F28" s="128">
        <v>0.0</v>
      </c>
      <c r="G28" s="128">
        <v>0.0</v>
      </c>
      <c r="H28" s="140">
        <v>2534.0</v>
      </c>
      <c r="I28" s="141"/>
      <c r="J28" s="140">
        <v>415.0</v>
      </c>
      <c r="K28" s="128">
        <v>147.0</v>
      </c>
      <c r="L28" s="128">
        <f t="shared" si="38"/>
        <v>60437000</v>
      </c>
      <c r="M28" s="128"/>
      <c r="N28" s="131">
        <f t="shared" si="27"/>
        <v>17738000</v>
      </c>
      <c r="O28" s="157"/>
      <c r="P28" s="131">
        <f t="shared" si="36"/>
        <v>1660000</v>
      </c>
      <c r="Q28" s="158">
        <f>4000*271</f>
        <v>1084000</v>
      </c>
      <c r="R28" s="158">
        <f t="shared" ref="R28:R34" si="41">300*(SUM(D28:K28))</f>
        <v>2279400</v>
      </c>
      <c r="S28" s="158">
        <f t="shared" si="39"/>
        <v>21116134</v>
      </c>
      <c r="T28" s="158">
        <f t="shared" si="30"/>
        <v>24479534</v>
      </c>
      <c r="U28" s="158">
        <f t="shared" si="31"/>
        <v>3285.402496</v>
      </c>
      <c r="V28" s="158">
        <f t="shared" si="40"/>
        <v>16285.4025</v>
      </c>
      <c r="W28" s="158"/>
      <c r="X28" s="158">
        <f t="shared" si="33"/>
        <v>10285.4025</v>
      </c>
      <c r="Y28" s="158"/>
      <c r="Z28" s="158">
        <f t="shared" si="37"/>
        <v>7285.402496</v>
      </c>
      <c r="AA28" s="158">
        <f t="shared" si="34"/>
        <v>1911000</v>
      </c>
    </row>
    <row r="29" ht="15.75" customHeight="1">
      <c r="A29" s="125">
        <v>7.0</v>
      </c>
      <c r="B29" s="126">
        <v>45209.0</v>
      </c>
      <c r="C29" s="290">
        <f>SUM(D29:J29)+0.7</f>
        <v>7016.7</v>
      </c>
      <c r="D29" s="128">
        <v>0.0</v>
      </c>
      <c r="E29" s="141">
        <f>5325-K29</f>
        <v>5257</v>
      </c>
      <c r="F29" s="128">
        <v>0.0</v>
      </c>
      <c r="G29" s="128">
        <v>0.0</v>
      </c>
      <c r="H29" s="140">
        <v>1716.0</v>
      </c>
      <c r="I29" s="141"/>
      <c r="J29" s="140">
        <v>43.0</v>
      </c>
      <c r="K29" s="141">
        <v>68.0</v>
      </c>
      <c r="L29" s="128">
        <f t="shared" si="38"/>
        <v>69225000</v>
      </c>
      <c r="M29" s="128"/>
      <c r="N29" s="131">
        <f t="shared" si="27"/>
        <v>12012000</v>
      </c>
      <c r="O29" s="157"/>
      <c r="P29" s="131">
        <f t="shared" si="36"/>
        <v>172000</v>
      </c>
      <c r="Q29" s="158">
        <f>4000*253</f>
        <v>1012000</v>
      </c>
      <c r="R29" s="158">
        <f t="shared" si="41"/>
        <v>2125200</v>
      </c>
      <c r="S29" s="158">
        <f t="shared" si="39"/>
        <v>19883344</v>
      </c>
      <c r="T29" s="158">
        <f t="shared" si="30"/>
        <v>23020544</v>
      </c>
      <c r="U29" s="158">
        <f t="shared" si="31"/>
        <v>3281.149373</v>
      </c>
      <c r="V29" s="158">
        <f t="shared" si="40"/>
        <v>16281.14937</v>
      </c>
      <c r="W29" s="158"/>
      <c r="X29" s="158">
        <f t="shared" si="33"/>
        <v>10281.14937</v>
      </c>
      <c r="Y29" s="158"/>
      <c r="Z29" s="158">
        <f t="shared" si="37"/>
        <v>7281.149373</v>
      </c>
      <c r="AA29" s="158">
        <f t="shared" si="34"/>
        <v>884000</v>
      </c>
    </row>
    <row r="30" ht="15.75" customHeight="1">
      <c r="A30" s="125">
        <v>8.0</v>
      </c>
      <c r="B30" s="126">
        <v>45210.0</v>
      </c>
      <c r="C30" s="290">
        <f>SUM(D30:J30)+0.1</f>
        <v>6180.1</v>
      </c>
      <c r="D30" s="128">
        <v>0.0</v>
      </c>
      <c r="E30" s="141">
        <f>5840-K30</f>
        <v>5804</v>
      </c>
      <c r="F30" s="128">
        <v>0.0</v>
      </c>
      <c r="G30" s="128">
        <v>0.0</v>
      </c>
      <c r="H30" s="140">
        <v>370.0</v>
      </c>
      <c r="I30" s="141"/>
      <c r="J30" s="140">
        <v>6.0</v>
      </c>
      <c r="K30" s="141">
        <v>36.0</v>
      </c>
      <c r="L30" s="128">
        <f t="shared" si="38"/>
        <v>75920000</v>
      </c>
      <c r="M30" s="128"/>
      <c r="N30" s="131">
        <f t="shared" si="27"/>
        <v>2590000</v>
      </c>
      <c r="O30" s="157"/>
      <c r="P30" s="131">
        <f t="shared" si="36"/>
        <v>24000</v>
      </c>
      <c r="Q30" s="158">
        <f>4000*222</f>
        <v>888000</v>
      </c>
      <c r="R30" s="158">
        <f t="shared" si="41"/>
        <v>1864800</v>
      </c>
      <c r="S30" s="158">
        <f t="shared" si="39"/>
        <v>17514120</v>
      </c>
      <c r="T30" s="158">
        <f t="shared" si="30"/>
        <v>20266920</v>
      </c>
      <c r="U30" s="158">
        <f t="shared" si="31"/>
        <v>3279.436893</v>
      </c>
      <c r="V30" s="158">
        <f t="shared" si="40"/>
        <v>16279.43689</v>
      </c>
      <c r="W30" s="158"/>
      <c r="X30" s="158">
        <f t="shared" si="33"/>
        <v>10279.43689</v>
      </c>
      <c r="Y30" s="158"/>
      <c r="Z30" s="158">
        <f t="shared" si="37"/>
        <v>7279.436893</v>
      </c>
      <c r="AA30" s="158">
        <f t="shared" si="34"/>
        <v>468000</v>
      </c>
    </row>
    <row r="31" ht="15.75" customHeight="1">
      <c r="A31" s="125">
        <v>9.0</v>
      </c>
      <c r="B31" s="126">
        <v>45211.0</v>
      </c>
      <c r="C31" s="290">
        <f>SUM(D31:J31)+0.9</f>
        <v>6855.9</v>
      </c>
      <c r="D31" s="128">
        <v>0.0</v>
      </c>
      <c r="E31" s="141">
        <v>0.0</v>
      </c>
      <c r="F31" s="141">
        <f>5451-K31</f>
        <v>5390</v>
      </c>
      <c r="G31" s="128">
        <v>0.0</v>
      </c>
      <c r="H31" s="140">
        <v>1112.0</v>
      </c>
      <c r="I31" s="141"/>
      <c r="J31" s="140">
        <v>353.0</v>
      </c>
      <c r="K31" s="141">
        <v>61.0</v>
      </c>
      <c r="L31" s="128">
        <f t="shared" ref="L31:L35" si="42">(F31+K31)*12500</f>
        <v>68137500</v>
      </c>
      <c r="M31" s="128"/>
      <c r="N31" s="131">
        <f t="shared" si="27"/>
        <v>7784000</v>
      </c>
      <c r="O31" s="157"/>
      <c r="P31" s="131">
        <f t="shared" si="36"/>
        <v>1412000</v>
      </c>
      <c r="Q31" s="158">
        <f>4000*247</f>
        <v>988000</v>
      </c>
      <c r="R31" s="158">
        <f t="shared" si="41"/>
        <v>2074800</v>
      </c>
      <c r="S31" s="158">
        <f t="shared" si="39"/>
        <v>19427070</v>
      </c>
      <c r="T31" s="158">
        <f t="shared" si="30"/>
        <v>22489870</v>
      </c>
      <c r="U31" s="158">
        <f t="shared" si="31"/>
        <v>3280.797958</v>
      </c>
      <c r="V31" s="158">
        <f t="shared" si="40"/>
        <v>15780.79796</v>
      </c>
      <c r="W31" s="158"/>
      <c r="X31" s="158">
        <f t="shared" si="33"/>
        <v>10280.79796</v>
      </c>
      <c r="Y31" s="158"/>
      <c r="Z31" s="158">
        <f t="shared" si="37"/>
        <v>7280.797958</v>
      </c>
      <c r="AA31" s="158">
        <f t="shared" ref="AA31:AA35" si="43">K31*12500</f>
        <v>762500</v>
      </c>
    </row>
    <row r="32" ht="15.75" customHeight="1">
      <c r="A32" s="125">
        <v>10.0</v>
      </c>
      <c r="B32" s="143">
        <v>45212.0</v>
      </c>
      <c r="C32" s="290">
        <f t="shared" ref="C32:C33" si="44">SUM(D32:J32)+0.2</f>
        <v>6909.2</v>
      </c>
      <c r="D32" s="128">
        <v>0.0</v>
      </c>
      <c r="E32" s="141">
        <v>0.0</v>
      </c>
      <c r="F32" s="141">
        <f>5598-K32</f>
        <v>5479</v>
      </c>
      <c r="G32" s="128">
        <v>0.0</v>
      </c>
      <c r="H32" s="140">
        <v>1278.0</v>
      </c>
      <c r="I32" s="141"/>
      <c r="J32" s="140">
        <v>152.0</v>
      </c>
      <c r="K32" s="141">
        <v>119.0</v>
      </c>
      <c r="L32" s="128">
        <f t="shared" si="42"/>
        <v>69975000</v>
      </c>
      <c r="M32" s="128"/>
      <c r="N32" s="131">
        <f t="shared" si="27"/>
        <v>8946000</v>
      </c>
      <c r="O32" s="157"/>
      <c r="P32" s="131">
        <f t="shared" si="36"/>
        <v>608000</v>
      </c>
      <c r="Q32" s="158">
        <f>4000*251</f>
        <v>1004000</v>
      </c>
      <c r="R32" s="158">
        <f t="shared" si="41"/>
        <v>2108400</v>
      </c>
      <c r="S32" s="158">
        <f t="shared" si="39"/>
        <v>19580106</v>
      </c>
      <c r="T32" s="158">
        <f t="shared" si="30"/>
        <v>22692506</v>
      </c>
      <c r="U32" s="158">
        <f t="shared" si="31"/>
        <v>3284.484875</v>
      </c>
      <c r="V32" s="158">
        <f t="shared" si="40"/>
        <v>15784.48487</v>
      </c>
      <c r="W32" s="158"/>
      <c r="X32" s="158">
        <f t="shared" si="33"/>
        <v>10284.48487</v>
      </c>
      <c r="Y32" s="158"/>
      <c r="Z32" s="158">
        <f t="shared" si="37"/>
        <v>7284.484875</v>
      </c>
      <c r="AA32" s="158">
        <f t="shared" si="43"/>
        <v>1487500</v>
      </c>
    </row>
    <row r="33" ht="15.75" customHeight="1">
      <c r="A33" s="125">
        <v>11.0</v>
      </c>
      <c r="B33" s="126">
        <v>45213.0</v>
      </c>
      <c r="C33" s="290">
        <f t="shared" si="44"/>
        <v>4889.2</v>
      </c>
      <c r="D33" s="128">
        <v>0.0</v>
      </c>
      <c r="E33" s="141">
        <v>0.0</v>
      </c>
      <c r="F33" s="141">
        <f>4046-K33</f>
        <v>4007</v>
      </c>
      <c r="G33" s="128">
        <v>0.0</v>
      </c>
      <c r="H33" s="140">
        <v>421.0</v>
      </c>
      <c r="I33" s="141"/>
      <c r="J33" s="140">
        <v>461.0</v>
      </c>
      <c r="K33" s="141">
        <v>39.0</v>
      </c>
      <c r="L33" s="128">
        <f t="shared" si="42"/>
        <v>50575000</v>
      </c>
      <c r="M33" s="128"/>
      <c r="N33" s="131">
        <f t="shared" si="27"/>
        <v>2947000</v>
      </c>
      <c r="O33" s="157"/>
      <c r="P33" s="131">
        <f t="shared" si="36"/>
        <v>1844000</v>
      </c>
      <c r="Q33" s="158">
        <f>4000*176</f>
        <v>704000</v>
      </c>
      <c r="R33" s="158">
        <f t="shared" si="41"/>
        <v>1478400</v>
      </c>
      <c r="S33" s="158">
        <f t="shared" si="39"/>
        <v>13855426</v>
      </c>
      <c r="T33" s="158">
        <f t="shared" si="30"/>
        <v>16037826</v>
      </c>
      <c r="U33" s="158">
        <f t="shared" si="31"/>
        <v>3280.389855</v>
      </c>
      <c r="V33" s="158">
        <f t="shared" si="40"/>
        <v>15780.38985</v>
      </c>
      <c r="W33" s="158"/>
      <c r="X33" s="158">
        <f t="shared" si="33"/>
        <v>10280.38985</v>
      </c>
      <c r="Y33" s="158"/>
      <c r="Z33" s="158">
        <f t="shared" si="37"/>
        <v>7280.389855</v>
      </c>
      <c r="AA33" s="158">
        <f t="shared" si="43"/>
        <v>487500</v>
      </c>
    </row>
    <row r="34" ht="15.75" customHeight="1">
      <c r="A34" s="125">
        <v>12.0</v>
      </c>
      <c r="B34" s="126">
        <v>45216.0</v>
      </c>
      <c r="C34" s="290">
        <f>SUM(D34:J34)+0.1</f>
        <v>3256.1</v>
      </c>
      <c r="D34" s="128">
        <v>0.0</v>
      </c>
      <c r="E34" s="141">
        <v>0.0</v>
      </c>
      <c r="F34" s="141">
        <f>2821-48</f>
        <v>2773</v>
      </c>
      <c r="G34" s="128">
        <v>0.0</v>
      </c>
      <c r="H34" s="140">
        <v>438.0</v>
      </c>
      <c r="I34" s="141"/>
      <c r="J34" s="140">
        <v>45.0</v>
      </c>
      <c r="K34" s="141">
        <v>48.0</v>
      </c>
      <c r="L34" s="128">
        <f t="shared" si="42"/>
        <v>35262500</v>
      </c>
      <c r="M34" s="128"/>
      <c r="N34" s="131">
        <f t="shared" si="27"/>
        <v>3066000</v>
      </c>
      <c r="O34" s="157"/>
      <c r="P34" s="131">
        <f t="shared" si="36"/>
        <v>180000</v>
      </c>
      <c r="Q34" s="158">
        <f>4000*118</f>
        <v>472000</v>
      </c>
      <c r="R34" s="158">
        <f t="shared" si="41"/>
        <v>991200</v>
      </c>
      <c r="S34" s="158">
        <f t="shared" si="39"/>
        <v>9227504</v>
      </c>
      <c r="T34" s="158">
        <f t="shared" si="30"/>
        <v>10690704</v>
      </c>
      <c r="U34" s="158">
        <f t="shared" si="31"/>
        <v>3283.385749</v>
      </c>
      <c r="V34" s="158">
        <f t="shared" si="40"/>
        <v>15783.38575</v>
      </c>
      <c r="W34" s="158"/>
      <c r="X34" s="158">
        <f t="shared" si="33"/>
        <v>10283.38575</v>
      </c>
      <c r="Y34" s="158"/>
      <c r="Z34" s="158">
        <f t="shared" si="37"/>
        <v>7283.385749</v>
      </c>
      <c r="AA34" s="158">
        <f t="shared" si="43"/>
        <v>600000</v>
      </c>
    </row>
    <row r="35" ht="15.75" customHeight="1">
      <c r="A35" s="125">
        <v>13.0</v>
      </c>
      <c r="B35" s="126">
        <v>45217.0</v>
      </c>
      <c r="C35" s="290">
        <f>SUM(D35:J35)+0.7</f>
        <v>3590.7</v>
      </c>
      <c r="D35" s="128">
        <v>0.0</v>
      </c>
      <c r="E35" s="141">
        <v>0.0</v>
      </c>
      <c r="F35" s="141">
        <f>2054-73</f>
        <v>1981</v>
      </c>
      <c r="G35" s="128">
        <v>0.0</v>
      </c>
      <c r="H35" s="140">
        <v>1430.0</v>
      </c>
      <c r="I35" s="141"/>
      <c r="J35" s="140">
        <v>179.0</v>
      </c>
      <c r="K35" s="141">
        <v>73.0</v>
      </c>
      <c r="L35" s="128">
        <f t="shared" si="42"/>
        <v>25675000</v>
      </c>
      <c r="M35" s="128"/>
      <c r="N35" s="131">
        <f t="shared" si="27"/>
        <v>10010000</v>
      </c>
      <c r="O35" s="157"/>
      <c r="P35" s="131">
        <f t="shared" si="36"/>
        <v>716000</v>
      </c>
      <c r="Q35" s="158">
        <f>4000*132</f>
        <v>528000</v>
      </c>
      <c r="R35" s="158">
        <f>300*(SUM(D35:K35)+33)</f>
        <v>1108800</v>
      </c>
      <c r="S35" s="158">
        <f t="shared" si="39"/>
        <v>10174060</v>
      </c>
      <c r="T35" s="158">
        <f t="shared" si="30"/>
        <v>11810860</v>
      </c>
      <c r="U35" s="158">
        <f t="shared" si="31"/>
        <v>3289.933148</v>
      </c>
      <c r="V35" s="158">
        <f t="shared" si="40"/>
        <v>15789.93315</v>
      </c>
      <c r="W35" s="158"/>
      <c r="X35" s="158">
        <f t="shared" si="33"/>
        <v>10289.93315</v>
      </c>
      <c r="Y35" s="158"/>
      <c r="Z35" s="158">
        <f t="shared" si="37"/>
        <v>7289.933148</v>
      </c>
      <c r="AA35" s="158">
        <f t="shared" si="43"/>
        <v>912500</v>
      </c>
    </row>
    <row r="36" ht="15.75" customHeight="1">
      <c r="A36" s="125">
        <v>14.0</v>
      </c>
      <c r="B36" s="126">
        <v>45220.0</v>
      </c>
      <c r="C36" s="290">
        <f>SUM(D36:J36)+0.1</f>
        <v>5052.1</v>
      </c>
      <c r="D36" s="128">
        <v>0.0</v>
      </c>
      <c r="E36" s="141">
        <f>3362-K36</f>
        <v>3258</v>
      </c>
      <c r="F36" s="141">
        <v>0.0</v>
      </c>
      <c r="G36" s="128">
        <v>0.0</v>
      </c>
      <c r="H36" s="140">
        <v>1782.0</v>
      </c>
      <c r="I36" s="141"/>
      <c r="J36" s="140">
        <v>12.0</v>
      </c>
      <c r="K36" s="141">
        <v>104.0</v>
      </c>
      <c r="L36" s="128">
        <f>(E36+K36)*13000</f>
        <v>43706000</v>
      </c>
      <c r="M36" s="128"/>
      <c r="N36" s="131">
        <f t="shared" si="27"/>
        <v>12474000</v>
      </c>
      <c r="O36" s="157"/>
      <c r="P36" s="131">
        <f t="shared" si="36"/>
        <v>48000</v>
      </c>
      <c r="Q36" s="158">
        <f>4000*186</f>
        <v>744000</v>
      </c>
      <c r="R36" s="158">
        <f>300*(SUM(D36:K36)+52)</f>
        <v>1562400</v>
      </c>
      <c r="S36" s="158">
        <f t="shared" si="39"/>
        <v>14317368</v>
      </c>
      <c r="T36" s="158">
        <f t="shared" si="30"/>
        <v>16623768</v>
      </c>
      <c r="U36" s="158">
        <f t="shared" si="31"/>
        <v>3290.532067</v>
      </c>
      <c r="V36" s="158">
        <f t="shared" si="40"/>
        <v>16290.53207</v>
      </c>
      <c r="W36" s="158"/>
      <c r="X36" s="158">
        <f t="shared" si="33"/>
        <v>10290.53207</v>
      </c>
      <c r="Y36" s="158"/>
      <c r="Z36" s="158">
        <f t="shared" si="37"/>
        <v>7290.532067</v>
      </c>
      <c r="AA36" s="158">
        <f t="shared" ref="AA36:AA40" si="45">K36*13000</f>
        <v>1352000</v>
      </c>
    </row>
    <row r="37" ht="15.75" customHeight="1">
      <c r="A37" s="125">
        <v>15.0</v>
      </c>
      <c r="B37" s="126">
        <v>45223.0</v>
      </c>
      <c r="C37" s="290">
        <f>SUM(D37:J37)+0.7</f>
        <v>9711.7</v>
      </c>
      <c r="D37" s="128">
        <v>0.0</v>
      </c>
      <c r="E37" s="141">
        <f>9521-K37</f>
        <v>9376</v>
      </c>
      <c r="F37" s="141">
        <v>0.0</v>
      </c>
      <c r="G37" s="128">
        <v>0.0</v>
      </c>
      <c r="H37" s="140">
        <v>291.0</v>
      </c>
      <c r="I37" s="141"/>
      <c r="J37" s="140">
        <v>44.0</v>
      </c>
      <c r="K37" s="141">
        <v>145.0</v>
      </c>
      <c r="L37" s="128">
        <f t="shared" ref="L37:L39" si="46">SUM(D37:G37)*13000</f>
        <v>121888000</v>
      </c>
      <c r="M37" s="128"/>
      <c r="N37" s="131">
        <f t="shared" si="27"/>
        <v>2037000</v>
      </c>
      <c r="O37" s="157"/>
      <c r="P37" s="131">
        <f t="shared" si="36"/>
        <v>176000</v>
      </c>
      <c r="Q37" s="158">
        <f>4000*352</f>
        <v>1408000</v>
      </c>
      <c r="R37" s="158">
        <f t="shared" ref="R37:R38" si="47">300*(SUM(D37:K37))</f>
        <v>2956800</v>
      </c>
      <c r="S37" s="158">
        <f t="shared" si="39"/>
        <v>27520974</v>
      </c>
      <c r="T37" s="158">
        <f t="shared" si="30"/>
        <v>31885774</v>
      </c>
      <c r="U37" s="158">
        <f t="shared" si="31"/>
        <v>3283.469674</v>
      </c>
      <c r="V37" s="158">
        <f t="shared" si="40"/>
        <v>16085.48627</v>
      </c>
      <c r="W37" s="158"/>
      <c r="X37" s="158">
        <f t="shared" si="33"/>
        <v>10283.46967</v>
      </c>
      <c r="Y37" s="158"/>
      <c r="Z37" s="158">
        <f t="shared" si="37"/>
        <v>7283.469674</v>
      </c>
      <c r="AA37" s="158">
        <f t="shared" si="45"/>
        <v>1885000</v>
      </c>
    </row>
    <row r="38" ht="15.75" customHeight="1">
      <c r="A38" s="125">
        <v>16.0</v>
      </c>
      <c r="B38" s="126">
        <v>45225.0</v>
      </c>
      <c r="C38" s="290">
        <f>SUM(D38:J38)+0.2</f>
        <v>2775.2</v>
      </c>
      <c r="D38" s="128">
        <v>0.0</v>
      </c>
      <c r="E38" s="141">
        <f>2563-K38</f>
        <v>2538</v>
      </c>
      <c r="F38" s="141">
        <v>0.0</v>
      </c>
      <c r="G38" s="128">
        <v>0.0</v>
      </c>
      <c r="H38" s="140">
        <v>229.0</v>
      </c>
      <c r="I38" s="141"/>
      <c r="J38" s="140">
        <v>8.0</v>
      </c>
      <c r="K38" s="141">
        <v>25.0</v>
      </c>
      <c r="L38" s="128">
        <f t="shared" si="46"/>
        <v>32994000</v>
      </c>
      <c r="M38" s="128"/>
      <c r="N38" s="131">
        <f t="shared" si="27"/>
        <v>1603000</v>
      </c>
      <c r="O38" s="157"/>
      <c r="P38" s="131">
        <f t="shared" si="36"/>
        <v>32000</v>
      </c>
      <c r="Q38" s="158">
        <f>4000*100</f>
        <v>400000</v>
      </c>
      <c r="R38" s="158">
        <f t="shared" si="47"/>
        <v>840000</v>
      </c>
      <c r="S38" s="158">
        <f t="shared" si="39"/>
        <v>7864350</v>
      </c>
      <c r="T38" s="158">
        <f t="shared" si="30"/>
        <v>9104350</v>
      </c>
      <c r="U38" s="158">
        <f t="shared" si="31"/>
        <v>3280.846847</v>
      </c>
      <c r="V38" s="158">
        <f t="shared" si="40"/>
        <v>16154.04232</v>
      </c>
      <c r="W38" s="158"/>
      <c r="X38" s="158">
        <f t="shared" si="33"/>
        <v>10280.84685</v>
      </c>
      <c r="Y38" s="158"/>
      <c r="Z38" s="158">
        <f t="shared" si="37"/>
        <v>7280.846847</v>
      </c>
      <c r="AA38" s="158">
        <f t="shared" si="45"/>
        <v>325000</v>
      </c>
    </row>
    <row r="39" ht="15.75" customHeight="1">
      <c r="A39" s="125">
        <v>17.0</v>
      </c>
      <c r="B39" s="126">
        <v>45227.0</v>
      </c>
      <c r="C39" s="290">
        <f>SUM(D39:J39)+0.8</f>
        <v>2904.8</v>
      </c>
      <c r="D39" s="128">
        <v>0.0</v>
      </c>
      <c r="E39" s="141">
        <f>2626-K39</f>
        <v>2567</v>
      </c>
      <c r="F39" s="141">
        <v>0.0</v>
      </c>
      <c r="G39" s="128">
        <v>0.0</v>
      </c>
      <c r="H39" s="140">
        <v>326.0</v>
      </c>
      <c r="I39" s="141"/>
      <c r="J39" s="140">
        <v>11.0</v>
      </c>
      <c r="K39" s="141">
        <v>59.0</v>
      </c>
      <c r="L39" s="128">
        <f t="shared" si="46"/>
        <v>33371000</v>
      </c>
      <c r="M39" s="128"/>
      <c r="N39" s="131">
        <f t="shared" si="27"/>
        <v>2282000</v>
      </c>
      <c r="O39" s="157"/>
      <c r="P39" s="131">
        <f t="shared" si="36"/>
        <v>44000</v>
      </c>
      <c r="Q39" s="158">
        <f>4000*106</f>
        <v>424000</v>
      </c>
      <c r="R39" s="158">
        <f>300*(SUM(D39:K39)+5)</f>
        <v>890400</v>
      </c>
      <c r="S39" s="158">
        <f t="shared" si="39"/>
        <v>8229936</v>
      </c>
      <c r="T39" s="158">
        <f t="shared" si="30"/>
        <v>9544336</v>
      </c>
      <c r="U39" s="158">
        <f t="shared" si="31"/>
        <v>3286.61708</v>
      </c>
      <c r="V39" s="158">
        <f t="shared" si="40"/>
        <v>15994.53787</v>
      </c>
      <c r="W39" s="158"/>
      <c r="X39" s="158">
        <f t="shared" si="33"/>
        <v>10286.61708</v>
      </c>
      <c r="Y39" s="158"/>
      <c r="Z39" s="158">
        <f t="shared" si="37"/>
        <v>7286.61708</v>
      </c>
      <c r="AA39" s="158">
        <f t="shared" si="45"/>
        <v>767000</v>
      </c>
    </row>
    <row r="40" ht="15.75" customHeight="1">
      <c r="A40" s="125">
        <v>18.0</v>
      </c>
      <c r="B40" s="126">
        <v>45228.0</v>
      </c>
      <c r="C40" s="290">
        <f>SUM(D40:J40)+0.9</f>
        <v>5577.9</v>
      </c>
      <c r="D40" s="128">
        <v>0.0</v>
      </c>
      <c r="E40" s="141">
        <v>0.0</v>
      </c>
      <c r="F40" s="141">
        <f>5478-K40</f>
        <v>5455</v>
      </c>
      <c r="G40" s="128">
        <v>0.0</v>
      </c>
      <c r="H40" s="140">
        <v>93.0</v>
      </c>
      <c r="I40" s="141"/>
      <c r="J40" s="140">
        <v>29.0</v>
      </c>
      <c r="K40" s="141">
        <v>23.0</v>
      </c>
      <c r="L40" s="128">
        <f>(SUM(D40:G40)+K40)*12000</f>
        <v>65736000</v>
      </c>
      <c r="M40" s="128"/>
      <c r="N40" s="131">
        <f t="shared" si="27"/>
        <v>651000</v>
      </c>
      <c r="O40" s="157"/>
      <c r="P40" s="131">
        <f t="shared" si="36"/>
        <v>116000</v>
      </c>
      <c r="Q40" s="158">
        <f>4000*200</f>
        <v>800000</v>
      </c>
      <c r="R40" s="158">
        <f>300*(SUM(D40:K40))</f>
        <v>1680000</v>
      </c>
      <c r="S40" s="158">
        <f t="shared" si="39"/>
        <v>15805218</v>
      </c>
      <c r="T40" s="158">
        <f t="shared" si="30"/>
        <v>18285218</v>
      </c>
      <c r="U40" s="158">
        <f t="shared" si="31"/>
        <v>3278.683522</v>
      </c>
      <c r="V40" s="158">
        <f t="shared" si="40"/>
        <v>15278.68352</v>
      </c>
      <c r="W40" s="158"/>
      <c r="X40" s="158">
        <f t="shared" si="33"/>
        <v>10278.68352</v>
      </c>
      <c r="Y40" s="158"/>
      <c r="Z40" s="158">
        <f t="shared" si="37"/>
        <v>7278.683522</v>
      </c>
      <c r="AA40" s="158">
        <f t="shared" si="45"/>
        <v>299000</v>
      </c>
    </row>
    <row r="41" ht="15.75" customHeight="1">
      <c r="A41" s="132" t="s">
        <v>54</v>
      </c>
      <c r="B41" s="134"/>
      <c r="C41" s="291">
        <f>SUM(C27:C40)</f>
        <v>80257.5</v>
      </c>
      <c r="D41" s="154">
        <f>SUM(D23:D29)</f>
        <v>0</v>
      </c>
      <c r="E41" s="286">
        <f t="shared" ref="E41:F41" si="48">SUM(E23:E40)</f>
        <v>46336</v>
      </c>
      <c r="F41" s="286">
        <f t="shared" si="48"/>
        <v>25085</v>
      </c>
      <c r="G41" s="136">
        <f>SUM(G23:G29)</f>
        <v>0</v>
      </c>
      <c r="H41" s="135">
        <f>SUM(H23:H40)</f>
        <v>17541</v>
      </c>
      <c r="I41" s="286"/>
      <c r="J41" s="135">
        <f t="shared" ref="J41:K41" si="49">SUM(J23:J40)</f>
        <v>1811</v>
      </c>
      <c r="K41" s="286">
        <f t="shared" si="49"/>
        <v>1115</v>
      </c>
      <c r="L41" s="286">
        <f>SUM(L23:L29)</f>
        <v>301288000</v>
      </c>
      <c r="M41" s="286"/>
      <c r="N41" s="135">
        <f>SUM(N23:N29)</f>
        <v>68397000</v>
      </c>
      <c r="O41" s="286"/>
      <c r="P41" s="135">
        <f t="shared" ref="P41:T41" si="50">SUM(P23:P29)</f>
        <v>2044000</v>
      </c>
      <c r="Q41" s="138">
        <f t="shared" si="50"/>
        <v>4804000</v>
      </c>
      <c r="R41" s="138">
        <f t="shared" si="50"/>
        <v>10086300</v>
      </c>
      <c r="S41" s="138">
        <f t="shared" si="50"/>
        <v>95481202</v>
      </c>
      <c r="T41" s="138">
        <f t="shared" si="50"/>
        <v>110371502</v>
      </c>
      <c r="U41" s="139"/>
      <c r="V41" s="139"/>
      <c r="W41" s="139"/>
      <c r="X41" s="139"/>
      <c r="Y41" s="139"/>
      <c r="Z41" s="139"/>
      <c r="AA41" s="139"/>
    </row>
    <row r="42" ht="15.75" customHeight="1">
      <c r="D42" s="124"/>
      <c r="E42" s="124"/>
      <c r="F42" s="124"/>
      <c r="I42" s="124"/>
      <c r="K42" s="124"/>
      <c r="L42" s="124"/>
      <c r="M42" s="124"/>
      <c r="O42" s="124"/>
      <c r="Q42" s="124"/>
      <c r="R42" s="124"/>
      <c r="S42" s="124"/>
    </row>
    <row r="43" ht="15.75" customHeight="1">
      <c r="A43" s="125">
        <v>1.0</v>
      </c>
      <c r="B43" s="126">
        <v>45259.0</v>
      </c>
      <c r="C43" s="281">
        <f t="shared" ref="C43:C44" si="51">SUM(D43:J43)+0.4</f>
        <v>1310.4</v>
      </c>
      <c r="D43" s="128">
        <v>0.0</v>
      </c>
      <c r="E43" s="128">
        <v>0.0</v>
      </c>
      <c r="F43" s="128">
        <v>0.0</v>
      </c>
      <c r="G43" s="128">
        <f>1240-K43</f>
        <v>1214</v>
      </c>
      <c r="H43" s="127">
        <v>82.4</v>
      </c>
      <c r="I43" s="128"/>
      <c r="J43" s="127">
        <v>13.6</v>
      </c>
      <c r="K43" s="128">
        <v>26.0</v>
      </c>
      <c r="L43" s="128">
        <f>(G43+K43)*11500</f>
        <v>14260000</v>
      </c>
      <c r="M43" s="128"/>
      <c r="N43" s="131">
        <f>H43*5000</f>
        <v>412000</v>
      </c>
      <c r="O43" s="157"/>
      <c r="P43" s="131">
        <f>J43*3000</f>
        <v>40800</v>
      </c>
      <c r="Q43" s="158">
        <f>4000*48</f>
        <v>192000</v>
      </c>
      <c r="R43" s="158">
        <f>300*1344</f>
        <v>403200</v>
      </c>
      <c r="S43" s="158">
        <f t="shared" ref="S43:S44" si="52">2834*SUM(D43:J43)</f>
        <v>3712540</v>
      </c>
      <c r="T43" s="158">
        <f t="shared" ref="T43:T44" si="53">SUM(Q43:S43)</f>
        <v>4307740</v>
      </c>
      <c r="U43" s="158">
        <f t="shared" ref="U43:U44" si="54">T43/SUM(D43:J43)</f>
        <v>3288.351145</v>
      </c>
      <c r="V43" s="158">
        <f t="shared" ref="V43:V44" si="55">L43/(SUM(D43:G43)+K43)+U43</f>
        <v>14788.35115</v>
      </c>
      <c r="W43" s="158"/>
      <c r="X43" s="158">
        <f t="shared" ref="X43:X44" si="56">(N43/H43)+U43</f>
        <v>8288.351145</v>
      </c>
      <c r="Y43" s="158"/>
      <c r="Z43" s="158">
        <f t="shared" ref="Z43:Z44" si="57">(P43/J43)+U43</f>
        <v>6288.351145</v>
      </c>
      <c r="AA43" s="158">
        <f t="shared" ref="AA43:AA44" si="58">K43*11000</f>
        <v>286000</v>
      </c>
      <c r="AB43" s="166"/>
    </row>
    <row r="44" ht="15.75" customHeight="1">
      <c r="A44" s="293">
        <v>2.0</v>
      </c>
      <c r="B44" s="294">
        <v>45260.0</v>
      </c>
      <c r="C44" s="281">
        <f t="shared" si="51"/>
        <v>1977.8</v>
      </c>
      <c r="D44" s="141">
        <v>0.0</v>
      </c>
      <c r="E44" s="141">
        <v>0.0</v>
      </c>
      <c r="F44" s="141">
        <v>0.0</v>
      </c>
      <c r="G44" s="141">
        <f>1927-K44</f>
        <v>1887</v>
      </c>
      <c r="H44" s="140">
        <v>79.1</v>
      </c>
      <c r="I44" s="141"/>
      <c r="J44" s="140">
        <v>11.3</v>
      </c>
      <c r="K44" s="141">
        <v>40.0</v>
      </c>
      <c r="L44" s="141">
        <f>(G44+K44)*12000</f>
        <v>23124000</v>
      </c>
      <c r="M44" s="141"/>
      <c r="N44" s="153">
        <f>H44*6000</f>
        <v>474600</v>
      </c>
      <c r="O44" s="295"/>
      <c r="P44" s="153">
        <f>J44*4000</f>
        <v>45200</v>
      </c>
      <c r="Q44" s="296">
        <f>4000*73</f>
        <v>292000</v>
      </c>
      <c r="R44" s="296">
        <f>300*2044</f>
        <v>613200</v>
      </c>
      <c r="S44" s="296">
        <f t="shared" si="52"/>
        <v>5603951.6</v>
      </c>
      <c r="T44" s="296">
        <f t="shared" si="53"/>
        <v>6509151.6</v>
      </c>
      <c r="U44" s="296">
        <f t="shared" si="54"/>
        <v>3291.772833</v>
      </c>
      <c r="V44" s="296">
        <f t="shared" si="55"/>
        <v>15291.77283</v>
      </c>
      <c r="W44" s="296"/>
      <c r="X44" s="296">
        <f t="shared" si="56"/>
        <v>9291.772833</v>
      </c>
      <c r="Y44" s="296"/>
      <c r="Z44" s="296">
        <f t="shared" si="57"/>
        <v>7291.772833</v>
      </c>
      <c r="AA44" s="158">
        <f t="shared" si="58"/>
        <v>440000</v>
      </c>
    </row>
    <row r="45" ht="15.75" customHeight="1">
      <c r="A45" s="297" t="str">
        <f>A41</f>
        <v>TOTAL</v>
      </c>
      <c r="B45" s="134"/>
      <c r="C45" s="298">
        <f>SUM(C43:C44)</f>
        <v>3288.2</v>
      </c>
      <c r="D45" s="154"/>
      <c r="E45" s="154">
        <f t="shared" ref="E45:H45" si="59">SUM(E43:E44)</f>
        <v>0</v>
      </c>
      <c r="F45" s="154">
        <f t="shared" si="59"/>
        <v>0</v>
      </c>
      <c r="G45" s="299">
        <f t="shared" si="59"/>
        <v>3101</v>
      </c>
      <c r="H45" s="299">
        <f t="shared" si="59"/>
        <v>161.5</v>
      </c>
      <c r="I45" s="154"/>
      <c r="J45" s="299">
        <f t="shared" ref="J45:L45" si="60">SUM(J43:J44)</f>
        <v>24.9</v>
      </c>
      <c r="K45" s="154">
        <f t="shared" si="60"/>
        <v>66</v>
      </c>
      <c r="L45" s="154">
        <f t="shared" si="60"/>
        <v>37384000</v>
      </c>
      <c r="M45" s="154"/>
      <c r="N45" s="299">
        <f>SUM(N43:N44)</f>
        <v>886600</v>
      </c>
      <c r="O45" s="154"/>
      <c r="P45" s="299">
        <f t="shared" ref="P45:T45" si="61">SUM(P43:P44)</f>
        <v>86000</v>
      </c>
      <c r="Q45" s="300">
        <f t="shared" si="61"/>
        <v>484000</v>
      </c>
      <c r="R45" s="300">
        <f t="shared" si="61"/>
        <v>1016400</v>
      </c>
      <c r="S45" s="300">
        <f t="shared" si="61"/>
        <v>9316491.6</v>
      </c>
      <c r="T45" s="300">
        <f t="shared" si="61"/>
        <v>10816891.6</v>
      </c>
      <c r="U45" s="301"/>
      <c r="V45" s="301"/>
      <c r="W45" s="301"/>
      <c r="X45" s="301"/>
      <c r="Y45" s="301"/>
      <c r="Z45" s="301"/>
      <c r="AA45" s="301"/>
      <c r="AB45" s="302"/>
    </row>
    <row r="46" ht="15.75" customHeight="1">
      <c r="A46" s="303"/>
      <c r="B46" s="304"/>
      <c r="C46" s="305"/>
      <c r="D46" s="306"/>
      <c r="E46" s="306"/>
      <c r="F46" s="306"/>
      <c r="G46" s="307"/>
      <c r="H46" s="307"/>
      <c r="I46" s="306"/>
      <c r="J46" s="307"/>
      <c r="K46" s="306"/>
      <c r="L46" s="306"/>
      <c r="M46" s="306"/>
      <c r="N46" s="307"/>
      <c r="O46" s="306"/>
      <c r="P46" s="307"/>
      <c r="Q46" s="307"/>
      <c r="R46" s="307"/>
      <c r="S46" s="307"/>
      <c r="T46" s="307"/>
      <c r="U46" s="308"/>
      <c r="V46" s="308"/>
      <c r="W46" s="308"/>
      <c r="X46" s="308"/>
      <c r="Y46" s="308"/>
      <c r="Z46" s="308"/>
      <c r="AA46" s="308"/>
      <c r="AB46" s="309"/>
    </row>
    <row r="47" ht="15.75" customHeight="1">
      <c r="A47" s="114" t="s">
        <v>22</v>
      </c>
      <c r="B47" s="114" t="s">
        <v>23</v>
      </c>
      <c r="C47" s="272" t="s">
        <v>76</v>
      </c>
      <c r="D47" s="273" t="s">
        <v>85</v>
      </c>
      <c r="E47" s="273" t="s">
        <v>86</v>
      </c>
      <c r="F47" s="273" t="s">
        <v>87</v>
      </c>
      <c r="G47" s="116" t="s">
        <v>88</v>
      </c>
      <c r="H47" s="116" t="s">
        <v>89</v>
      </c>
      <c r="I47" s="273" t="s">
        <v>90</v>
      </c>
      <c r="J47" s="116" t="s">
        <v>78</v>
      </c>
      <c r="K47" s="273" t="s">
        <v>32</v>
      </c>
      <c r="L47" s="275" t="s">
        <v>91</v>
      </c>
      <c r="M47" s="275" t="s">
        <v>92</v>
      </c>
      <c r="N47" s="117" t="s">
        <v>35</v>
      </c>
      <c r="O47" s="275" t="s">
        <v>93</v>
      </c>
      <c r="P47" s="117" t="s">
        <v>79</v>
      </c>
      <c r="Q47" s="118" t="s">
        <v>36</v>
      </c>
      <c r="R47" s="119" t="s">
        <v>40</v>
      </c>
      <c r="S47" s="120" t="s">
        <v>41</v>
      </c>
      <c r="T47" s="122" t="s">
        <v>80</v>
      </c>
      <c r="U47" s="122" t="s">
        <v>81</v>
      </c>
      <c r="V47" s="121" t="s">
        <v>82</v>
      </c>
      <c r="W47" s="121" t="s">
        <v>94</v>
      </c>
      <c r="X47" s="121" t="s">
        <v>83</v>
      </c>
      <c r="Y47" s="121" t="s">
        <v>95</v>
      </c>
      <c r="Z47" s="121" t="s">
        <v>84</v>
      </c>
      <c r="AA47" s="121" t="s">
        <v>84</v>
      </c>
    </row>
    <row r="48" ht="15.7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 ht="15.75" customHeight="1">
      <c r="A49" s="125">
        <v>1.0</v>
      </c>
      <c r="B49" s="126">
        <v>45266.0</v>
      </c>
      <c r="C49" s="281">
        <f>SUM(D49:J49)+0.2</f>
        <v>2588.4</v>
      </c>
      <c r="D49" s="128">
        <f>400.2-K49</f>
        <v>357.2</v>
      </c>
      <c r="E49" s="128">
        <f>1686.1</f>
        <v>1686.1</v>
      </c>
      <c r="F49" s="128">
        <f>459.6</f>
        <v>459.6</v>
      </c>
      <c r="G49" s="128">
        <v>0.0</v>
      </c>
      <c r="H49" s="127">
        <v>74.1</v>
      </c>
      <c r="I49" s="128">
        <v>0.0</v>
      </c>
      <c r="J49" s="127">
        <v>11.2</v>
      </c>
      <c r="K49" s="128">
        <v>43.0</v>
      </c>
      <c r="L49" s="128">
        <f>((D49+K49)*15000)+((E49)*12500)+(F49*9500)</f>
        <v>31445450</v>
      </c>
      <c r="M49" s="128">
        <v>0.0</v>
      </c>
      <c r="N49" s="131">
        <f t="shared" ref="N49:N55" si="62">H49*6000</f>
        <v>444600</v>
      </c>
      <c r="O49" s="157">
        <v>0.0</v>
      </c>
      <c r="P49" s="131">
        <f>J49*3000</f>
        <v>33600</v>
      </c>
      <c r="Q49" s="158">
        <f>4000*94</f>
        <v>376000</v>
      </c>
      <c r="R49" s="158">
        <f>300*2632</f>
        <v>789600</v>
      </c>
      <c r="S49" s="158">
        <f t="shared" ref="S49:S60" si="63">2834*SUM(D49:J49)</f>
        <v>7334958.8</v>
      </c>
      <c r="T49" s="158">
        <f t="shared" ref="T49:T60" si="64">SUM(Q49:S49)</f>
        <v>8500558.8</v>
      </c>
      <c r="U49" s="158">
        <f t="shared" ref="U49:U60" si="65">T49/SUM(D49:J49)</f>
        <v>3284.351596</v>
      </c>
      <c r="V49" s="158">
        <f t="shared" ref="V49:V55" si="66">L49/(SUM(D49:F49)+K49)+U49</f>
        <v>15635.75974</v>
      </c>
      <c r="W49" s="158">
        <v>0.0</v>
      </c>
      <c r="X49" s="158">
        <f t="shared" ref="X49:X55" si="67">(N49/H49)+U49</f>
        <v>9284.351596</v>
      </c>
      <c r="Y49" s="158">
        <v>0.0</v>
      </c>
      <c r="Z49" s="158">
        <f t="shared" ref="Z49:Z55" si="68">(P49/J49)+U49</f>
        <v>6284.351596</v>
      </c>
      <c r="AA49" s="158">
        <f t="shared" ref="AA49:AA50" si="69">K49*(L49/(SUM(D49:F49)+K49))</f>
        <v>531110.5503</v>
      </c>
      <c r="AB49" s="166"/>
    </row>
    <row r="50" ht="15.75" customHeight="1">
      <c r="A50" s="293">
        <v>2.0</v>
      </c>
      <c r="B50" s="294">
        <v>45267.0</v>
      </c>
      <c r="C50" s="281">
        <f t="shared" ref="C50:C60" si="70">SUM(D50:J50)</f>
        <v>495</v>
      </c>
      <c r="D50" s="141">
        <v>0.0</v>
      </c>
      <c r="E50" s="141">
        <f>151.3-K50</f>
        <v>142.3</v>
      </c>
      <c r="F50" s="141">
        <f>210+52.7</f>
        <v>262.7</v>
      </c>
      <c r="G50" s="141">
        <v>0.0</v>
      </c>
      <c r="H50" s="140">
        <v>81.5</v>
      </c>
      <c r="I50" s="141">
        <v>0.0</v>
      </c>
      <c r="J50" s="140">
        <v>8.5</v>
      </c>
      <c r="K50" s="141">
        <v>9.0</v>
      </c>
      <c r="L50" s="128">
        <f>1815600+2310000+421600</f>
        <v>4547200</v>
      </c>
      <c r="M50" s="141">
        <v>0.0</v>
      </c>
      <c r="N50" s="153">
        <f t="shared" si="62"/>
        <v>489000</v>
      </c>
      <c r="O50" s="295">
        <v>0.0</v>
      </c>
      <c r="P50" s="153">
        <f>J50*2000</f>
        <v>17000</v>
      </c>
      <c r="Q50" s="296">
        <f>4000*18</f>
        <v>72000</v>
      </c>
      <c r="R50" s="296">
        <f>300*504</f>
        <v>151200</v>
      </c>
      <c r="S50" s="296">
        <f t="shared" si="63"/>
        <v>1402830</v>
      </c>
      <c r="T50" s="296">
        <f t="shared" si="64"/>
        <v>1626030</v>
      </c>
      <c r="U50" s="296">
        <f t="shared" si="65"/>
        <v>3284.909091</v>
      </c>
      <c r="V50" s="158">
        <f t="shared" si="66"/>
        <v>14268.48397</v>
      </c>
      <c r="W50" s="296">
        <v>0.0</v>
      </c>
      <c r="X50" s="296">
        <f t="shared" si="67"/>
        <v>9284.909091</v>
      </c>
      <c r="Y50" s="296">
        <v>0.0</v>
      </c>
      <c r="Z50" s="296">
        <f t="shared" si="68"/>
        <v>5284.909091</v>
      </c>
      <c r="AA50" s="158">
        <f t="shared" si="69"/>
        <v>98852.17391</v>
      </c>
    </row>
    <row r="51" ht="15.75" customHeight="1">
      <c r="A51" s="293">
        <v>3.0</v>
      </c>
      <c r="B51" s="126">
        <v>45269.0</v>
      </c>
      <c r="C51" s="281">
        <f t="shared" si="70"/>
        <v>825</v>
      </c>
      <c r="D51" s="128">
        <v>0.0</v>
      </c>
      <c r="E51" s="141">
        <f>140.3-K51</f>
        <v>125.3</v>
      </c>
      <c r="F51" s="141">
        <f>130+14.5</f>
        <v>144.5</v>
      </c>
      <c r="G51" s="128">
        <v>466.6</v>
      </c>
      <c r="H51" s="140">
        <v>2.7</v>
      </c>
      <c r="I51" s="141">
        <v>50.0</v>
      </c>
      <c r="J51" s="140">
        <v>35.9</v>
      </c>
      <c r="K51" s="141">
        <v>15.0</v>
      </c>
      <c r="L51" s="128">
        <f>1683600+1495000+116000</f>
        <v>3294600</v>
      </c>
      <c r="M51" s="141">
        <f t="shared" ref="M51:M53" si="72">G51*4500</f>
        <v>2099700</v>
      </c>
      <c r="N51" s="131">
        <f t="shared" si="62"/>
        <v>16200</v>
      </c>
      <c r="O51" s="157">
        <f t="shared" ref="O51:P51" si="71">I51*2000</f>
        <v>100000</v>
      </c>
      <c r="P51" s="131">
        <f t="shared" si="71"/>
        <v>71800</v>
      </c>
      <c r="Q51" s="158">
        <f>4000*30</f>
        <v>120000</v>
      </c>
      <c r="R51" s="158">
        <f>300*840</f>
        <v>252000</v>
      </c>
      <c r="S51" s="158">
        <f t="shared" si="63"/>
        <v>2338050</v>
      </c>
      <c r="T51" s="158">
        <f t="shared" si="64"/>
        <v>2710050</v>
      </c>
      <c r="U51" s="158">
        <f t="shared" si="65"/>
        <v>3284.909091</v>
      </c>
      <c r="V51" s="158">
        <f t="shared" si="66"/>
        <v>14853.02707</v>
      </c>
      <c r="W51" s="158">
        <f t="shared" ref="W51:W53" si="74">U51+4500</f>
        <v>7784.909091</v>
      </c>
      <c r="X51" s="158">
        <f t="shared" si="67"/>
        <v>9284.909091</v>
      </c>
      <c r="Y51" s="158">
        <f t="shared" ref="Y51:Y53" si="75">2000+U51</f>
        <v>5284.909091</v>
      </c>
      <c r="Z51" s="158">
        <f t="shared" si="68"/>
        <v>5284.909091</v>
      </c>
      <c r="AA51" s="158">
        <v>170552.0</v>
      </c>
    </row>
    <row r="52" ht="15.75" customHeight="1">
      <c r="A52" s="293">
        <v>4.0</v>
      </c>
      <c r="B52" s="126">
        <v>45270.0</v>
      </c>
      <c r="C52" s="281">
        <f t="shared" si="70"/>
        <v>8030</v>
      </c>
      <c r="D52" s="128"/>
      <c r="E52" s="141">
        <f>1301.7-K52</f>
        <v>1134.7</v>
      </c>
      <c r="F52" s="141">
        <f>1694.7+1010.6</f>
        <v>2705.3</v>
      </c>
      <c r="G52" s="128">
        <v>1008.0</v>
      </c>
      <c r="H52" s="140">
        <v>482.1</v>
      </c>
      <c r="I52" s="141">
        <v>2108.2</v>
      </c>
      <c r="J52" s="140">
        <v>591.7</v>
      </c>
      <c r="K52" s="141">
        <v>167.0</v>
      </c>
      <c r="L52" s="128">
        <f>15620400+19489050+8084800</f>
        <v>43194250</v>
      </c>
      <c r="M52" s="141">
        <f t="shared" si="72"/>
        <v>4536000</v>
      </c>
      <c r="N52" s="131">
        <f t="shared" si="62"/>
        <v>2892600</v>
      </c>
      <c r="O52" s="157">
        <f t="shared" ref="O52:P52" si="73">I52*2000</f>
        <v>4216400</v>
      </c>
      <c r="P52" s="131">
        <f t="shared" si="73"/>
        <v>1183400</v>
      </c>
      <c r="Q52" s="158">
        <f>4000*300</f>
        <v>1200000</v>
      </c>
      <c r="R52" s="158">
        <f>300*8377</f>
        <v>2513100</v>
      </c>
      <c r="S52" s="158">
        <f t="shared" si="63"/>
        <v>22757020</v>
      </c>
      <c r="T52" s="158">
        <f t="shared" si="64"/>
        <v>26470120</v>
      </c>
      <c r="U52" s="158">
        <f t="shared" si="65"/>
        <v>3296.403487</v>
      </c>
      <c r="V52" s="158">
        <f t="shared" si="66"/>
        <v>14076.10152</v>
      </c>
      <c r="W52" s="158">
        <f t="shared" si="74"/>
        <v>7796.403487</v>
      </c>
      <c r="X52" s="158">
        <f t="shared" si="67"/>
        <v>9296.403487</v>
      </c>
      <c r="Y52" s="158">
        <f t="shared" si="75"/>
        <v>5296.403487</v>
      </c>
      <c r="Z52" s="158">
        <f t="shared" si="68"/>
        <v>5296.403487</v>
      </c>
      <c r="AA52" s="296">
        <v>1800209.0</v>
      </c>
    </row>
    <row r="53" ht="15.75" customHeight="1">
      <c r="A53" s="293">
        <v>5.0</v>
      </c>
      <c r="B53" s="126">
        <v>45271.0</v>
      </c>
      <c r="C53" s="281">
        <f t="shared" si="70"/>
        <v>4107.3</v>
      </c>
      <c r="D53" s="128"/>
      <c r="E53" s="141">
        <f>369-K53</f>
        <v>285</v>
      </c>
      <c r="F53" s="141">
        <v>1512.5</v>
      </c>
      <c r="G53" s="128">
        <v>1299.2</v>
      </c>
      <c r="H53" s="140">
        <v>346.0</v>
      </c>
      <c r="I53" s="141">
        <v>470.9</v>
      </c>
      <c r="J53" s="140">
        <v>193.7</v>
      </c>
      <c r="K53" s="141">
        <v>84.0</v>
      </c>
      <c r="L53" s="128">
        <f>4428000+9685300+4092800+1269600</f>
        <v>19475700</v>
      </c>
      <c r="M53" s="141">
        <f t="shared" si="72"/>
        <v>5846400</v>
      </c>
      <c r="N53" s="131">
        <f t="shared" si="62"/>
        <v>2076000</v>
      </c>
      <c r="O53" s="157">
        <f t="shared" ref="O53:P53" si="76">I53*2000</f>
        <v>941800</v>
      </c>
      <c r="P53" s="131">
        <f t="shared" si="76"/>
        <v>387400</v>
      </c>
      <c r="Q53" s="158">
        <f>4000*151</f>
        <v>604000</v>
      </c>
      <c r="R53" s="158">
        <f>300*4228</f>
        <v>1268400</v>
      </c>
      <c r="S53" s="158">
        <f t="shared" si="63"/>
        <v>11640088.2</v>
      </c>
      <c r="T53" s="158">
        <f t="shared" si="64"/>
        <v>13512488.2</v>
      </c>
      <c r="U53" s="158">
        <f t="shared" si="65"/>
        <v>3289.871254</v>
      </c>
      <c r="V53" s="158">
        <f t="shared" si="66"/>
        <v>13641.02725</v>
      </c>
      <c r="W53" s="158">
        <f t="shared" si="74"/>
        <v>7789.871254</v>
      </c>
      <c r="X53" s="158">
        <f t="shared" si="67"/>
        <v>9289.871254</v>
      </c>
      <c r="Y53" s="158">
        <f t="shared" si="75"/>
        <v>5289.871254</v>
      </c>
      <c r="Z53" s="158">
        <f t="shared" si="68"/>
        <v>5289.871254</v>
      </c>
      <c r="AA53" s="296">
        <v>862677.0</v>
      </c>
    </row>
    <row r="54" ht="15.75" customHeight="1">
      <c r="A54" s="293">
        <v>6.0</v>
      </c>
      <c r="B54" s="126">
        <v>45278.0</v>
      </c>
      <c r="C54" s="281">
        <f t="shared" si="70"/>
        <v>3582.2</v>
      </c>
      <c r="D54" s="128"/>
      <c r="E54" s="141">
        <f>683.2-58</f>
        <v>625.2</v>
      </c>
      <c r="F54" s="141">
        <f>171.3+469.4+358.3</f>
        <v>999</v>
      </c>
      <c r="G54" s="128">
        <v>1689.8</v>
      </c>
      <c r="H54" s="140">
        <v>82.7</v>
      </c>
      <c r="I54" s="141">
        <v>144.5</v>
      </c>
      <c r="J54" s="140">
        <v>41.0</v>
      </c>
      <c r="K54" s="141">
        <v>58.0</v>
      </c>
      <c r="L54" s="128">
        <f>7515200+3941300+3755200+1370400</f>
        <v>16582100</v>
      </c>
      <c r="M54" s="141">
        <f>G54*4000</f>
        <v>6759200</v>
      </c>
      <c r="N54" s="131">
        <f t="shared" si="62"/>
        <v>496200</v>
      </c>
      <c r="O54" s="131">
        <f t="shared" ref="O54:P54" si="77">I54*2000</f>
        <v>289000</v>
      </c>
      <c r="P54" s="131">
        <f t="shared" si="77"/>
        <v>82000</v>
      </c>
      <c r="Q54" s="158">
        <f>4000*130</f>
        <v>520000</v>
      </c>
      <c r="R54" s="158">
        <f>300*3640</f>
        <v>1092000</v>
      </c>
      <c r="S54" s="158">
        <f t="shared" si="63"/>
        <v>10151954.8</v>
      </c>
      <c r="T54" s="158">
        <f t="shared" si="64"/>
        <v>11763954.8</v>
      </c>
      <c r="U54" s="158">
        <f t="shared" si="65"/>
        <v>3284.002792</v>
      </c>
      <c r="V54" s="158">
        <f t="shared" si="66"/>
        <v>13141.39192</v>
      </c>
      <c r="W54" s="158">
        <f t="shared" ref="W54:W56" si="79">U54+(M54/G54)</f>
        <v>7284.002792</v>
      </c>
      <c r="X54" s="158">
        <f t="shared" si="67"/>
        <v>9284.002792</v>
      </c>
      <c r="Y54" s="158">
        <f t="shared" ref="Y54:Y56" si="80">(O54/I54)+U54</f>
        <v>5284.002792</v>
      </c>
      <c r="Z54" s="158">
        <f t="shared" si="68"/>
        <v>5284.002792</v>
      </c>
      <c r="AA54" s="296">
        <v>571729.0</v>
      </c>
    </row>
    <row r="55" ht="15.75" customHeight="1">
      <c r="A55" s="293">
        <v>7.0</v>
      </c>
      <c r="B55" s="126">
        <v>45279.0</v>
      </c>
      <c r="C55" s="281">
        <f t="shared" si="70"/>
        <v>2686.6</v>
      </c>
      <c r="D55" s="128"/>
      <c r="E55" s="141">
        <f>422-K55</f>
        <v>393</v>
      </c>
      <c r="F55" s="141">
        <f>830+173.1+190</f>
        <v>1193.1</v>
      </c>
      <c r="G55" s="128">
        <v>638.9</v>
      </c>
      <c r="H55" s="140">
        <v>39.9</v>
      </c>
      <c r="I55" s="141">
        <v>401.7</v>
      </c>
      <c r="J55" s="140">
        <v>20.0</v>
      </c>
      <c r="K55" s="141">
        <v>29.0</v>
      </c>
      <c r="L55" s="128">
        <f>4642000+9130000+1384800+1520000</f>
        <v>16676800</v>
      </c>
      <c r="M55" s="141">
        <v>2555600.0</v>
      </c>
      <c r="N55" s="131">
        <f t="shared" si="62"/>
        <v>239400</v>
      </c>
      <c r="O55" s="157">
        <f t="shared" ref="O55:P55" si="78">I55*2000</f>
        <v>803400</v>
      </c>
      <c r="P55" s="131">
        <f t="shared" si="78"/>
        <v>40000</v>
      </c>
      <c r="Q55" s="158">
        <f>4000*97</f>
        <v>388000</v>
      </c>
      <c r="R55" s="158">
        <f>300*2716</f>
        <v>814800</v>
      </c>
      <c r="S55" s="158">
        <f t="shared" si="63"/>
        <v>7613824.4</v>
      </c>
      <c r="T55" s="158">
        <f t="shared" si="64"/>
        <v>8816624.4</v>
      </c>
      <c r="U55" s="158">
        <f t="shared" si="65"/>
        <v>3281.703417</v>
      </c>
      <c r="V55" s="158">
        <f t="shared" si="66"/>
        <v>13607.25601</v>
      </c>
      <c r="W55" s="158">
        <f t="shared" si="79"/>
        <v>7281.703417</v>
      </c>
      <c r="X55" s="158">
        <f t="shared" si="67"/>
        <v>9281.703417</v>
      </c>
      <c r="Y55" s="158">
        <f t="shared" si="80"/>
        <v>5281.703417</v>
      </c>
      <c r="Z55" s="158">
        <f t="shared" si="68"/>
        <v>5281.703417</v>
      </c>
      <c r="AA55" s="296">
        <v>299441.0</v>
      </c>
    </row>
    <row r="56" ht="15.75" customHeight="1">
      <c r="A56" s="293">
        <v>8.0</v>
      </c>
      <c r="B56" s="143">
        <v>45280.0</v>
      </c>
      <c r="C56" s="281">
        <f t="shared" si="70"/>
        <v>7840</v>
      </c>
      <c r="D56" s="128"/>
      <c r="E56" s="141"/>
      <c r="F56" s="141"/>
      <c r="G56" s="128">
        <f>4014-K56</f>
        <v>4014</v>
      </c>
      <c r="H56" s="140"/>
      <c r="I56" s="141">
        <v>3826.0</v>
      </c>
      <c r="J56" s="140"/>
      <c r="K56" s="141"/>
      <c r="L56" s="128"/>
      <c r="M56" s="128">
        <v>1.8063E7</v>
      </c>
      <c r="N56" s="131"/>
      <c r="O56" s="157">
        <v>7652000.0</v>
      </c>
      <c r="P56" s="131"/>
      <c r="Q56" s="158">
        <v>1120000.0</v>
      </c>
      <c r="R56" s="158">
        <v>2352000.0</v>
      </c>
      <c r="S56" s="158">
        <f t="shared" si="63"/>
        <v>22218560</v>
      </c>
      <c r="T56" s="158">
        <f t="shared" si="64"/>
        <v>25690560</v>
      </c>
      <c r="U56" s="158">
        <f t="shared" si="65"/>
        <v>3276.857143</v>
      </c>
      <c r="V56" s="158">
        <v>0.0</v>
      </c>
      <c r="W56" s="158">
        <f t="shared" si="79"/>
        <v>7776.857143</v>
      </c>
      <c r="X56" s="158">
        <v>0.0</v>
      </c>
      <c r="Y56" s="158">
        <f t="shared" si="80"/>
        <v>5276.857143</v>
      </c>
      <c r="Z56" s="158">
        <v>0.0</v>
      </c>
      <c r="AA56" s="158">
        <v>0.0</v>
      </c>
    </row>
    <row r="57" ht="15.75" customHeight="1">
      <c r="A57" s="293">
        <v>9.0</v>
      </c>
      <c r="B57" s="143">
        <v>45281.0</v>
      </c>
      <c r="C57" s="281">
        <f t="shared" si="70"/>
        <v>3470</v>
      </c>
      <c r="D57" s="128"/>
      <c r="E57" s="141">
        <f>2472-K57</f>
        <v>2414</v>
      </c>
      <c r="F57" s="141">
        <v>704.0</v>
      </c>
      <c r="G57" s="128"/>
      <c r="H57" s="140">
        <v>352.0</v>
      </c>
      <c r="I57" s="141"/>
      <c r="J57" s="140"/>
      <c r="K57" s="141">
        <v>58.0</v>
      </c>
      <c r="L57" s="128">
        <f>27192000+7040000</f>
        <v>34232000</v>
      </c>
      <c r="M57" s="128"/>
      <c r="N57" s="131">
        <v>1760000.0</v>
      </c>
      <c r="O57" s="157"/>
      <c r="P57" s="131"/>
      <c r="Q57" s="158">
        <v>504000.0</v>
      </c>
      <c r="R57" s="158">
        <v>1058400.0</v>
      </c>
      <c r="S57" s="158">
        <f t="shared" si="63"/>
        <v>9833980</v>
      </c>
      <c r="T57" s="158">
        <f t="shared" si="64"/>
        <v>11396380</v>
      </c>
      <c r="U57" s="158">
        <f t="shared" si="65"/>
        <v>3284.259366</v>
      </c>
      <c r="V57" s="158">
        <f t="shared" ref="V57:V58" si="81">L57/(SUM(D57:F57)+K57)+U57</f>
        <v>14062.5969</v>
      </c>
      <c r="W57" s="158">
        <v>0.0</v>
      </c>
      <c r="X57" s="158">
        <f t="shared" ref="X57:X58" si="82">(N57/H57)+U57</f>
        <v>8284.259366</v>
      </c>
      <c r="Y57" s="158">
        <v>0.0</v>
      </c>
      <c r="Z57" s="158">
        <v>0.0</v>
      </c>
      <c r="AA57" s="158">
        <v>625144.0</v>
      </c>
    </row>
    <row r="58" ht="15.75" customHeight="1">
      <c r="A58" s="293">
        <v>10.0</v>
      </c>
      <c r="B58" s="143">
        <v>45282.0</v>
      </c>
      <c r="C58" s="281">
        <f t="shared" si="70"/>
        <v>3238</v>
      </c>
      <c r="D58" s="128"/>
      <c r="E58" s="141">
        <f>1680-66</f>
        <v>1614</v>
      </c>
      <c r="F58" s="141">
        <v>1263.0</v>
      </c>
      <c r="G58" s="128"/>
      <c r="H58" s="140">
        <v>361.0</v>
      </c>
      <c r="I58" s="141"/>
      <c r="J58" s="140"/>
      <c r="K58" s="141">
        <v>66.0</v>
      </c>
      <c r="L58" s="128">
        <f>16800000+11367000</f>
        <v>28167000</v>
      </c>
      <c r="M58" s="128"/>
      <c r="N58" s="131">
        <v>1805000.0</v>
      </c>
      <c r="O58" s="157"/>
      <c r="P58" s="131"/>
      <c r="Q58" s="158">
        <v>472000.0</v>
      </c>
      <c r="R58" s="158">
        <v>0.0</v>
      </c>
      <c r="S58" s="158">
        <f t="shared" si="63"/>
        <v>9176492</v>
      </c>
      <c r="T58" s="158">
        <f t="shared" si="64"/>
        <v>9648492</v>
      </c>
      <c r="U58" s="158">
        <f t="shared" si="65"/>
        <v>2979.768993</v>
      </c>
      <c r="V58" s="158">
        <f t="shared" si="81"/>
        <v>12550.61507</v>
      </c>
      <c r="W58" s="158">
        <v>0.0</v>
      </c>
      <c r="X58" s="158">
        <f t="shared" si="82"/>
        <v>7979.768993</v>
      </c>
      <c r="Y58" s="158">
        <v>0.0</v>
      </c>
      <c r="Z58" s="158">
        <v>0.0</v>
      </c>
      <c r="AA58" s="158">
        <v>631675.0</v>
      </c>
    </row>
    <row r="59" ht="15.75" customHeight="1">
      <c r="A59" s="293">
        <v>11.0</v>
      </c>
      <c r="B59" s="143">
        <v>45283.0</v>
      </c>
      <c r="C59" s="281">
        <f t="shared" si="70"/>
        <v>1415</v>
      </c>
      <c r="D59" s="128"/>
      <c r="E59" s="141"/>
      <c r="F59" s="141"/>
      <c r="G59" s="128">
        <f>1230-29</f>
        <v>1201</v>
      </c>
      <c r="H59" s="140"/>
      <c r="I59" s="141">
        <v>152.0</v>
      </c>
      <c r="J59" s="140">
        <v>62.0</v>
      </c>
      <c r="K59" s="141">
        <v>29.0</v>
      </c>
      <c r="L59" s="128"/>
      <c r="M59" s="128">
        <v>4920000.0</v>
      </c>
      <c r="N59" s="131"/>
      <c r="O59" s="157">
        <v>304000.0</v>
      </c>
      <c r="P59" s="131">
        <v>62000.0</v>
      </c>
      <c r="Q59" s="158">
        <v>200000.0</v>
      </c>
      <c r="R59" s="158">
        <v>420000.0</v>
      </c>
      <c r="S59" s="158">
        <f t="shared" si="63"/>
        <v>4010110</v>
      </c>
      <c r="T59" s="158">
        <f t="shared" si="64"/>
        <v>4630110</v>
      </c>
      <c r="U59" s="158">
        <f t="shared" si="65"/>
        <v>3272.162544</v>
      </c>
      <c r="V59" s="158">
        <v>0.0</v>
      </c>
      <c r="W59" s="158">
        <f>U59+(M59/G59)</f>
        <v>7368.748722</v>
      </c>
      <c r="X59" s="158">
        <v>0.0</v>
      </c>
      <c r="Y59" s="158">
        <f>(O59/I59)+U59</f>
        <v>5272.162544</v>
      </c>
      <c r="Z59" s="158">
        <f>(P59/J59)+U59</f>
        <v>4272.162544</v>
      </c>
      <c r="AA59" s="158">
        <v>264874.0</v>
      </c>
    </row>
    <row r="60" ht="15.75" customHeight="1">
      <c r="A60" s="293">
        <v>12.0</v>
      </c>
      <c r="B60" s="143">
        <v>45284.0</v>
      </c>
      <c r="C60" s="281">
        <f t="shared" si="70"/>
        <v>5772</v>
      </c>
      <c r="D60" s="128"/>
      <c r="E60" s="141">
        <f>840-52</f>
        <v>788</v>
      </c>
      <c r="F60" s="141">
        <v>4734.0</v>
      </c>
      <c r="G60" s="128"/>
      <c r="H60" s="140">
        <v>250.0</v>
      </c>
      <c r="I60" s="141"/>
      <c r="J60" s="140"/>
      <c r="K60" s="141">
        <v>52.0</v>
      </c>
      <c r="L60" s="128">
        <f>9240000+47340000</f>
        <v>56580000</v>
      </c>
      <c r="M60" s="128"/>
      <c r="N60" s="131">
        <v>1250000.0</v>
      </c>
      <c r="O60" s="157"/>
      <c r="P60" s="131"/>
      <c r="Q60" s="158">
        <v>832000.0</v>
      </c>
      <c r="R60" s="158">
        <v>1747200.0</v>
      </c>
      <c r="S60" s="158">
        <f t="shared" si="63"/>
        <v>16357848</v>
      </c>
      <c r="T60" s="158">
        <f t="shared" si="64"/>
        <v>18937048</v>
      </c>
      <c r="U60" s="158">
        <f t="shared" si="65"/>
        <v>3280.846847</v>
      </c>
      <c r="V60" s="158">
        <f>L60/(SUM(D60:F60)+K60)+U60</f>
        <v>13431.54652</v>
      </c>
      <c r="W60" s="158">
        <v>0.0</v>
      </c>
      <c r="X60" s="158">
        <f>(N60/H60)+U60</f>
        <v>8280.846847</v>
      </c>
      <c r="Y60" s="158">
        <v>0.0</v>
      </c>
      <c r="Z60" s="158">
        <v>0.0</v>
      </c>
      <c r="AA60" s="158">
        <v>527836.0</v>
      </c>
    </row>
    <row r="61" ht="15.75" customHeight="1">
      <c r="A61" s="132" t="s">
        <v>54</v>
      </c>
      <c r="B61" s="134"/>
      <c r="C61" s="291">
        <f>SUM(C49:C60)</f>
        <v>44049.5</v>
      </c>
      <c r="D61" s="154">
        <f>SUM(D37:D43)</f>
        <v>0</v>
      </c>
      <c r="E61" s="286">
        <f t="shared" ref="E61:J61" si="83">SUM(E49:E60)</f>
        <v>9207.6</v>
      </c>
      <c r="F61" s="286">
        <f t="shared" si="83"/>
        <v>13977.7</v>
      </c>
      <c r="G61" s="286">
        <f t="shared" si="83"/>
        <v>10317.5</v>
      </c>
      <c r="H61" s="286">
        <f t="shared" si="83"/>
        <v>2072</v>
      </c>
      <c r="I61" s="286">
        <f t="shared" si="83"/>
        <v>7153.3</v>
      </c>
      <c r="J61" s="286">
        <f t="shared" si="83"/>
        <v>964</v>
      </c>
      <c r="K61" s="286">
        <f>SUM(K37:K45)</f>
        <v>1499</v>
      </c>
      <c r="L61" s="286">
        <f>SUM(L37:L43)</f>
        <v>569537000</v>
      </c>
      <c r="M61" s="286"/>
      <c r="N61" s="135">
        <f>SUM(N37:N43)</f>
        <v>75382000</v>
      </c>
      <c r="O61" s="286"/>
      <c r="P61" s="135"/>
      <c r="Q61" s="138">
        <f t="shared" ref="Q61:T61" si="84">SUM(Q37:Q43)</f>
        <v>8028000</v>
      </c>
      <c r="R61" s="138">
        <f t="shared" si="84"/>
        <v>16856700</v>
      </c>
      <c r="S61" s="138">
        <f t="shared" si="84"/>
        <v>158614220</v>
      </c>
      <c r="T61" s="138">
        <f t="shared" si="84"/>
        <v>183498920</v>
      </c>
      <c r="U61" s="139"/>
      <c r="V61" s="139"/>
      <c r="W61" s="139"/>
      <c r="X61" s="139"/>
      <c r="Y61" s="139"/>
      <c r="Z61" s="139"/>
      <c r="AA61" s="139"/>
    </row>
    <row r="62" ht="15.75" customHeight="1">
      <c r="D62" s="124"/>
      <c r="E62" s="124"/>
      <c r="F62" s="124"/>
      <c r="I62" s="124"/>
      <c r="K62" s="124"/>
      <c r="L62" s="124"/>
      <c r="M62" s="124"/>
      <c r="O62" s="124"/>
      <c r="Q62" s="124"/>
      <c r="R62" s="124"/>
      <c r="S62" s="124"/>
    </row>
    <row r="63" ht="15.75" customHeight="1">
      <c r="A63" s="114" t="s">
        <v>22</v>
      </c>
      <c r="B63" s="114" t="s">
        <v>23</v>
      </c>
      <c r="C63" s="272" t="s">
        <v>76</v>
      </c>
      <c r="D63" s="273" t="s">
        <v>85</v>
      </c>
      <c r="E63" s="273" t="s">
        <v>86</v>
      </c>
      <c r="F63" s="273" t="s">
        <v>87</v>
      </c>
      <c r="G63" s="116" t="s">
        <v>88</v>
      </c>
      <c r="H63" s="116" t="s">
        <v>89</v>
      </c>
      <c r="I63" s="273" t="s">
        <v>90</v>
      </c>
      <c r="J63" s="116" t="s">
        <v>78</v>
      </c>
      <c r="K63" s="273" t="s">
        <v>32</v>
      </c>
      <c r="L63" s="275" t="s">
        <v>91</v>
      </c>
      <c r="M63" s="275" t="s">
        <v>92</v>
      </c>
      <c r="N63" s="117" t="s">
        <v>35</v>
      </c>
      <c r="O63" s="275" t="s">
        <v>93</v>
      </c>
      <c r="P63" s="117" t="s">
        <v>79</v>
      </c>
      <c r="Q63" s="118" t="s">
        <v>36</v>
      </c>
      <c r="R63" s="310" t="s">
        <v>37</v>
      </c>
      <c r="S63" s="119" t="s">
        <v>40</v>
      </c>
      <c r="T63" s="120" t="s">
        <v>41</v>
      </c>
      <c r="U63" s="122" t="s">
        <v>80</v>
      </c>
      <c r="V63" s="122" t="s">
        <v>81</v>
      </c>
      <c r="W63" s="121" t="s">
        <v>82</v>
      </c>
      <c r="X63" s="121" t="s">
        <v>94</v>
      </c>
      <c r="Y63" s="121" t="s">
        <v>83</v>
      </c>
      <c r="Z63" s="121" t="s">
        <v>95</v>
      </c>
      <c r="AA63" s="121" t="s">
        <v>84</v>
      </c>
      <c r="AB63" s="121" t="s">
        <v>84</v>
      </c>
    </row>
    <row r="64" ht="15.75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</row>
    <row r="65" ht="15.75" customHeight="1">
      <c r="A65" s="125">
        <v>1.0</v>
      </c>
      <c r="B65" s="143">
        <v>45295.0</v>
      </c>
      <c r="C65" s="281">
        <f t="shared" ref="C65:C81" si="85">SUM(D65:J65)</f>
        <v>5938</v>
      </c>
      <c r="D65" s="128"/>
      <c r="E65" s="128"/>
      <c r="F65" s="128">
        <f>2947-K65</f>
        <v>2921</v>
      </c>
      <c r="G65" s="128">
        <v>2889.0</v>
      </c>
      <c r="H65" s="127">
        <v>21.0</v>
      </c>
      <c r="I65" s="128">
        <v>107.0</v>
      </c>
      <c r="J65" s="127"/>
      <c r="K65" s="128">
        <v>26.0</v>
      </c>
      <c r="L65" s="128">
        <f>F65*8000</f>
        <v>23368000</v>
      </c>
      <c r="M65" s="128">
        <f>G65*4000</f>
        <v>11556000</v>
      </c>
      <c r="N65" s="131">
        <f>H65*5000</f>
        <v>105000</v>
      </c>
      <c r="O65" s="157">
        <f>I65*2000</f>
        <v>214000</v>
      </c>
      <c r="P65" s="131">
        <f>J65*3000</f>
        <v>0</v>
      </c>
      <c r="Q65" s="158">
        <f>4000*213</f>
        <v>852000</v>
      </c>
      <c r="R65" s="158"/>
      <c r="S65" s="158">
        <f>300*5964</f>
        <v>1789200</v>
      </c>
      <c r="T65" s="158">
        <f t="shared" ref="T65:T81" si="87">2834*SUM(D65:J65)</f>
        <v>16828292</v>
      </c>
      <c r="U65" s="158">
        <f t="shared" ref="U65:U81" si="88">SUM(Q65:T65)</f>
        <v>19469492</v>
      </c>
      <c r="V65" s="158">
        <f t="shared" ref="V65:V81" si="89">U65/SUM(D65:J65)</f>
        <v>3278.796228</v>
      </c>
      <c r="W65" s="158">
        <f t="shared" ref="W65:W81" si="90">L65/(SUM(D65:F65))+V65</f>
        <v>11278.79623</v>
      </c>
      <c r="X65" s="158">
        <f t="shared" ref="X65:X81" si="91">V65+(M65/G65)</f>
        <v>7278.796228</v>
      </c>
      <c r="Y65" s="158">
        <f t="shared" ref="Y65:Y81" si="92">(N65/H65)+V65</f>
        <v>8278.796228</v>
      </c>
      <c r="Z65" s="158">
        <f t="shared" ref="Z65:Z81" si="93">(O65/I65)+V65</f>
        <v>5278.796228</v>
      </c>
      <c r="AA65" s="158">
        <v>0.0</v>
      </c>
      <c r="AB65" s="158">
        <f>K65*12500</f>
        <v>325000</v>
      </c>
    </row>
    <row r="66" ht="15.75" customHeight="1">
      <c r="A66" s="293">
        <v>2.0</v>
      </c>
      <c r="B66" s="311">
        <v>45297.0</v>
      </c>
      <c r="C66" s="281">
        <f t="shared" si="85"/>
        <v>10961.5</v>
      </c>
      <c r="D66" s="141">
        <f>3177.2-K66</f>
        <v>3051.2</v>
      </c>
      <c r="E66" s="141">
        <v>4869.0</v>
      </c>
      <c r="F66" s="141"/>
      <c r="G66" s="141">
        <v>2143.0</v>
      </c>
      <c r="H66" s="140">
        <f>71.8+280</f>
        <v>351.8</v>
      </c>
      <c r="I66" s="141">
        <v>412.4</v>
      </c>
      <c r="J66" s="140">
        <v>134.1</v>
      </c>
      <c r="K66" s="141">
        <v>126.0</v>
      </c>
      <c r="L66" s="128">
        <f>((D66+K66)*11000)+(E66*10000)</f>
        <v>83639200</v>
      </c>
      <c r="M66" s="141">
        <f>(G66*4000)</f>
        <v>8572000</v>
      </c>
      <c r="N66" s="153">
        <f>(71.8*5000)+(280*1500)</f>
        <v>779000</v>
      </c>
      <c r="O66" s="295">
        <f t="shared" ref="O66:P66" si="86">(I66*2000)</f>
        <v>824800</v>
      </c>
      <c r="P66" s="153">
        <f t="shared" si="86"/>
        <v>268200</v>
      </c>
      <c r="Q66" s="296">
        <f>4000*396</f>
        <v>1584000</v>
      </c>
      <c r="R66" s="296"/>
      <c r="S66" s="296">
        <f>300*11088</f>
        <v>3326400</v>
      </c>
      <c r="T66" s="296">
        <f t="shared" si="87"/>
        <v>31064891</v>
      </c>
      <c r="U66" s="296">
        <f t="shared" si="88"/>
        <v>35975291</v>
      </c>
      <c r="V66" s="296">
        <f t="shared" si="89"/>
        <v>3281.967888</v>
      </c>
      <c r="W66" s="158">
        <f t="shared" si="90"/>
        <v>13842.20627</v>
      </c>
      <c r="X66" s="158">
        <f t="shared" si="91"/>
        <v>7281.967888</v>
      </c>
      <c r="Y66" s="296">
        <f t="shared" si="92"/>
        <v>5496.294209</v>
      </c>
      <c r="Z66" s="158">
        <f t="shared" si="93"/>
        <v>5281.967888</v>
      </c>
      <c r="AA66" s="296">
        <f t="shared" ref="AA66:AA81" si="94">(P66/J66)+V66</f>
        <v>5281.967888</v>
      </c>
      <c r="AB66" s="296">
        <f>K66*11000</f>
        <v>1386000</v>
      </c>
    </row>
    <row r="67" ht="15.75" customHeight="1">
      <c r="A67" s="293">
        <v>3.0</v>
      </c>
      <c r="B67" s="311">
        <v>45298.0</v>
      </c>
      <c r="C67" s="281">
        <f t="shared" si="85"/>
        <v>3282</v>
      </c>
      <c r="D67" s="128"/>
      <c r="E67" s="141"/>
      <c r="F67" s="141">
        <f>392.6-K67</f>
        <v>325.6</v>
      </c>
      <c r="G67" s="128">
        <v>2557.9</v>
      </c>
      <c r="H67" s="140">
        <v>41.8</v>
      </c>
      <c r="I67" s="141">
        <v>340.7</v>
      </c>
      <c r="J67" s="140">
        <v>16.0</v>
      </c>
      <c r="K67" s="141">
        <v>67.0</v>
      </c>
      <c r="L67" s="128">
        <f>(F67+K67)*9000</f>
        <v>3533400</v>
      </c>
      <c r="M67" s="141">
        <f t="shared" ref="M67:M68" si="95">G67*4000</f>
        <v>10231600</v>
      </c>
      <c r="N67" s="131">
        <f>H67*6000</f>
        <v>250800</v>
      </c>
      <c r="O67" s="295">
        <f>(I67*2000)</f>
        <v>681400</v>
      </c>
      <c r="P67" s="131">
        <f>J67*2000</f>
        <v>32000</v>
      </c>
      <c r="Q67" s="158">
        <f>4000*120</f>
        <v>480000</v>
      </c>
      <c r="R67" s="158"/>
      <c r="S67" s="158">
        <f>300*3360</f>
        <v>1008000</v>
      </c>
      <c r="T67" s="158">
        <f t="shared" si="87"/>
        <v>9301188</v>
      </c>
      <c r="U67" s="158">
        <f t="shared" si="88"/>
        <v>10789188</v>
      </c>
      <c r="V67" s="158">
        <f t="shared" si="89"/>
        <v>3287.382084</v>
      </c>
      <c r="W67" s="158">
        <f t="shared" si="90"/>
        <v>14139.34769</v>
      </c>
      <c r="X67" s="158">
        <f t="shared" si="91"/>
        <v>7287.382084</v>
      </c>
      <c r="Y67" s="158">
        <f t="shared" si="92"/>
        <v>9287.382084</v>
      </c>
      <c r="Z67" s="158">
        <f t="shared" si="93"/>
        <v>5287.382084</v>
      </c>
      <c r="AA67" s="158">
        <f t="shared" si="94"/>
        <v>5287.382084</v>
      </c>
      <c r="AB67" s="296">
        <f>K67*9000</f>
        <v>603000</v>
      </c>
    </row>
    <row r="68" ht="15.75" customHeight="1">
      <c r="A68" s="293">
        <v>4.0</v>
      </c>
      <c r="B68" s="311">
        <v>45300.0</v>
      </c>
      <c r="C68" s="281">
        <f t="shared" si="85"/>
        <v>10562.9</v>
      </c>
      <c r="D68" s="128"/>
      <c r="E68" s="141">
        <f>3160.8-K68</f>
        <v>3111.8</v>
      </c>
      <c r="F68" s="141">
        <v>2912.0</v>
      </c>
      <c r="G68" s="128">
        <v>3716.6</v>
      </c>
      <c r="H68" s="140">
        <v>184.4</v>
      </c>
      <c r="I68" s="141">
        <v>593.8</v>
      </c>
      <c r="J68" s="140">
        <v>44.3</v>
      </c>
      <c r="K68" s="141">
        <v>49.0</v>
      </c>
      <c r="L68" s="128">
        <f>((E68+K68)*9000)+(F68*8000)</f>
        <v>51743200</v>
      </c>
      <c r="M68" s="141">
        <f t="shared" si="95"/>
        <v>14866400</v>
      </c>
      <c r="N68" s="131">
        <f t="shared" ref="N68:N71" si="97">H68*5000</f>
        <v>922000</v>
      </c>
      <c r="O68" s="157">
        <f t="shared" ref="O68:P68" si="96">I68*2000</f>
        <v>1187600</v>
      </c>
      <c r="P68" s="131">
        <f t="shared" si="96"/>
        <v>88600</v>
      </c>
      <c r="Q68" s="158">
        <f>4000*379</f>
        <v>1516000</v>
      </c>
      <c r="R68" s="158">
        <f>23000*7</f>
        <v>161000</v>
      </c>
      <c r="S68" s="158">
        <f>300*10612</f>
        <v>3183600</v>
      </c>
      <c r="T68" s="158">
        <f t="shared" si="87"/>
        <v>29935258.6</v>
      </c>
      <c r="U68" s="158">
        <f t="shared" si="88"/>
        <v>34795858.6</v>
      </c>
      <c r="V68" s="158">
        <f t="shared" si="89"/>
        <v>3294.157722</v>
      </c>
      <c r="W68" s="158">
        <f t="shared" si="90"/>
        <v>11883.95154</v>
      </c>
      <c r="X68" s="158">
        <f t="shared" si="91"/>
        <v>7294.157722</v>
      </c>
      <c r="Y68" s="158">
        <f t="shared" si="92"/>
        <v>8294.157722</v>
      </c>
      <c r="Z68" s="158">
        <f t="shared" si="93"/>
        <v>5294.157722</v>
      </c>
      <c r="AA68" s="158">
        <f t="shared" si="94"/>
        <v>5294.157722</v>
      </c>
      <c r="AB68" s="296"/>
    </row>
    <row r="69" ht="15.75" customHeight="1">
      <c r="A69" s="293">
        <v>5.0</v>
      </c>
      <c r="B69" s="311">
        <v>45301.0</v>
      </c>
      <c r="C69" s="281">
        <f t="shared" si="85"/>
        <v>3489</v>
      </c>
      <c r="D69" s="128"/>
      <c r="E69" s="141"/>
      <c r="F69" s="141"/>
      <c r="G69" s="128">
        <f>3433.1-K69</f>
        <v>3422.1</v>
      </c>
      <c r="H69" s="140"/>
      <c r="I69" s="141">
        <v>55.8</v>
      </c>
      <c r="J69" s="140">
        <v>11.1</v>
      </c>
      <c r="K69" s="141">
        <v>11.0</v>
      </c>
      <c r="L69" s="312">
        <v>0.0</v>
      </c>
      <c r="M69" s="141">
        <f>(G69+K69)*3500</f>
        <v>12015850</v>
      </c>
      <c r="N69" s="131">
        <f t="shared" si="97"/>
        <v>0</v>
      </c>
      <c r="O69" s="157">
        <f t="shared" ref="O69:P69" si="98">I69*2000</f>
        <v>111600</v>
      </c>
      <c r="P69" s="131">
        <f t="shared" si="98"/>
        <v>22200</v>
      </c>
      <c r="Q69" s="158">
        <f>4000*125</f>
        <v>500000</v>
      </c>
      <c r="R69" s="158"/>
      <c r="S69" s="158">
        <f>300*3500</f>
        <v>1050000</v>
      </c>
      <c r="T69" s="158">
        <f t="shared" si="87"/>
        <v>9887826</v>
      </c>
      <c r="U69" s="158">
        <f t="shared" si="88"/>
        <v>11437826</v>
      </c>
      <c r="V69" s="158">
        <f t="shared" si="89"/>
        <v>3278.253368</v>
      </c>
      <c r="W69" s="158" t="str">
        <f t="shared" si="90"/>
        <v>#DIV/0!</v>
      </c>
      <c r="X69" s="158">
        <f t="shared" si="91"/>
        <v>6789.50377</v>
      </c>
      <c r="Y69" s="158" t="str">
        <f t="shared" si="92"/>
        <v>#DIV/0!</v>
      </c>
      <c r="Z69" s="158">
        <f t="shared" si="93"/>
        <v>5278.253368</v>
      </c>
      <c r="AA69" s="158">
        <f t="shared" si="94"/>
        <v>5278.253368</v>
      </c>
      <c r="AB69" s="296"/>
    </row>
    <row r="70" ht="15.75" customHeight="1">
      <c r="A70" s="293">
        <v>6.0</v>
      </c>
      <c r="B70" s="311">
        <v>45302.0</v>
      </c>
      <c r="C70" s="281">
        <f t="shared" si="85"/>
        <v>11529.6</v>
      </c>
      <c r="D70" s="128"/>
      <c r="E70" s="141"/>
      <c r="F70" s="141">
        <f>5233.6-K70</f>
        <v>5003.6</v>
      </c>
      <c r="G70" s="128">
        <v>4761.7</v>
      </c>
      <c r="H70" s="140">
        <v>326.8</v>
      </c>
      <c r="I70" s="141">
        <v>1369.2</v>
      </c>
      <c r="J70" s="140">
        <v>68.3</v>
      </c>
      <c r="K70" s="141">
        <v>230.0</v>
      </c>
      <c r="L70" s="128">
        <f>((F70+K70)*7000)</f>
        <v>36635200</v>
      </c>
      <c r="M70" s="141">
        <f t="shared" ref="M70:M71" si="100">G70*3000</f>
        <v>14285100</v>
      </c>
      <c r="N70" s="131">
        <f t="shared" si="97"/>
        <v>1634000</v>
      </c>
      <c r="O70" s="157">
        <f t="shared" ref="O70:P70" si="99">I70*2000</f>
        <v>2738400</v>
      </c>
      <c r="P70" s="131">
        <f t="shared" si="99"/>
        <v>136600</v>
      </c>
      <c r="Q70" s="158">
        <f>4000*379</f>
        <v>1516000</v>
      </c>
      <c r="R70" s="158"/>
      <c r="S70" s="158">
        <f>300*11760</f>
        <v>3528000</v>
      </c>
      <c r="T70" s="158">
        <f t="shared" si="87"/>
        <v>32674886.4</v>
      </c>
      <c r="U70" s="158">
        <f t="shared" si="88"/>
        <v>37718886.4</v>
      </c>
      <c r="V70" s="158">
        <f t="shared" si="89"/>
        <v>3271.482653</v>
      </c>
      <c r="W70" s="158">
        <f t="shared" si="90"/>
        <v>10593.25098</v>
      </c>
      <c r="X70" s="158">
        <f t="shared" si="91"/>
        <v>6271.482653</v>
      </c>
      <c r="Y70" s="158">
        <f t="shared" si="92"/>
        <v>8271.482653</v>
      </c>
      <c r="Z70" s="158">
        <f t="shared" si="93"/>
        <v>5271.482653</v>
      </c>
      <c r="AA70" s="158">
        <f t="shared" si="94"/>
        <v>5271.482653</v>
      </c>
      <c r="AB70" s="296"/>
    </row>
    <row r="71" ht="15.75" customHeight="1">
      <c r="A71" s="293">
        <v>7.0</v>
      </c>
      <c r="B71" s="311">
        <v>45304.0</v>
      </c>
      <c r="C71" s="281">
        <f t="shared" si="85"/>
        <v>10513.8</v>
      </c>
      <c r="D71" s="128"/>
      <c r="E71" s="141">
        <f>8843-K71</f>
        <v>8717</v>
      </c>
      <c r="F71" s="141">
        <v>840.0</v>
      </c>
      <c r="G71" s="128">
        <v>172.6</v>
      </c>
      <c r="H71" s="140">
        <v>690.7</v>
      </c>
      <c r="I71" s="141">
        <v>48.4</v>
      </c>
      <c r="J71" s="140">
        <v>45.1</v>
      </c>
      <c r="K71" s="141">
        <v>126.0</v>
      </c>
      <c r="L71" s="128">
        <f>((E71+K71)*9000)+(F71*8000)</f>
        <v>86307000</v>
      </c>
      <c r="M71" s="141">
        <f t="shared" si="100"/>
        <v>517800</v>
      </c>
      <c r="N71" s="131">
        <f t="shared" si="97"/>
        <v>3453500</v>
      </c>
      <c r="O71" s="157">
        <f t="shared" ref="O71:P71" si="101">I71*2000</f>
        <v>96800</v>
      </c>
      <c r="P71" s="131">
        <f t="shared" si="101"/>
        <v>90200</v>
      </c>
      <c r="Q71" s="158">
        <f>4000*380</f>
        <v>1520000</v>
      </c>
      <c r="R71" s="158">
        <f>23000*10</f>
        <v>230000</v>
      </c>
      <c r="S71" s="158">
        <f>300*10640</f>
        <v>3192000</v>
      </c>
      <c r="T71" s="158">
        <f t="shared" si="87"/>
        <v>29796109.2</v>
      </c>
      <c r="U71" s="158">
        <f t="shared" si="88"/>
        <v>34738109.2</v>
      </c>
      <c r="V71" s="158">
        <f t="shared" si="89"/>
        <v>3304.048888</v>
      </c>
      <c r="W71" s="158">
        <f t="shared" si="90"/>
        <v>12334.81168</v>
      </c>
      <c r="X71" s="158">
        <f t="shared" si="91"/>
        <v>6304.048888</v>
      </c>
      <c r="Y71" s="158">
        <f t="shared" si="92"/>
        <v>8304.048888</v>
      </c>
      <c r="Z71" s="158">
        <f t="shared" si="93"/>
        <v>5304.048888</v>
      </c>
      <c r="AA71" s="158">
        <f t="shared" si="94"/>
        <v>5304.048888</v>
      </c>
      <c r="AB71" s="296"/>
    </row>
    <row r="72" ht="15.75" customHeight="1">
      <c r="A72" s="293">
        <v>8.0</v>
      </c>
      <c r="B72" s="311">
        <v>45306.0</v>
      </c>
      <c r="C72" s="281">
        <f t="shared" si="85"/>
        <v>6776</v>
      </c>
      <c r="D72" s="128">
        <v>2134.0</v>
      </c>
      <c r="E72" s="141">
        <v>3967.1</v>
      </c>
      <c r="F72" s="141"/>
      <c r="G72" s="128">
        <v>73.7</v>
      </c>
      <c r="H72" s="140">
        <v>557.2</v>
      </c>
      <c r="I72" s="141">
        <v>6.5</v>
      </c>
      <c r="J72" s="140">
        <v>37.5</v>
      </c>
      <c r="K72" s="313">
        <v>0.0</v>
      </c>
      <c r="L72" s="128">
        <f t="shared" ref="L72:L76" si="103">((D72+K72)*10000)+(E72*9000)</f>
        <v>57043900</v>
      </c>
      <c r="M72" s="141">
        <f>G72*5000</f>
        <v>368500</v>
      </c>
      <c r="N72" s="131">
        <f t="shared" ref="N72:N75" si="104">H72*6000</f>
        <v>3343200</v>
      </c>
      <c r="O72" s="157">
        <f t="shared" ref="O72:P72" si="102">I72*2000</f>
        <v>13000</v>
      </c>
      <c r="P72" s="131">
        <f t="shared" si="102"/>
        <v>75000</v>
      </c>
      <c r="Q72" s="158">
        <f>4000*242</f>
        <v>968000</v>
      </c>
      <c r="R72" s="158"/>
      <c r="S72" s="158">
        <f>300*6776</f>
        <v>2032800</v>
      </c>
      <c r="T72" s="158">
        <f t="shared" si="87"/>
        <v>19203184</v>
      </c>
      <c r="U72" s="158">
        <f t="shared" si="88"/>
        <v>22203984</v>
      </c>
      <c r="V72" s="158">
        <f t="shared" si="89"/>
        <v>3276.857143</v>
      </c>
      <c r="W72" s="158">
        <f t="shared" si="90"/>
        <v>12626.63013</v>
      </c>
      <c r="X72" s="158">
        <f t="shared" si="91"/>
        <v>8276.857143</v>
      </c>
      <c r="Y72" s="158">
        <f t="shared" si="92"/>
        <v>9276.857143</v>
      </c>
      <c r="Z72" s="158">
        <f t="shared" si="93"/>
        <v>5276.857143</v>
      </c>
      <c r="AA72" s="158">
        <f t="shared" si="94"/>
        <v>5276.857143</v>
      </c>
      <c r="AB72" s="296"/>
    </row>
    <row r="73" ht="15.75" customHeight="1">
      <c r="A73" s="293">
        <v>9.0</v>
      </c>
      <c r="B73" s="311">
        <v>45307.0</v>
      </c>
      <c r="C73" s="281">
        <f t="shared" si="85"/>
        <v>4823.3</v>
      </c>
      <c r="D73" s="128">
        <f>4570-9</f>
        <v>4561</v>
      </c>
      <c r="E73" s="141"/>
      <c r="F73" s="141"/>
      <c r="G73" s="128">
        <v>22.3</v>
      </c>
      <c r="H73" s="140">
        <v>221.2</v>
      </c>
      <c r="I73" s="141">
        <v>3.7</v>
      </c>
      <c r="J73" s="140">
        <v>15.1</v>
      </c>
      <c r="K73" s="141">
        <v>9.0</v>
      </c>
      <c r="L73" s="128">
        <f t="shared" si="103"/>
        <v>45700000</v>
      </c>
      <c r="M73" s="141">
        <f>G73*4000</f>
        <v>89200</v>
      </c>
      <c r="N73" s="131">
        <f t="shared" si="104"/>
        <v>1327200</v>
      </c>
      <c r="O73" s="157">
        <f t="shared" ref="O73:P73" si="105">I73*2000</f>
        <v>7400</v>
      </c>
      <c r="P73" s="131">
        <f t="shared" si="105"/>
        <v>30200</v>
      </c>
      <c r="Q73" s="158">
        <f>4000*172</f>
        <v>688000</v>
      </c>
      <c r="R73" s="158"/>
      <c r="S73" s="158">
        <f>300*4833</f>
        <v>1449900</v>
      </c>
      <c r="T73" s="158">
        <f t="shared" si="87"/>
        <v>13669232.2</v>
      </c>
      <c r="U73" s="158">
        <f t="shared" si="88"/>
        <v>15807132.2</v>
      </c>
      <c r="V73" s="158">
        <f t="shared" si="89"/>
        <v>3277.244252</v>
      </c>
      <c r="W73" s="158">
        <f t="shared" si="90"/>
        <v>13296.97677</v>
      </c>
      <c r="X73" s="158">
        <f t="shared" si="91"/>
        <v>7277.244252</v>
      </c>
      <c r="Y73" s="158">
        <f t="shared" si="92"/>
        <v>9277.244252</v>
      </c>
      <c r="Z73" s="158">
        <f t="shared" si="93"/>
        <v>5277.244252</v>
      </c>
      <c r="AA73" s="158">
        <f t="shared" si="94"/>
        <v>5277.244252</v>
      </c>
      <c r="AB73" s="296"/>
    </row>
    <row r="74" ht="15.75" customHeight="1">
      <c r="A74" s="293">
        <v>10.0</v>
      </c>
      <c r="B74" s="311">
        <v>45308.0</v>
      </c>
      <c r="C74" s="281">
        <f t="shared" si="85"/>
        <v>9779.4</v>
      </c>
      <c r="D74" s="128">
        <f>8892.6-K74</f>
        <v>8816</v>
      </c>
      <c r="E74" s="141"/>
      <c r="F74" s="141"/>
      <c r="G74" s="128">
        <v>106.2</v>
      </c>
      <c r="H74" s="140">
        <v>789.8</v>
      </c>
      <c r="I74" s="141">
        <v>36.4</v>
      </c>
      <c r="J74" s="140">
        <v>31.0</v>
      </c>
      <c r="K74" s="141">
        <v>76.6</v>
      </c>
      <c r="L74" s="128">
        <f t="shared" si="103"/>
        <v>88926000</v>
      </c>
      <c r="M74" s="141">
        <f>G74*5000</f>
        <v>531000</v>
      </c>
      <c r="N74" s="131">
        <f t="shared" si="104"/>
        <v>4738800</v>
      </c>
      <c r="O74" s="157">
        <f t="shared" ref="O74:P74" si="106">I74*2000</f>
        <v>72800</v>
      </c>
      <c r="P74" s="131">
        <f t="shared" si="106"/>
        <v>62000</v>
      </c>
      <c r="Q74" s="158">
        <f>4000*352</f>
        <v>1408000</v>
      </c>
      <c r="R74" s="158"/>
      <c r="S74" s="158">
        <f>300*9856</f>
        <v>2956800</v>
      </c>
      <c r="T74" s="158">
        <f t="shared" si="87"/>
        <v>27714819.6</v>
      </c>
      <c r="U74" s="158">
        <f t="shared" si="88"/>
        <v>32079619.6</v>
      </c>
      <c r="V74" s="158">
        <f t="shared" si="89"/>
        <v>3280.32595</v>
      </c>
      <c r="W74" s="158">
        <f t="shared" si="90"/>
        <v>13367.21343</v>
      </c>
      <c r="X74" s="158">
        <f t="shared" si="91"/>
        <v>8280.32595</v>
      </c>
      <c r="Y74" s="158">
        <f t="shared" si="92"/>
        <v>9280.32595</v>
      </c>
      <c r="Z74" s="158">
        <f t="shared" si="93"/>
        <v>5280.32595</v>
      </c>
      <c r="AA74" s="158">
        <f t="shared" si="94"/>
        <v>5280.32595</v>
      </c>
      <c r="AB74" s="296"/>
    </row>
    <row r="75" ht="15.75" customHeight="1">
      <c r="A75" s="293">
        <v>11.0</v>
      </c>
      <c r="B75" s="311">
        <v>45309.0</v>
      </c>
      <c r="C75" s="281">
        <f t="shared" si="85"/>
        <v>1337</v>
      </c>
      <c r="D75" s="128">
        <f>1016.5-K75</f>
        <v>1009.5</v>
      </c>
      <c r="E75" s="141"/>
      <c r="F75" s="141"/>
      <c r="G75" s="128"/>
      <c r="H75" s="140">
        <v>318.5</v>
      </c>
      <c r="I75" s="141"/>
      <c r="J75" s="140">
        <v>9.0</v>
      </c>
      <c r="K75" s="141">
        <v>7.0</v>
      </c>
      <c r="L75" s="128">
        <f t="shared" si="103"/>
        <v>10165000</v>
      </c>
      <c r="M75" s="141">
        <f t="shared" ref="M75:M78" si="108">G75*4500</f>
        <v>0</v>
      </c>
      <c r="N75" s="131">
        <f t="shared" si="104"/>
        <v>1911000</v>
      </c>
      <c r="O75" s="157">
        <f t="shared" ref="O75:P75" si="107">I75*2000</f>
        <v>0</v>
      </c>
      <c r="P75" s="131">
        <f t="shared" si="107"/>
        <v>18000</v>
      </c>
      <c r="Q75" s="158">
        <f>4000*300</f>
        <v>1200000</v>
      </c>
      <c r="R75" s="158"/>
      <c r="S75" s="158">
        <f>300*4833</f>
        <v>1449900</v>
      </c>
      <c r="T75" s="158">
        <f t="shared" si="87"/>
        <v>3789058</v>
      </c>
      <c r="U75" s="158">
        <f t="shared" si="88"/>
        <v>6438958</v>
      </c>
      <c r="V75" s="158">
        <f t="shared" si="89"/>
        <v>4815.97457</v>
      </c>
      <c r="W75" s="158">
        <f t="shared" si="90"/>
        <v>14885.31583</v>
      </c>
      <c r="X75" s="158" t="str">
        <f t="shared" si="91"/>
        <v>#DIV/0!</v>
      </c>
      <c r="Y75" s="158">
        <f t="shared" si="92"/>
        <v>10815.97457</v>
      </c>
      <c r="Z75" s="158" t="str">
        <f t="shared" si="93"/>
        <v>#DIV/0!</v>
      </c>
      <c r="AA75" s="158">
        <f t="shared" si="94"/>
        <v>6815.97457</v>
      </c>
      <c r="AB75" s="296">
        <f>K75*12000</f>
        <v>84000</v>
      </c>
    </row>
    <row r="76" ht="15.75" customHeight="1">
      <c r="A76" s="314">
        <v>12.0</v>
      </c>
      <c r="B76" s="315">
        <v>45311.0</v>
      </c>
      <c r="C76" s="281">
        <f t="shared" si="85"/>
        <v>2946.6</v>
      </c>
      <c r="D76" s="128"/>
      <c r="E76" s="313">
        <v>596.6</v>
      </c>
      <c r="F76" s="141"/>
      <c r="G76" s="312">
        <v>1425.6</v>
      </c>
      <c r="H76" s="316">
        <v>190.1</v>
      </c>
      <c r="I76" s="313">
        <v>724.3</v>
      </c>
      <c r="J76" s="316">
        <v>10.0</v>
      </c>
      <c r="K76" s="313">
        <v>0.0</v>
      </c>
      <c r="L76" s="128">
        <f t="shared" si="103"/>
        <v>5369400</v>
      </c>
      <c r="M76" s="141">
        <f t="shared" si="108"/>
        <v>6415200</v>
      </c>
      <c r="N76" s="131">
        <f t="shared" ref="N76:N78" si="110">H76*5000</f>
        <v>950500</v>
      </c>
      <c r="O76" s="157">
        <f t="shared" ref="O76:P76" si="109">I76*2000</f>
        <v>1448600</v>
      </c>
      <c r="P76" s="131">
        <f t="shared" si="109"/>
        <v>20000</v>
      </c>
      <c r="Q76" s="158">
        <f>4000*105</f>
        <v>420000</v>
      </c>
      <c r="R76" s="158"/>
      <c r="S76" s="158">
        <f>300*2946</f>
        <v>883800</v>
      </c>
      <c r="T76" s="158">
        <f t="shared" si="87"/>
        <v>8350664.4</v>
      </c>
      <c r="U76" s="158">
        <f t="shared" si="88"/>
        <v>9654464.4</v>
      </c>
      <c r="V76" s="158">
        <f t="shared" si="89"/>
        <v>3276.476074</v>
      </c>
      <c r="W76" s="158">
        <f t="shared" si="90"/>
        <v>12276.47607</v>
      </c>
      <c r="X76" s="158">
        <f t="shared" si="91"/>
        <v>7776.476074</v>
      </c>
      <c r="Y76" s="158">
        <f t="shared" si="92"/>
        <v>8276.476074</v>
      </c>
      <c r="Z76" s="158">
        <f t="shared" si="93"/>
        <v>5276.476074</v>
      </c>
      <c r="AA76" s="158">
        <f t="shared" si="94"/>
        <v>5276.476074</v>
      </c>
      <c r="AB76" s="317"/>
    </row>
    <row r="77" ht="15.75" customHeight="1">
      <c r="A77" s="314">
        <v>13.0</v>
      </c>
      <c r="B77" s="315">
        <v>45312.0</v>
      </c>
      <c r="C77" s="281">
        <f t="shared" si="85"/>
        <v>3024.7</v>
      </c>
      <c r="D77" s="128"/>
      <c r="E77" s="313">
        <v>1344.0</v>
      </c>
      <c r="F77" s="313">
        <v>1510.0</v>
      </c>
      <c r="G77" s="312">
        <v>0.0</v>
      </c>
      <c r="H77" s="316">
        <v>160.5</v>
      </c>
      <c r="I77" s="313">
        <v>6.3</v>
      </c>
      <c r="J77" s="316">
        <v>3.9</v>
      </c>
      <c r="K77" s="313">
        <v>0.0</v>
      </c>
      <c r="L77" s="128">
        <f t="shared" ref="L77:L81" si="112">((D77+K77)*10000)+(E77*9000)+(F77*8000)</f>
        <v>24176000</v>
      </c>
      <c r="M77" s="141">
        <f t="shared" si="108"/>
        <v>0</v>
      </c>
      <c r="N77" s="131">
        <f t="shared" si="110"/>
        <v>802500</v>
      </c>
      <c r="O77" s="157">
        <f t="shared" ref="O77:P77" si="111">I77*2000</f>
        <v>12600</v>
      </c>
      <c r="P77" s="131">
        <f t="shared" si="111"/>
        <v>7800</v>
      </c>
      <c r="Q77" s="158">
        <f>4000*108</f>
        <v>432000</v>
      </c>
      <c r="R77" s="158"/>
      <c r="S77" s="158">
        <f>300*3024</f>
        <v>907200</v>
      </c>
      <c r="T77" s="158">
        <f t="shared" si="87"/>
        <v>8571999.8</v>
      </c>
      <c r="U77" s="158">
        <f t="shared" si="88"/>
        <v>9911199.8</v>
      </c>
      <c r="V77" s="158">
        <f t="shared" si="89"/>
        <v>3276.754653</v>
      </c>
      <c r="W77" s="158">
        <f t="shared" si="90"/>
        <v>11747.67266</v>
      </c>
      <c r="X77" s="158" t="str">
        <f t="shared" si="91"/>
        <v>#DIV/0!</v>
      </c>
      <c r="Y77" s="158">
        <f t="shared" si="92"/>
        <v>8276.754653</v>
      </c>
      <c r="Z77" s="158">
        <f t="shared" si="93"/>
        <v>5276.754653</v>
      </c>
      <c r="AA77" s="158">
        <f t="shared" si="94"/>
        <v>5276.754653</v>
      </c>
      <c r="AB77" s="317"/>
    </row>
    <row r="78" ht="15.75" customHeight="1">
      <c r="A78" s="314">
        <v>14.0</v>
      </c>
      <c r="B78" s="315">
        <v>45313.0</v>
      </c>
      <c r="C78" s="281">
        <f t="shared" si="85"/>
        <v>3367.8</v>
      </c>
      <c r="D78" s="128"/>
      <c r="E78" s="313">
        <v>2939.0</v>
      </c>
      <c r="F78" s="141"/>
      <c r="G78" s="128"/>
      <c r="H78" s="316">
        <v>416.7</v>
      </c>
      <c r="I78" s="313">
        <v>5.5</v>
      </c>
      <c r="J78" s="316">
        <v>6.6</v>
      </c>
      <c r="K78" s="313">
        <v>0.0</v>
      </c>
      <c r="L78" s="128">
        <f t="shared" si="112"/>
        <v>26451000</v>
      </c>
      <c r="M78" s="141">
        <f t="shared" si="108"/>
        <v>0</v>
      </c>
      <c r="N78" s="131">
        <f t="shared" si="110"/>
        <v>2083500</v>
      </c>
      <c r="O78" s="157">
        <f t="shared" ref="O78:P78" si="113">I78*2000</f>
        <v>11000</v>
      </c>
      <c r="P78" s="131">
        <f t="shared" si="113"/>
        <v>13200</v>
      </c>
      <c r="Q78" s="158">
        <f>4000*120</f>
        <v>480000</v>
      </c>
      <c r="R78" s="158"/>
      <c r="S78" s="158">
        <f>300*3367.8</f>
        <v>1010340</v>
      </c>
      <c r="T78" s="158">
        <f t="shared" si="87"/>
        <v>9544345.2</v>
      </c>
      <c r="U78" s="158">
        <f t="shared" si="88"/>
        <v>11034685.2</v>
      </c>
      <c r="V78" s="158">
        <f t="shared" si="89"/>
        <v>3276.526278</v>
      </c>
      <c r="W78" s="158">
        <f t="shared" si="90"/>
        <v>12276.52628</v>
      </c>
      <c r="X78" s="158" t="str">
        <f t="shared" si="91"/>
        <v>#DIV/0!</v>
      </c>
      <c r="Y78" s="158">
        <f t="shared" si="92"/>
        <v>8276.526278</v>
      </c>
      <c r="Z78" s="158">
        <f t="shared" si="93"/>
        <v>5276.526278</v>
      </c>
      <c r="AA78" s="158">
        <f t="shared" si="94"/>
        <v>5276.526278</v>
      </c>
      <c r="AB78" s="317"/>
    </row>
    <row r="79" ht="15.75" customHeight="1">
      <c r="A79" s="314">
        <v>15.0</v>
      </c>
      <c r="B79" s="315">
        <v>45314.0</v>
      </c>
      <c r="C79" s="281">
        <f t="shared" si="85"/>
        <v>4256</v>
      </c>
      <c r="D79" s="312">
        <v>3192.0</v>
      </c>
      <c r="E79" s="141"/>
      <c r="F79" s="141"/>
      <c r="G79" s="312">
        <v>328.2</v>
      </c>
      <c r="H79" s="316">
        <v>170.3</v>
      </c>
      <c r="I79" s="313">
        <v>559.4</v>
      </c>
      <c r="J79" s="316">
        <v>6.1</v>
      </c>
      <c r="K79" s="141"/>
      <c r="L79" s="128">
        <f t="shared" si="112"/>
        <v>31920000</v>
      </c>
      <c r="M79" s="141">
        <f t="shared" ref="M79:N79" si="114">G79*5000</f>
        <v>1641000</v>
      </c>
      <c r="N79" s="131">
        <f t="shared" si="114"/>
        <v>851500</v>
      </c>
      <c r="O79" s="157">
        <f t="shared" ref="O79:P79" si="115">I79*2000</f>
        <v>1118800</v>
      </c>
      <c r="P79" s="131">
        <f t="shared" si="115"/>
        <v>12200</v>
      </c>
      <c r="Q79" s="158">
        <f>4000*152</f>
        <v>608000</v>
      </c>
      <c r="R79" s="158"/>
      <c r="S79" s="158">
        <f>300*4256</f>
        <v>1276800</v>
      </c>
      <c r="T79" s="158">
        <f t="shared" si="87"/>
        <v>12061504</v>
      </c>
      <c r="U79" s="158">
        <f t="shared" si="88"/>
        <v>13946304</v>
      </c>
      <c r="V79" s="158">
        <f t="shared" si="89"/>
        <v>3276.857143</v>
      </c>
      <c r="W79" s="158">
        <f t="shared" si="90"/>
        <v>13276.85714</v>
      </c>
      <c r="X79" s="158">
        <f t="shared" si="91"/>
        <v>8276.857143</v>
      </c>
      <c r="Y79" s="158">
        <f t="shared" si="92"/>
        <v>8276.857143</v>
      </c>
      <c r="Z79" s="158">
        <f t="shared" si="93"/>
        <v>5276.857143</v>
      </c>
      <c r="AA79" s="158">
        <f t="shared" si="94"/>
        <v>5276.857143</v>
      </c>
      <c r="AB79" s="317"/>
    </row>
    <row r="80" ht="15.75" customHeight="1">
      <c r="A80" s="314">
        <v>16.0</v>
      </c>
      <c r="B80" s="315">
        <v>45315.0</v>
      </c>
      <c r="C80" s="281">
        <f t="shared" si="85"/>
        <v>1509.8</v>
      </c>
      <c r="D80" s="312">
        <v>1346.9</v>
      </c>
      <c r="E80" s="141"/>
      <c r="F80" s="141"/>
      <c r="G80" s="312">
        <v>8.7</v>
      </c>
      <c r="H80" s="316">
        <v>150.1</v>
      </c>
      <c r="I80" s="313">
        <v>0.9</v>
      </c>
      <c r="J80" s="316">
        <v>3.2</v>
      </c>
      <c r="K80" s="313">
        <v>0.0</v>
      </c>
      <c r="L80" s="128">
        <f t="shared" si="112"/>
        <v>13469000</v>
      </c>
      <c r="M80" s="141">
        <f t="shared" ref="M80:N80" si="116">G80*5000</f>
        <v>43500</v>
      </c>
      <c r="N80" s="131">
        <f t="shared" si="116"/>
        <v>750500</v>
      </c>
      <c r="O80" s="157">
        <f t="shared" ref="O80:P80" si="117">I80*2000</f>
        <v>1800</v>
      </c>
      <c r="P80" s="131">
        <f t="shared" si="117"/>
        <v>6400</v>
      </c>
      <c r="Q80" s="158">
        <f>4000*53</f>
        <v>212000</v>
      </c>
      <c r="R80" s="158"/>
      <c r="S80" s="158">
        <f>300*2946</f>
        <v>883800</v>
      </c>
      <c r="T80" s="158">
        <f t="shared" si="87"/>
        <v>4278773.2</v>
      </c>
      <c r="U80" s="158">
        <f t="shared" si="88"/>
        <v>5374573.2</v>
      </c>
      <c r="V80" s="158">
        <f t="shared" si="89"/>
        <v>3559.791496</v>
      </c>
      <c r="W80" s="158">
        <f t="shared" si="90"/>
        <v>13559.7915</v>
      </c>
      <c r="X80" s="158">
        <f t="shared" si="91"/>
        <v>8559.791496</v>
      </c>
      <c r="Y80" s="158">
        <f t="shared" si="92"/>
        <v>8559.791496</v>
      </c>
      <c r="Z80" s="158">
        <f t="shared" si="93"/>
        <v>5559.791496</v>
      </c>
      <c r="AA80" s="158">
        <f t="shared" si="94"/>
        <v>5559.791496</v>
      </c>
      <c r="AB80" s="317"/>
    </row>
    <row r="81" ht="15.75" customHeight="1">
      <c r="A81" s="314">
        <v>17.0</v>
      </c>
      <c r="B81" s="315">
        <v>45318.0</v>
      </c>
      <c r="C81" s="281">
        <f t="shared" si="85"/>
        <v>4215</v>
      </c>
      <c r="D81" s="312">
        <f>3442.5-K81</f>
        <v>3373.5</v>
      </c>
      <c r="E81" s="141"/>
      <c r="F81" s="141"/>
      <c r="G81" s="312">
        <v>17.1</v>
      </c>
      <c r="H81" s="316">
        <v>797.9</v>
      </c>
      <c r="I81" s="313">
        <v>12.5</v>
      </c>
      <c r="J81" s="316">
        <v>14.0</v>
      </c>
      <c r="K81" s="313">
        <v>69.0</v>
      </c>
      <c r="L81" s="128">
        <f t="shared" si="112"/>
        <v>34425000</v>
      </c>
      <c r="M81" s="141">
        <f t="shared" ref="M81:N81" si="118">G81*5000</f>
        <v>85500</v>
      </c>
      <c r="N81" s="131">
        <f t="shared" si="118"/>
        <v>3989500</v>
      </c>
      <c r="O81" s="157">
        <f t="shared" ref="O81:P81" si="119">I81*2000</f>
        <v>25000</v>
      </c>
      <c r="P81" s="131">
        <f t="shared" si="119"/>
        <v>28000</v>
      </c>
      <c r="Q81" s="158">
        <f>4000*153</f>
        <v>612000</v>
      </c>
      <c r="R81" s="158"/>
      <c r="S81" s="158">
        <f>300*4284</f>
        <v>1285200</v>
      </c>
      <c r="T81" s="158">
        <f t="shared" si="87"/>
        <v>11945310</v>
      </c>
      <c r="U81" s="158">
        <f t="shared" si="88"/>
        <v>13842510</v>
      </c>
      <c r="V81" s="158">
        <f t="shared" si="89"/>
        <v>3284.106762</v>
      </c>
      <c r="W81" s="158">
        <f t="shared" si="90"/>
        <v>13488.64211</v>
      </c>
      <c r="X81" s="158">
        <f t="shared" si="91"/>
        <v>8284.106762</v>
      </c>
      <c r="Y81" s="158">
        <f t="shared" si="92"/>
        <v>8284.106762</v>
      </c>
      <c r="Z81" s="158">
        <f t="shared" si="93"/>
        <v>5284.106762</v>
      </c>
      <c r="AA81" s="158">
        <f t="shared" si="94"/>
        <v>5284.106762</v>
      </c>
      <c r="AB81" s="317"/>
    </row>
    <row r="82" ht="15.75" customHeight="1">
      <c r="A82" s="132" t="s">
        <v>54</v>
      </c>
      <c r="B82" s="134"/>
      <c r="C82" s="291">
        <f>SUM(C65:C75)</f>
        <v>78992.5</v>
      </c>
      <c r="D82" s="154">
        <f>SUM(D54:D60)</f>
        <v>0</v>
      </c>
      <c r="E82" s="286">
        <f>SUM(E54:E61)</f>
        <v>15041.8</v>
      </c>
      <c r="F82" s="286">
        <f t="shared" ref="F82:G82" si="120">SUM(F54:F60)</f>
        <v>8893.1</v>
      </c>
      <c r="G82" s="136">
        <f t="shared" si="120"/>
        <v>7543.7</v>
      </c>
      <c r="H82" s="135">
        <f>SUM(H54:H75)</f>
        <v>6660.8</v>
      </c>
      <c r="I82" s="286"/>
      <c r="J82" s="135"/>
      <c r="K82" s="286">
        <f>SUM(K54:K61)</f>
        <v>1791</v>
      </c>
      <c r="L82" s="286">
        <f>SUM(L54:L60)</f>
        <v>152237900</v>
      </c>
      <c r="M82" s="286"/>
      <c r="N82" s="135">
        <f>SUM(N54:N60)</f>
        <v>5550600</v>
      </c>
      <c r="O82" s="286"/>
      <c r="P82" s="135"/>
      <c r="Q82" s="138">
        <f>SUM(Q54:Q60)</f>
        <v>4036000</v>
      </c>
      <c r="R82" s="138"/>
      <c r="S82" s="138">
        <f t="shared" ref="S82:U82" si="121">SUM(R54:R60)</f>
        <v>7484400</v>
      </c>
      <c r="T82" s="138">
        <f t="shared" si="121"/>
        <v>79362769.2</v>
      </c>
      <c r="U82" s="138">
        <f t="shared" si="121"/>
        <v>90883169.2</v>
      </c>
      <c r="V82" s="139"/>
      <c r="W82" s="139"/>
      <c r="X82" s="139"/>
      <c r="Y82" s="139"/>
      <c r="Z82" s="139"/>
      <c r="AA82" s="139"/>
      <c r="AB82" s="139"/>
    </row>
    <row r="83" ht="15.75" customHeight="1">
      <c r="D83" s="124"/>
      <c r="E83" s="124"/>
      <c r="F83" s="124"/>
      <c r="I83" s="124"/>
      <c r="K83" s="124"/>
      <c r="L83" s="124"/>
      <c r="M83" s="124"/>
      <c r="O83" s="124"/>
      <c r="Q83" s="124"/>
      <c r="R83" s="124"/>
      <c r="S83" s="124"/>
    </row>
    <row r="84" ht="15.75" customHeight="1">
      <c r="D84" s="124"/>
      <c r="E84" s="124"/>
      <c r="F84" s="124"/>
      <c r="I84" s="124"/>
      <c r="K84" s="124"/>
      <c r="L84" s="124"/>
      <c r="M84" s="124"/>
      <c r="O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</row>
    <row r="85" ht="15.75" customHeight="1">
      <c r="D85" s="124"/>
      <c r="E85" s="124"/>
      <c r="F85" s="124"/>
      <c r="I85" s="124"/>
      <c r="K85" s="124"/>
      <c r="L85" s="124"/>
      <c r="M85" s="124"/>
      <c r="O85" s="124"/>
    </row>
    <row r="86" ht="15.75" customHeight="1">
      <c r="B86" s="175" t="s">
        <v>96</v>
      </c>
      <c r="D86" s="124"/>
      <c r="E86" s="124"/>
      <c r="F86" s="124"/>
      <c r="I86" s="124"/>
      <c r="K86" s="124"/>
      <c r="L86" s="124"/>
      <c r="M86" s="124"/>
      <c r="O86" s="124"/>
    </row>
    <row r="87" ht="15.75" customHeight="1">
      <c r="B87" s="175" t="s">
        <v>97</v>
      </c>
      <c r="D87" s="124"/>
      <c r="E87" s="124"/>
      <c r="F87" s="124"/>
      <c r="I87" s="124"/>
      <c r="K87" s="124"/>
      <c r="L87" s="124"/>
      <c r="M87" s="124"/>
      <c r="O87" s="124"/>
    </row>
    <row r="88" ht="15.75" customHeight="1">
      <c r="B88" s="175" t="s">
        <v>98</v>
      </c>
      <c r="D88" s="124"/>
      <c r="E88" s="124"/>
      <c r="F88" s="124"/>
      <c r="I88" s="124"/>
      <c r="K88" s="124"/>
      <c r="L88" s="124"/>
      <c r="M88" s="124"/>
      <c r="O88" s="124"/>
    </row>
    <row r="89" ht="15.75" customHeight="1">
      <c r="D89" s="124"/>
      <c r="E89" s="124"/>
      <c r="F89" s="124"/>
      <c r="I89" s="124"/>
      <c r="K89" s="124"/>
      <c r="L89" s="124"/>
      <c r="M89" s="124"/>
      <c r="O89" s="124"/>
    </row>
    <row r="90" ht="15.75" customHeight="1">
      <c r="D90" s="124"/>
      <c r="E90" s="124"/>
      <c r="F90" s="124"/>
      <c r="I90" s="124"/>
      <c r="K90" s="124"/>
      <c r="L90" s="124"/>
      <c r="M90" s="124"/>
      <c r="O90" s="124"/>
    </row>
    <row r="91" ht="15.75" customHeight="1">
      <c r="D91" s="124"/>
      <c r="E91" s="124"/>
      <c r="F91" s="124"/>
      <c r="I91" s="124"/>
      <c r="K91" s="124"/>
      <c r="L91" s="124"/>
      <c r="M91" s="124"/>
      <c r="O91" s="124"/>
    </row>
    <row r="92" ht="15.75" customHeight="1">
      <c r="D92" s="124"/>
      <c r="E92" s="124"/>
      <c r="F92" s="124"/>
      <c r="I92" s="124"/>
      <c r="K92" s="124"/>
      <c r="L92" s="124"/>
      <c r="M92" s="124"/>
      <c r="O92" s="124"/>
    </row>
    <row r="93" ht="15.75" customHeight="1">
      <c r="D93" s="124"/>
      <c r="E93" s="124"/>
      <c r="F93" s="124"/>
      <c r="I93" s="124"/>
      <c r="K93" s="124"/>
      <c r="L93" s="124"/>
      <c r="M93" s="124"/>
      <c r="O93" s="124"/>
    </row>
    <row r="94" ht="15.75" customHeight="1">
      <c r="D94" s="124"/>
      <c r="E94" s="124"/>
      <c r="F94" s="124"/>
      <c r="I94" s="124"/>
      <c r="K94" s="124"/>
      <c r="L94" s="124"/>
      <c r="M94" s="124"/>
      <c r="O94" s="124"/>
    </row>
    <row r="95" ht="15.75" customHeight="1">
      <c r="D95" s="124"/>
      <c r="E95" s="124"/>
      <c r="F95" s="124"/>
      <c r="I95" s="124"/>
      <c r="K95" s="124"/>
      <c r="L95" s="124"/>
      <c r="M95" s="124"/>
      <c r="O95" s="124"/>
    </row>
    <row r="96" ht="15.75" customHeight="1">
      <c r="D96" s="124"/>
      <c r="E96" s="124"/>
      <c r="F96" s="124"/>
      <c r="I96" s="124"/>
      <c r="K96" s="124"/>
      <c r="L96" s="124"/>
      <c r="M96" s="124"/>
      <c r="O96" s="124"/>
    </row>
    <row r="97" ht="15.75" customHeight="1">
      <c r="D97" s="124"/>
      <c r="E97" s="124"/>
      <c r="F97" s="124"/>
      <c r="I97" s="124"/>
      <c r="K97" s="124"/>
      <c r="L97" s="124"/>
      <c r="M97" s="124"/>
      <c r="O97" s="124"/>
    </row>
    <row r="98" ht="15.75" customHeight="1">
      <c r="D98" s="124"/>
      <c r="E98" s="124"/>
      <c r="F98" s="124"/>
      <c r="I98" s="124"/>
      <c r="K98" s="124"/>
      <c r="L98" s="124"/>
      <c r="M98" s="124"/>
      <c r="O98" s="124"/>
    </row>
    <row r="99" ht="15.75" customHeight="1">
      <c r="D99" s="124"/>
      <c r="E99" s="124"/>
      <c r="F99" s="124"/>
      <c r="I99" s="124"/>
      <c r="K99" s="124"/>
      <c r="L99" s="124"/>
      <c r="M99" s="124"/>
      <c r="O99" s="124"/>
    </row>
    <row r="100" ht="15.75" customHeight="1">
      <c r="D100" s="124"/>
      <c r="E100" s="124"/>
      <c r="F100" s="124"/>
      <c r="I100" s="124"/>
      <c r="K100" s="124"/>
      <c r="L100" s="124"/>
      <c r="M100" s="124"/>
      <c r="O100" s="124"/>
    </row>
    <row r="101" ht="15.75" customHeight="1">
      <c r="D101" s="124"/>
      <c r="E101" s="124"/>
      <c r="F101" s="124"/>
      <c r="I101" s="124"/>
      <c r="K101" s="124"/>
      <c r="L101" s="124"/>
      <c r="M101" s="124"/>
      <c r="O101" s="124"/>
    </row>
    <row r="102" ht="15.75" customHeight="1">
      <c r="D102" s="124"/>
      <c r="E102" s="124"/>
      <c r="F102" s="124"/>
      <c r="I102" s="124"/>
      <c r="K102" s="124"/>
      <c r="L102" s="124"/>
      <c r="M102" s="124"/>
      <c r="O102" s="124"/>
    </row>
    <row r="103" ht="15.75" customHeight="1">
      <c r="D103" s="124"/>
      <c r="E103" s="124"/>
      <c r="F103" s="124"/>
      <c r="I103" s="124"/>
      <c r="K103" s="124"/>
      <c r="L103" s="124"/>
      <c r="M103" s="124"/>
      <c r="O103" s="124"/>
    </row>
    <row r="104" ht="15.75" customHeight="1">
      <c r="D104" s="124"/>
      <c r="E104" s="124"/>
      <c r="F104" s="124"/>
      <c r="I104" s="124"/>
      <c r="K104" s="124"/>
      <c r="L104" s="124"/>
      <c r="M104" s="124"/>
      <c r="O104" s="124"/>
    </row>
    <row r="105" ht="15.75" customHeight="1">
      <c r="D105" s="124"/>
      <c r="E105" s="124"/>
      <c r="F105" s="124"/>
      <c r="I105" s="124"/>
      <c r="K105" s="124"/>
      <c r="L105" s="124"/>
      <c r="M105" s="124"/>
      <c r="O105" s="124"/>
    </row>
    <row r="106" ht="15.75" customHeight="1">
      <c r="D106" s="124"/>
      <c r="E106" s="124"/>
      <c r="F106" s="124"/>
      <c r="I106" s="124"/>
      <c r="K106" s="124"/>
      <c r="L106" s="124"/>
      <c r="M106" s="124"/>
      <c r="O106" s="124"/>
    </row>
    <row r="107" ht="15.75" customHeight="1">
      <c r="D107" s="124"/>
      <c r="E107" s="124"/>
      <c r="F107" s="124"/>
      <c r="I107" s="124"/>
      <c r="K107" s="124"/>
      <c r="L107" s="124"/>
      <c r="M107" s="124"/>
      <c r="O107" s="124"/>
    </row>
    <row r="108" ht="15.75" customHeight="1">
      <c r="D108" s="124"/>
      <c r="E108" s="124"/>
      <c r="F108" s="124"/>
      <c r="I108" s="124"/>
      <c r="K108" s="124"/>
      <c r="L108" s="124"/>
      <c r="M108" s="124"/>
      <c r="O108" s="124"/>
    </row>
    <row r="109" ht="15.75" customHeight="1">
      <c r="D109" s="124"/>
      <c r="E109" s="124"/>
      <c r="F109" s="124"/>
      <c r="I109" s="124"/>
      <c r="K109" s="124"/>
      <c r="L109" s="124"/>
      <c r="M109" s="124"/>
      <c r="O109" s="124"/>
    </row>
    <row r="110" ht="15.75" customHeight="1">
      <c r="D110" s="124"/>
      <c r="E110" s="124"/>
      <c r="F110" s="124"/>
      <c r="I110" s="124"/>
      <c r="K110" s="124"/>
      <c r="L110" s="124"/>
      <c r="M110" s="124"/>
      <c r="O110" s="124"/>
    </row>
    <row r="111" ht="15.75" customHeight="1">
      <c r="D111" s="124"/>
      <c r="E111" s="124"/>
      <c r="F111" s="124"/>
      <c r="I111" s="124"/>
      <c r="K111" s="124"/>
      <c r="L111" s="124"/>
      <c r="M111" s="124"/>
      <c r="O111" s="124"/>
    </row>
    <row r="112" ht="15.75" customHeight="1">
      <c r="D112" s="124"/>
      <c r="E112" s="124"/>
      <c r="F112" s="124"/>
      <c r="I112" s="124"/>
      <c r="K112" s="124"/>
      <c r="L112" s="124"/>
      <c r="M112" s="124"/>
      <c r="O112" s="124"/>
    </row>
    <row r="113" ht="15.75" customHeight="1">
      <c r="D113" s="124"/>
      <c r="E113" s="124"/>
      <c r="F113" s="124"/>
      <c r="I113" s="124"/>
      <c r="K113" s="124"/>
      <c r="L113" s="124"/>
      <c r="M113" s="124"/>
      <c r="O113" s="124"/>
    </row>
    <row r="114" ht="15.75" customHeight="1">
      <c r="D114" s="124"/>
      <c r="E114" s="124"/>
      <c r="F114" s="124"/>
      <c r="I114" s="124"/>
      <c r="K114" s="124"/>
      <c r="L114" s="124"/>
      <c r="M114" s="124"/>
      <c r="O114" s="124"/>
    </row>
    <row r="115" ht="15.75" customHeight="1">
      <c r="D115" s="124"/>
      <c r="E115" s="124"/>
      <c r="F115" s="124"/>
      <c r="I115" s="124"/>
      <c r="K115" s="124"/>
      <c r="L115" s="124"/>
      <c r="M115" s="124"/>
      <c r="O115" s="124"/>
    </row>
    <row r="116" ht="15.75" customHeight="1">
      <c r="D116" s="124"/>
      <c r="E116" s="124"/>
      <c r="F116" s="124"/>
      <c r="I116" s="124"/>
      <c r="K116" s="124"/>
      <c r="L116" s="124"/>
      <c r="M116" s="124"/>
      <c r="O116" s="124"/>
    </row>
    <row r="117" ht="15.75" customHeight="1">
      <c r="D117" s="124"/>
      <c r="E117" s="124"/>
      <c r="F117" s="124"/>
      <c r="I117" s="124"/>
      <c r="K117" s="124"/>
      <c r="L117" s="124"/>
      <c r="M117" s="124"/>
      <c r="O117" s="124"/>
    </row>
    <row r="118" ht="15.75" customHeight="1">
      <c r="D118" s="124"/>
      <c r="E118" s="124"/>
      <c r="F118" s="124"/>
      <c r="I118" s="124"/>
      <c r="K118" s="124"/>
      <c r="L118" s="124"/>
      <c r="M118" s="124"/>
      <c r="O118" s="124"/>
    </row>
    <row r="119" ht="15.75" customHeight="1">
      <c r="D119" s="124"/>
      <c r="E119" s="124"/>
      <c r="F119" s="124"/>
      <c r="I119" s="124"/>
      <c r="K119" s="124"/>
      <c r="L119" s="124"/>
      <c r="M119" s="124"/>
      <c r="O119" s="124"/>
    </row>
    <row r="120" ht="15.75" customHeight="1">
      <c r="D120" s="124"/>
      <c r="E120" s="124"/>
      <c r="F120" s="124"/>
      <c r="I120" s="124"/>
      <c r="K120" s="124"/>
      <c r="L120" s="124"/>
      <c r="M120" s="124"/>
      <c r="O120" s="124"/>
    </row>
    <row r="121" ht="15.75" customHeight="1">
      <c r="D121" s="124"/>
      <c r="E121" s="124"/>
      <c r="F121" s="124"/>
      <c r="I121" s="124"/>
      <c r="K121" s="124"/>
      <c r="L121" s="124"/>
      <c r="M121" s="124"/>
      <c r="O121" s="124"/>
    </row>
    <row r="122" ht="15.75" customHeight="1">
      <c r="D122" s="124"/>
      <c r="E122" s="124"/>
      <c r="F122" s="124"/>
      <c r="I122" s="124"/>
      <c r="K122" s="124"/>
      <c r="L122" s="124"/>
      <c r="M122" s="124"/>
      <c r="O122" s="124"/>
    </row>
    <row r="123" ht="15.75" customHeight="1">
      <c r="D123" s="124"/>
      <c r="E123" s="124"/>
      <c r="F123" s="124"/>
      <c r="I123" s="124"/>
      <c r="K123" s="124"/>
      <c r="L123" s="124"/>
      <c r="M123" s="124"/>
      <c r="O123" s="124"/>
    </row>
    <row r="124" ht="15.75" customHeight="1">
      <c r="D124" s="124"/>
      <c r="E124" s="124"/>
      <c r="F124" s="124"/>
      <c r="I124" s="124"/>
      <c r="K124" s="124"/>
      <c r="L124" s="124"/>
      <c r="M124" s="124"/>
      <c r="O124" s="124"/>
    </row>
    <row r="125" ht="15.75" customHeight="1">
      <c r="D125" s="124"/>
      <c r="E125" s="124"/>
      <c r="F125" s="124"/>
      <c r="I125" s="124"/>
      <c r="K125" s="124"/>
      <c r="L125" s="124"/>
      <c r="M125" s="124"/>
      <c r="O125" s="124"/>
    </row>
    <row r="126" ht="15.75" customHeight="1">
      <c r="D126" s="124"/>
      <c r="E126" s="124"/>
      <c r="F126" s="124"/>
      <c r="I126" s="124"/>
      <c r="K126" s="124"/>
      <c r="L126" s="124"/>
      <c r="M126" s="124"/>
      <c r="O126" s="124"/>
    </row>
    <row r="127" ht="15.75" customHeight="1">
      <c r="D127" s="124"/>
      <c r="E127" s="124"/>
      <c r="F127" s="124"/>
      <c r="I127" s="124"/>
      <c r="K127" s="124"/>
      <c r="L127" s="124"/>
      <c r="M127" s="124"/>
      <c r="O127" s="124"/>
    </row>
    <row r="128" ht="15.75" customHeight="1">
      <c r="D128" s="124"/>
      <c r="E128" s="124"/>
      <c r="F128" s="124"/>
      <c r="I128" s="124"/>
      <c r="K128" s="124"/>
      <c r="L128" s="124"/>
      <c r="M128" s="124"/>
      <c r="O128" s="124"/>
    </row>
    <row r="129" ht="15.75" customHeight="1">
      <c r="D129" s="124"/>
      <c r="E129" s="124"/>
      <c r="F129" s="124"/>
      <c r="I129" s="124"/>
      <c r="K129" s="124"/>
      <c r="L129" s="124"/>
      <c r="M129" s="124"/>
      <c r="O129" s="124"/>
    </row>
    <row r="130" ht="15.75" customHeight="1">
      <c r="D130" s="124"/>
      <c r="E130" s="124"/>
      <c r="F130" s="124"/>
      <c r="I130" s="124"/>
      <c r="K130" s="124"/>
      <c r="L130" s="124"/>
      <c r="M130" s="124"/>
      <c r="O130" s="124"/>
    </row>
    <row r="131" ht="15.75" customHeight="1">
      <c r="D131" s="124"/>
      <c r="E131" s="124"/>
      <c r="F131" s="124"/>
      <c r="I131" s="124"/>
      <c r="K131" s="124"/>
      <c r="L131" s="124"/>
      <c r="M131" s="124"/>
      <c r="O131" s="124"/>
    </row>
    <row r="132" ht="15.75" customHeight="1">
      <c r="D132" s="124"/>
      <c r="E132" s="124"/>
      <c r="F132" s="124"/>
      <c r="I132" s="124"/>
      <c r="K132" s="124"/>
      <c r="L132" s="124"/>
      <c r="M132" s="124"/>
      <c r="O132" s="124"/>
    </row>
    <row r="133" ht="15.75" customHeight="1">
      <c r="D133" s="124"/>
      <c r="E133" s="124"/>
      <c r="F133" s="124"/>
      <c r="I133" s="124"/>
      <c r="K133" s="124"/>
      <c r="L133" s="124"/>
      <c r="M133" s="124"/>
      <c r="O133" s="124"/>
    </row>
    <row r="134" ht="15.75" customHeight="1">
      <c r="D134" s="124"/>
      <c r="E134" s="124"/>
      <c r="F134" s="124"/>
      <c r="I134" s="124"/>
      <c r="K134" s="124"/>
      <c r="L134" s="124"/>
      <c r="M134" s="124"/>
      <c r="O134" s="124"/>
    </row>
    <row r="135" ht="15.75" customHeight="1">
      <c r="D135" s="124"/>
      <c r="E135" s="124"/>
      <c r="F135" s="124"/>
      <c r="I135" s="124"/>
      <c r="K135" s="124"/>
      <c r="L135" s="124"/>
      <c r="M135" s="124"/>
      <c r="O135" s="124"/>
    </row>
    <row r="136" ht="15.75" customHeight="1">
      <c r="D136" s="124"/>
      <c r="E136" s="124"/>
      <c r="F136" s="124"/>
      <c r="I136" s="124"/>
      <c r="K136" s="124"/>
      <c r="L136" s="124"/>
      <c r="M136" s="124"/>
      <c r="O136" s="124"/>
    </row>
    <row r="137" ht="15.75" customHeight="1">
      <c r="D137" s="124"/>
      <c r="E137" s="124"/>
      <c r="F137" s="124"/>
      <c r="I137" s="124"/>
      <c r="K137" s="124"/>
      <c r="L137" s="124"/>
      <c r="M137" s="124"/>
      <c r="O137" s="124"/>
    </row>
    <row r="138" ht="15.75" customHeight="1">
      <c r="D138" s="124"/>
      <c r="E138" s="124"/>
      <c r="F138" s="124"/>
      <c r="I138" s="124"/>
      <c r="K138" s="124"/>
      <c r="L138" s="124"/>
      <c r="M138" s="124"/>
      <c r="O138" s="124"/>
    </row>
    <row r="139" ht="15.75" customHeight="1">
      <c r="D139" s="124"/>
      <c r="E139" s="124"/>
      <c r="F139" s="124"/>
      <c r="I139" s="124"/>
      <c r="K139" s="124"/>
      <c r="L139" s="124"/>
      <c r="M139" s="124"/>
      <c r="O139" s="124"/>
    </row>
    <row r="140" ht="15.75" customHeight="1">
      <c r="D140" s="124"/>
      <c r="E140" s="124"/>
      <c r="F140" s="124"/>
      <c r="I140" s="124"/>
      <c r="K140" s="124"/>
      <c r="L140" s="124"/>
      <c r="M140" s="124"/>
      <c r="O140" s="124"/>
    </row>
    <row r="141" ht="15.75" customHeight="1">
      <c r="D141" s="124"/>
      <c r="E141" s="124"/>
      <c r="F141" s="124"/>
      <c r="I141" s="124"/>
      <c r="K141" s="124"/>
      <c r="L141" s="124"/>
      <c r="M141" s="124"/>
      <c r="O141" s="124"/>
    </row>
    <row r="142" ht="15.75" customHeight="1">
      <c r="D142" s="124"/>
      <c r="E142" s="124"/>
      <c r="F142" s="124"/>
      <c r="I142" s="124"/>
      <c r="K142" s="124"/>
      <c r="L142" s="124"/>
      <c r="M142" s="124"/>
      <c r="O142" s="124"/>
    </row>
    <row r="143" ht="15.75" customHeight="1">
      <c r="D143" s="124"/>
      <c r="E143" s="124"/>
      <c r="F143" s="124"/>
      <c r="I143" s="124"/>
      <c r="K143" s="124"/>
      <c r="L143" s="124"/>
      <c r="M143" s="124"/>
      <c r="O143" s="124"/>
    </row>
    <row r="144" ht="15.75" customHeight="1">
      <c r="D144" s="124"/>
      <c r="E144" s="124"/>
      <c r="F144" s="124"/>
      <c r="I144" s="124"/>
      <c r="K144" s="124"/>
      <c r="L144" s="124"/>
      <c r="M144" s="124"/>
      <c r="O144" s="124"/>
    </row>
    <row r="145" ht="15.75" customHeight="1">
      <c r="D145" s="124"/>
      <c r="E145" s="124"/>
      <c r="F145" s="124"/>
      <c r="I145" s="124"/>
      <c r="K145" s="124"/>
      <c r="L145" s="124"/>
      <c r="M145" s="124"/>
      <c r="O145" s="124"/>
    </row>
    <row r="146" ht="15.75" customHeight="1">
      <c r="D146" s="124"/>
      <c r="E146" s="124"/>
      <c r="F146" s="124"/>
      <c r="I146" s="124"/>
      <c r="K146" s="124"/>
      <c r="L146" s="124"/>
      <c r="M146" s="124"/>
      <c r="O146" s="124"/>
    </row>
    <row r="147" ht="15.75" customHeight="1">
      <c r="D147" s="124"/>
      <c r="E147" s="124"/>
      <c r="F147" s="124"/>
      <c r="I147" s="124"/>
      <c r="K147" s="124"/>
      <c r="L147" s="124"/>
      <c r="M147" s="124"/>
      <c r="O147" s="124"/>
    </row>
    <row r="148" ht="15.75" customHeight="1">
      <c r="D148" s="124"/>
      <c r="E148" s="124"/>
      <c r="F148" s="124"/>
      <c r="I148" s="124"/>
      <c r="K148" s="124"/>
      <c r="L148" s="124"/>
      <c r="M148" s="124"/>
      <c r="O148" s="124"/>
    </row>
    <row r="149" ht="15.75" customHeight="1">
      <c r="D149" s="124"/>
      <c r="E149" s="124"/>
      <c r="F149" s="124"/>
      <c r="I149" s="124"/>
      <c r="K149" s="124"/>
      <c r="L149" s="124"/>
      <c r="M149" s="124"/>
      <c r="O149" s="124"/>
    </row>
    <row r="150" ht="15.75" customHeight="1">
      <c r="D150" s="124"/>
      <c r="E150" s="124"/>
      <c r="F150" s="124"/>
      <c r="I150" s="124"/>
      <c r="K150" s="124"/>
      <c r="L150" s="124"/>
      <c r="M150" s="124"/>
      <c r="O150" s="124"/>
    </row>
    <row r="151" ht="15.75" customHeight="1">
      <c r="D151" s="124"/>
      <c r="E151" s="124"/>
      <c r="F151" s="124"/>
      <c r="I151" s="124"/>
      <c r="K151" s="124"/>
      <c r="L151" s="124"/>
      <c r="M151" s="124"/>
      <c r="O151" s="124"/>
    </row>
    <row r="152" ht="15.75" customHeight="1">
      <c r="D152" s="124"/>
      <c r="E152" s="124"/>
      <c r="F152" s="124"/>
      <c r="I152" s="124"/>
      <c r="K152" s="124"/>
      <c r="L152" s="124"/>
      <c r="M152" s="124"/>
      <c r="O152" s="124"/>
    </row>
    <row r="153" ht="15.75" customHeight="1">
      <c r="D153" s="124"/>
      <c r="E153" s="124"/>
      <c r="F153" s="124"/>
      <c r="I153" s="124"/>
      <c r="K153" s="124"/>
      <c r="L153" s="124"/>
      <c r="M153" s="124"/>
      <c r="O153" s="124"/>
    </row>
    <row r="154" ht="15.75" customHeight="1">
      <c r="D154" s="124"/>
      <c r="E154" s="124"/>
      <c r="F154" s="124"/>
      <c r="I154" s="124"/>
      <c r="K154" s="124"/>
      <c r="L154" s="124"/>
      <c r="M154" s="124"/>
      <c r="O154" s="124"/>
    </row>
    <row r="155" ht="15.75" customHeight="1">
      <c r="D155" s="124"/>
      <c r="E155" s="124"/>
      <c r="F155" s="124"/>
      <c r="I155" s="124"/>
      <c r="K155" s="124"/>
      <c r="L155" s="124"/>
      <c r="M155" s="124"/>
      <c r="O155" s="124"/>
    </row>
    <row r="156" ht="15.75" customHeight="1">
      <c r="D156" s="124"/>
      <c r="E156" s="124"/>
      <c r="F156" s="124"/>
      <c r="I156" s="124"/>
      <c r="K156" s="124"/>
      <c r="L156" s="124"/>
      <c r="M156" s="124"/>
      <c r="O156" s="124"/>
    </row>
    <row r="157" ht="15.75" customHeight="1">
      <c r="D157" s="124"/>
      <c r="E157" s="124"/>
      <c r="F157" s="124"/>
      <c r="I157" s="124"/>
      <c r="K157" s="124"/>
      <c r="L157" s="124"/>
      <c r="M157" s="124"/>
      <c r="O157" s="124"/>
    </row>
    <row r="158" ht="15.75" customHeight="1">
      <c r="D158" s="124"/>
      <c r="E158" s="124"/>
      <c r="F158" s="124"/>
      <c r="I158" s="124"/>
      <c r="K158" s="124"/>
      <c r="L158" s="124"/>
      <c r="M158" s="124"/>
      <c r="O158" s="124"/>
    </row>
    <row r="159" ht="15.75" customHeight="1">
      <c r="D159" s="124"/>
      <c r="E159" s="124"/>
      <c r="F159" s="124"/>
      <c r="I159" s="124"/>
      <c r="K159" s="124"/>
      <c r="L159" s="124"/>
      <c r="M159" s="124"/>
      <c r="O159" s="124"/>
    </row>
    <row r="160" ht="15.75" customHeight="1">
      <c r="D160" s="124"/>
      <c r="E160" s="124"/>
      <c r="F160" s="124"/>
      <c r="I160" s="124"/>
      <c r="K160" s="124"/>
      <c r="L160" s="124"/>
      <c r="M160" s="124"/>
      <c r="O160" s="124"/>
    </row>
    <row r="161" ht="15.75" customHeight="1">
      <c r="D161" s="124"/>
      <c r="E161" s="124"/>
      <c r="F161" s="124"/>
      <c r="I161" s="124"/>
      <c r="K161" s="124"/>
      <c r="L161" s="124"/>
      <c r="M161" s="124"/>
      <c r="O161" s="124"/>
    </row>
    <row r="162" ht="15.75" customHeight="1">
      <c r="D162" s="124"/>
      <c r="E162" s="124"/>
      <c r="F162" s="124"/>
      <c r="I162" s="124"/>
      <c r="K162" s="124"/>
      <c r="L162" s="124"/>
      <c r="M162" s="124"/>
      <c r="O162" s="124"/>
    </row>
    <row r="163" ht="15.75" customHeight="1">
      <c r="D163" s="124"/>
      <c r="E163" s="124"/>
      <c r="F163" s="124"/>
      <c r="I163" s="124"/>
      <c r="K163" s="124"/>
      <c r="L163" s="124"/>
      <c r="M163" s="124"/>
      <c r="O163" s="124"/>
    </row>
    <row r="164" ht="15.75" customHeight="1">
      <c r="D164" s="124"/>
      <c r="E164" s="124"/>
      <c r="F164" s="124"/>
      <c r="I164" s="124"/>
      <c r="K164" s="124"/>
      <c r="L164" s="124"/>
      <c r="M164" s="124"/>
      <c r="O164" s="124"/>
    </row>
    <row r="165" ht="15.75" customHeight="1">
      <c r="D165" s="124"/>
      <c r="E165" s="124"/>
      <c r="F165" s="124"/>
      <c r="I165" s="124"/>
      <c r="K165" s="124"/>
      <c r="L165" s="124"/>
      <c r="M165" s="124"/>
      <c r="O165" s="124"/>
    </row>
    <row r="166" ht="15.75" customHeight="1">
      <c r="D166" s="124"/>
      <c r="E166" s="124"/>
      <c r="F166" s="124"/>
      <c r="I166" s="124"/>
      <c r="K166" s="124"/>
      <c r="L166" s="124"/>
      <c r="M166" s="124"/>
      <c r="O166" s="124"/>
    </row>
    <row r="167" ht="15.75" customHeight="1">
      <c r="D167" s="124"/>
      <c r="E167" s="124"/>
      <c r="F167" s="124"/>
      <c r="I167" s="124"/>
      <c r="K167" s="124"/>
      <c r="L167" s="124"/>
      <c r="M167" s="124"/>
      <c r="O167" s="124"/>
    </row>
    <row r="168" ht="15.75" customHeight="1">
      <c r="D168" s="124"/>
      <c r="E168" s="124"/>
      <c r="F168" s="124"/>
      <c r="I168" s="124"/>
      <c r="K168" s="124"/>
      <c r="L168" s="124"/>
      <c r="M168" s="124"/>
      <c r="O168" s="124"/>
    </row>
    <row r="169" ht="15.75" customHeight="1">
      <c r="D169" s="124"/>
      <c r="E169" s="124"/>
      <c r="F169" s="124"/>
      <c r="I169" s="124"/>
      <c r="K169" s="124"/>
      <c r="L169" s="124"/>
      <c r="M169" s="124"/>
      <c r="O169" s="124"/>
    </row>
    <row r="170" ht="15.75" customHeight="1">
      <c r="D170" s="124"/>
      <c r="E170" s="124"/>
      <c r="F170" s="124"/>
      <c r="I170" s="124"/>
      <c r="K170" s="124"/>
      <c r="L170" s="124"/>
      <c r="M170" s="124"/>
      <c r="O170" s="124"/>
    </row>
    <row r="171" ht="15.75" customHeight="1">
      <c r="D171" s="124"/>
      <c r="E171" s="124"/>
      <c r="F171" s="124"/>
      <c r="I171" s="124"/>
      <c r="K171" s="124"/>
      <c r="L171" s="124"/>
      <c r="M171" s="124"/>
      <c r="O171" s="124"/>
    </row>
    <row r="172" ht="15.75" customHeight="1">
      <c r="D172" s="124"/>
      <c r="E172" s="124"/>
      <c r="F172" s="124"/>
      <c r="I172" s="124"/>
      <c r="K172" s="124"/>
      <c r="L172" s="124"/>
      <c r="M172" s="124"/>
      <c r="O172" s="124"/>
    </row>
    <row r="173" ht="15.75" customHeight="1">
      <c r="D173" s="124"/>
      <c r="E173" s="124"/>
      <c r="F173" s="124"/>
      <c r="I173" s="124"/>
      <c r="K173" s="124"/>
      <c r="L173" s="124"/>
      <c r="M173" s="124"/>
      <c r="O173" s="124"/>
    </row>
    <row r="174" ht="15.75" customHeight="1">
      <c r="D174" s="124"/>
      <c r="E174" s="124"/>
      <c r="F174" s="124"/>
      <c r="I174" s="124"/>
      <c r="K174" s="124"/>
      <c r="L174" s="124"/>
      <c r="M174" s="124"/>
      <c r="O174" s="124"/>
    </row>
    <row r="175" ht="15.75" customHeight="1">
      <c r="D175" s="124"/>
      <c r="E175" s="124"/>
      <c r="F175" s="124"/>
      <c r="I175" s="124"/>
      <c r="K175" s="124"/>
      <c r="L175" s="124"/>
      <c r="M175" s="124"/>
      <c r="O175" s="124"/>
    </row>
    <row r="176" ht="15.75" customHeight="1">
      <c r="D176" s="124"/>
      <c r="E176" s="124"/>
      <c r="F176" s="124"/>
      <c r="I176" s="124"/>
      <c r="K176" s="124"/>
      <c r="L176" s="124"/>
      <c r="M176" s="124"/>
      <c r="O176" s="124"/>
    </row>
    <row r="177" ht="15.75" customHeight="1">
      <c r="D177" s="124"/>
      <c r="E177" s="124"/>
      <c r="F177" s="124"/>
      <c r="I177" s="124"/>
      <c r="K177" s="124"/>
      <c r="L177" s="124"/>
      <c r="M177" s="124"/>
      <c r="O177" s="124"/>
    </row>
    <row r="178" ht="15.75" customHeight="1">
      <c r="D178" s="124"/>
      <c r="E178" s="124"/>
      <c r="F178" s="124"/>
      <c r="I178" s="124"/>
      <c r="K178" s="124"/>
      <c r="L178" s="124"/>
      <c r="M178" s="124"/>
      <c r="O178" s="124"/>
    </row>
    <row r="179" ht="15.75" customHeight="1">
      <c r="D179" s="124"/>
      <c r="E179" s="124"/>
      <c r="F179" s="124"/>
      <c r="I179" s="124"/>
      <c r="K179" s="124"/>
      <c r="L179" s="124"/>
      <c r="M179" s="124"/>
      <c r="O179" s="124"/>
    </row>
    <row r="180" ht="15.75" customHeight="1">
      <c r="D180" s="124"/>
      <c r="E180" s="124"/>
      <c r="F180" s="124"/>
      <c r="I180" s="124"/>
      <c r="K180" s="124"/>
      <c r="L180" s="124"/>
      <c r="M180" s="124"/>
      <c r="O180" s="124"/>
    </row>
    <row r="181" ht="15.75" customHeight="1">
      <c r="D181" s="124"/>
      <c r="E181" s="124"/>
      <c r="F181" s="124"/>
      <c r="I181" s="124"/>
      <c r="K181" s="124"/>
      <c r="L181" s="124"/>
      <c r="M181" s="124"/>
      <c r="O181" s="124"/>
    </row>
    <row r="182" ht="15.75" customHeight="1">
      <c r="D182" s="124"/>
      <c r="E182" s="124"/>
      <c r="F182" s="124"/>
      <c r="I182" s="124"/>
      <c r="K182" s="124"/>
      <c r="L182" s="124"/>
      <c r="M182" s="124"/>
      <c r="O182" s="124"/>
    </row>
    <row r="183" ht="15.75" customHeight="1">
      <c r="D183" s="124"/>
      <c r="E183" s="124"/>
      <c r="F183" s="124"/>
      <c r="I183" s="124"/>
      <c r="K183" s="124"/>
      <c r="L183" s="124"/>
      <c r="M183" s="124"/>
      <c r="O183" s="124"/>
    </row>
    <row r="184" ht="15.75" customHeight="1">
      <c r="D184" s="124"/>
      <c r="E184" s="124"/>
      <c r="F184" s="124"/>
      <c r="I184" s="124"/>
      <c r="K184" s="124"/>
      <c r="L184" s="124"/>
      <c r="M184" s="124"/>
      <c r="O184" s="124"/>
    </row>
    <row r="185" ht="15.75" customHeight="1">
      <c r="D185" s="124"/>
      <c r="E185" s="124"/>
      <c r="F185" s="124"/>
      <c r="I185" s="124"/>
      <c r="K185" s="124"/>
      <c r="L185" s="124"/>
      <c r="M185" s="124"/>
      <c r="O185" s="124"/>
    </row>
    <row r="186" ht="15.75" customHeight="1">
      <c r="D186" s="124"/>
      <c r="E186" s="124"/>
      <c r="F186" s="124"/>
      <c r="I186" s="124"/>
      <c r="K186" s="124"/>
      <c r="L186" s="124"/>
      <c r="M186" s="124"/>
      <c r="O186" s="124"/>
    </row>
    <row r="187" ht="15.75" customHeight="1">
      <c r="D187" s="124"/>
      <c r="E187" s="124"/>
      <c r="F187" s="124"/>
      <c r="I187" s="124"/>
      <c r="K187" s="124"/>
      <c r="L187" s="124"/>
      <c r="M187" s="124"/>
      <c r="O187" s="124"/>
    </row>
    <row r="188" ht="15.75" customHeight="1">
      <c r="D188" s="124"/>
      <c r="E188" s="124"/>
      <c r="F188" s="124"/>
      <c r="I188" s="124"/>
      <c r="K188" s="124"/>
      <c r="L188" s="124"/>
      <c r="M188" s="124"/>
      <c r="O188" s="124"/>
    </row>
    <row r="189" ht="15.75" customHeight="1">
      <c r="D189" s="124"/>
      <c r="E189" s="124"/>
      <c r="F189" s="124"/>
      <c r="I189" s="124"/>
      <c r="K189" s="124"/>
      <c r="L189" s="124"/>
      <c r="M189" s="124"/>
      <c r="O189" s="124"/>
    </row>
    <row r="190" ht="15.75" customHeight="1">
      <c r="D190" s="124"/>
      <c r="E190" s="124"/>
      <c r="F190" s="124"/>
      <c r="I190" s="124"/>
      <c r="K190" s="124"/>
      <c r="L190" s="124"/>
      <c r="M190" s="124"/>
      <c r="O190" s="124"/>
    </row>
    <row r="191" ht="15.75" customHeight="1">
      <c r="D191" s="124"/>
      <c r="E191" s="124"/>
      <c r="F191" s="124"/>
      <c r="I191" s="124"/>
      <c r="K191" s="124"/>
      <c r="L191" s="124"/>
      <c r="M191" s="124"/>
      <c r="O191" s="124"/>
    </row>
    <row r="192" ht="15.75" customHeight="1">
      <c r="D192" s="124"/>
      <c r="E192" s="124"/>
      <c r="F192" s="124"/>
      <c r="I192" s="124"/>
      <c r="K192" s="124"/>
      <c r="L192" s="124"/>
      <c r="M192" s="124"/>
      <c r="O192" s="124"/>
    </row>
    <row r="193" ht="15.75" customHeight="1">
      <c r="D193" s="124"/>
      <c r="E193" s="124"/>
      <c r="F193" s="124"/>
      <c r="I193" s="124"/>
      <c r="K193" s="124"/>
      <c r="L193" s="124"/>
      <c r="M193" s="124"/>
      <c r="O193" s="124"/>
    </row>
    <row r="194" ht="15.75" customHeight="1">
      <c r="D194" s="124"/>
      <c r="E194" s="124"/>
      <c r="F194" s="124"/>
      <c r="I194" s="124"/>
      <c r="K194" s="124"/>
      <c r="L194" s="124"/>
      <c r="M194" s="124"/>
      <c r="O194" s="124"/>
    </row>
    <row r="195" ht="15.75" customHeight="1">
      <c r="D195" s="124"/>
      <c r="E195" s="124"/>
      <c r="F195" s="124"/>
      <c r="I195" s="124"/>
      <c r="K195" s="124"/>
      <c r="L195" s="124"/>
      <c r="M195" s="124"/>
      <c r="O195" s="124"/>
    </row>
    <row r="196" ht="15.75" customHeight="1">
      <c r="D196" s="124"/>
      <c r="E196" s="124"/>
      <c r="F196" s="124"/>
      <c r="I196" s="124"/>
      <c r="K196" s="124"/>
      <c r="L196" s="124"/>
      <c r="M196" s="124"/>
      <c r="O196" s="124"/>
    </row>
    <row r="197" ht="15.75" customHeight="1">
      <c r="D197" s="124"/>
      <c r="E197" s="124"/>
      <c r="F197" s="124"/>
      <c r="I197" s="124"/>
      <c r="K197" s="124"/>
      <c r="L197" s="124"/>
      <c r="M197" s="124"/>
      <c r="O197" s="124"/>
    </row>
    <row r="198" ht="15.75" customHeight="1">
      <c r="D198" s="124"/>
      <c r="E198" s="124"/>
      <c r="F198" s="124"/>
      <c r="I198" s="124"/>
      <c r="K198" s="124"/>
      <c r="L198" s="124"/>
      <c r="M198" s="124"/>
      <c r="O198" s="124"/>
    </row>
    <row r="199" ht="15.75" customHeight="1">
      <c r="D199" s="124"/>
      <c r="E199" s="124"/>
      <c r="F199" s="124"/>
      <c r="I199" s="124"/>
      <c r="K199" s="124"/>
      <c r="L199" s="124"/>
      <c r="M199" s="124"/>
      <c r="O199" s="124"/>
    </row>
    <row r="200" ht="15.75" customHeight="1">
      <c r="D200" s="124"/>
      <c r="E200" s="124"/>
      <c r="F200" s="124"/>
      <c r="I200" s="124"/>
      <c r="K200" s="124"/>
      <c r="L200" s="124"/>
      <c r="M200" s="124"/>
      <c r="O200" s="124"/>
    </row>
    <row r="201" ht="15.75" customHeight="1">
      <c r="D201" s="124"/>
      <c r="E201" s="124"/>
      <c r="F201" s="124"/>
      <c r="I201" s="124"/>
      <c r="K201" s="124"/>
      <c r="L201" s="124"/>
      <c r="M201" s="124"/>
      <c r="O201" s="124"/>
    </row>
    <row r="202" ht="15.75" customHeight="1">
      <c r="D202" s="124"/>
      <c r="E202" s="124"/>
      <c r="F202" s="124"/>
      <c r="I202" s="124"/>
      <c r="K202" s="124"/>
      <c r="L202" s="124"/>
      <c r="M202" s="124"/>
      <c r="O202" s="124"/>
    </row>
    <row r="203" ht="15.75" customHeight="1">
      <c r="D203" s="124"/>
      <c r="E203" s="124"/>
      <c r="F203" s="124"/>
      <c r="I203" s="124"/>
      <c r="K203" s="124"/>
      <c r="L203" s="124"/>
      <c r="M203" s="124"/>
      <c r="O203" s="124"/>
    </row>
    <row r="204" ht="15.75" customHeight="1">
      <c r="D204" s="124"/>
      <c r="E204" s="124"/>
      <c r="F204" s="124"/>
      <c r="I204" s="124"/>
      <c r="K204" s="124"/>
      <c r="L204" s="124"/>
      <c r="M204" s="124"/>
      <c r="O204" s="124"/>
    </row>
    <row r="205" ht="15.75" customHeight="1">
      <c r="D205" s="124"/>
      <c r="E205" s="124"/>
      <c r="F205" s="124"/>
      <c r="I205" s="124"/>
      <c r="K205" s="124"/>
      <c r="L205" s="124"/>
      <c r="M205" s="124"/>
      <c r="O205" s="124"/>
    </row>
    <row r="206" ht="15.75" customHeight="1">
      <c r="D206" s="124"/>
      <c r="E206" s="124"/>
      <c r="F206" s="124"/>
      <c r="I206" s="124"/>
      <c r="K206" s="124"/>
      <c r="L206" s="124"/>
      <c r="M206" s="124"/>
      <c r="O206" s="124"/>
    </row>
    <row r="207" ht="15.75" customHeight="1">
      <c r="D207" s="124"/>
      <c r="E207" s="124"/>
      <c r="F207" s="124"/>
      <c r="I207" s="124"/>
      <c r="K207" s="124"/>
      <c r="L207" s="124"/>
      <c r="M207" s="124"/>
      <c r="O207" s="124"/>
    </row>
    <row r="208" ht="15.75" customHeight="1">
      <c r="D208" s="124"/>
      <c r="E208" s="124"/>
      <c r="F208" s="124"/>
      <c r="I208" s="124"/>
      <c r="K208" s="124"/>
      <c r="L208" s="124"/>
      <c r="M208" s="124"/>
      <c r="O208" s="124"/>
    </row>
    <row r="209" ht="15.75" customHeight="1">
      <c r="D209" s="124"/>
      <c r="E209" s="124"/>
      <c r="F209" s="124"/>
      <c r="I209" s="124"/>
      <c r="K209" s="124"/>
      <c r="L209" s="124"/>
      <c r="M209" s="124"/>
      <c r="O209" s="124"/>
    </row>
    <row r="210" ht="15.75" customHeight="1">
      <c r="D210" s="124"/>
      <c r="E210" s="124"/>
      <c r="F210" s="124"/>
      <c r="I210" s="124"/>
      <c r="K210" s="124"/>
      <c r="L210" s="124"/>
      <c r="M210" s="124"/>
      <c r="O210" s="124"/>
    </row>
    <row r="211" ht="15.75" customHeight="1">
      <c r="D211" s="124"/>
      <c r="E211" s="124"/>
      <c r="F211" s="124"/>
      <c r="I211" s="124"/>
      <c r="K211" s="124"/>
      <c r="L211" s="124"/>
      <c r="M211" s="124"/>
      <c r="O211" s="124"/>
    </row>
    <row r="212" ht="15.75" customHeight="1">
      <c r="D212" s="124"/>
      <c r="E212" s="124"/>
      <c r="F212" s="124"/>
      <c r="I212" s="124"/>
      <c r="K212" s="124"/>
      <c r="L212" s="124"/>
      <c r="M212" s="124"/>
      <c r="O212" s="124"/>
    </row>
    <row r="213" ht="15.75" customHeight="1">
      <c r="D213" s="124"/>
      <c r="E213" s="124"/>
      <c r="F213" s="124"/>
      <c r="I213" s="124"/>
      <c r="K213" s="124"/>
      <c r="L213" s="124"/>
      <c r="M213" s="124"/>
      <c r="O213" s="124"/>
    </row>
    <row r="214" ht="15.75" customHeight="1">
      <c r="D214" s="124"/>
      <c r="E214" s="124"/>
      <c r="F214" s="124"/>
      <c r="I214" s="124"/>
      <c r="K214" s="124"/>
      <c r="L214" s="124"/>
      <c r="M214" s="124"/>
      <c r="O214" s="124"/>
    </row>
    <row r="215" ht="15.75" customHeight="1">
      <c r="D215" s="124"/>
      <c r="E215" s="124"/>
      <c r="F215" s="124"/>
      <c r="I215" s="124"/>
      <c r="K215" s="124"/>
      <c r="L215" s="124"/>
      <c r="M215" s="124"/>
      <c r="O215" s="124"/>
    </row>
    <row r="216" ht="15.75" customHeight="1">
      <c r="D216" s="124"/>
      <c r="E216" s="124"/>
      <c r="F216" s="124"/>
      <c r="I216" s="124"/>
      <c r="K216" s="124"/>
      <c r="L216" s="124"/>
      <c r="M216" s="124"/>
      <c r="O216" s="124"/>
    </row>
    <row r="217" ht="15.75" customHeight="1">
      <c r="D217" s="124"/>
      <c r="E217" s="124"/>
      <c r="F217" s="124"/>
      <c r="I217" s="124"/>
      <c r="K217" s="124"/>
      <c r="L217" s="124"/>
      <c r="M217" s="124"/>
      <c r="O217" s="124"/>
    </row>
    <row r="218" ht="15.75" customHeight="1">
      <c r="D218" s="124"/>
      <c r="E218" s="124"/>
      <c r="F218" s="124"/>
      <c r="I218" s="124"/>
      <c r="K218" s="124"/>
      <c r="L218" s="124"/>
      <c r="M218" s="124"/>
      <c r="O218" s="124"/>
    </row>
    <row r="219" ht="15.75" customHeight="1">
      <c r="D219" s="124"/>
      <c r="E219" s="124"/>
      <c r="F219" s="124"/>
      <c r="I219" s="124"/>
      <c r="K219" s="124"/>
      <c r="L219" s="124"/>
      <c r="M219" s="124"/>
      <c r="O219" s="124"/>
    </row>
    <row r="220" ht="15.75" customHeight="1">
      <c r="D220" s="124"/>
      <c r="E220" s="124"/>
      <c r="F220" s="124"/>
      <c r="I220" s="124"/>
      <c r="K220" s="124"/>
      <c r="L220" s="124"/>
      <c r="M220" s="124"/>
      <c r="O220" s="124"/>
    </row>
    <row r="221" ht="15.75" customHeight="1">
      <c r="D221" s="124"/>
      <c r="E221" s="124"/>
      <c r="F221" s="124"/>
      <c r="I221" s="124"/>
      <c r="K221" s="124"/>
      <c r="L221" s="124"/>
      <c r="M221" s="124"/>
      <c r="O221" s="124"/>
    </row>
    <row r="222" ht="15.75" customHeight="1">
      <c r="D222" s="124"/>
      <c r="E222" s="124"/>
      <c r="F222" s="124"/>
      <c r="I222" s="124"/>
      <c r="K222" s="124"/>
      <c r="L222" s="124"/>
      <c r="M222" s="124"/>
      <c r="O222" s="124"/>
    </row>
    <row r="223" ht="15.75" customHeight="1">
      <c r="D223" s="124"/>
      <c r="E223" s="124"/>
      <c r="F223" s="124"/>
      <c r="I223" s="124"/>
      <c r="K223" s="124"/>
      <c r="L223" s="124"/>
      <c r="M223" s="124"/>
      <c r="O223" s="124"/>
    </row>
    <row r="224" ht="15.75" customHeight="1">
      <c r="D224" s="124"/>
      <c r="E224" s="124"/>
      <c r="F224" s="124"/>
      <c r="I224" s="124"/>
      <c r="K224" s="124"/>
      <c r="L224" s="124"/>
      <c r="M224" s="124"/>
      <c r="O224" s="124"/>
    </row>
    <row r="225" ht="15.75" customHeight="1">
      <c r="D225" s="124"/>
      <c r="E225" s="124"/>
      <c r="F225" s="124"/>
      <c r="I225" s="124"/>
      <c r="K225" s="124"/>
      <c r="L225" s="124"/>
      <c r="M225" s="124"/>
      <c r="O225" s="124"/>
    </row>
    <row r="226" ht="15.75" customHeight="1">
      <c r="D226" s="124"/>
      <c r="E226" s="124"/>
      <c r="F226" s="124"/>
      <c r="I226" s="124"/>
      <c r="K226" s="124"/>
      <c r="L226" s="124"/>
      <c r="M226" s="124"/>
      <c r="O226" s="124"/>
    </row>
    <row r="227" ht="15.75" customHeight="1">
      <c r="D227" s="124"/>
      <c r="E227" s="124"/>
      <c r="F227" s="124"/>
      <c r="I227" s="124"/>
      <c r="K227" s="124"/>
      <c r="L227" s="124"/>
      <c r="M227" s="124"/>
      <c r="O227" s="124"/>
    </row>
    <row r="228" ht="15.75" customHeight="1">
      <c r="D228" s="124"/>
      <c r="E228" s="124"/>
      <c r="F228" s="124"/>
      <c r="I228" s="124"/>
      <c r="K228" s="124"/>
      <c r="L228" s="124"/>
      <c r="M228" s="124"/>
      <c r="O228" s="124"/>
    </row>
    <row r="229" ht="15.75" customHeight="1">
      <c r="D229" s="124"/>
      <c r="E229" s="124"/>
      <c r="F229" s="124"/>
      <c r="I229" s="124"/>
      <c r="K229" s="124"/>
      <c r="L229" s="124"/>
      <c r="M229" s="124"/>
      <c r="O229" s="124"/>
    </row>
    <row r="230" ht="15.75" customHeight="1">
      <c r="D230" s="124"/>
      <c r="E230" s="124"/>
      <c r="F230" s="124"/>
      <c r="I230" s="124"/>
      <c r="K230" s="124"/>
      <c r="L230" s="124"/>
      <c r="M230" s="124"/>
      <c r="O230" s="124"/>
    </row>
    <row r="231" ht="15.75" customHeight="1">
      <c r="D231" s="124"/>
      <c r="E231" s="124"/>
      <c r="F231" s="124"/>
      <c r="I231" s="124"/>
      <c r="K231" s="124"/>
      <c r="L231" s="124"/>
      <c r="M231" s="124"/>
      <c r="O231" s="124"/>
    </row>
    <row r="232" ht="15.75" customHeight="1">
      <c r="D232" s="124"/>
      <c r="E232" s="124"/>
      <c r="F232" s="124"/>
      <c r="I232" s="124"/>
      <c r="K232" s="124"/>
      <c r="L232" s="124"/>
      <c r="M232" s="124"/>
      <c r="O232" s="124"/>
    </row>
    <row r="233" ht="15.75" customHeight="1">
      <c r="D233" s="124"/>
      <c r="E233" s="124"/>
      <c r="F233" s="124"/>
      <c r="I233" s="124"/>
      <c r="K233" s="124"/>
      <c r="L233" s="124"/>
      <c r="M233" s="124"/>
      <c r="O233" s="124"/>
    </row>
    <row r="234" ht="15.75" customHeight="1">
      <c r="D234" s="124"/>
      <c r="E234" s="124"/>
      <c r="F234" s="124"/>
      <c r="I234" s="124"/>
      <c r="K234" s="124"/>
      <c r="L234" s="124"/>
      <c r="M234" s="124"/>
      <c r="O234" s="124"/>
    </row>
    <row r="235" ht="15.75" customHeight="1">
      <c r="D235" s="124"/>
      <c r="E235" s="124"/>
      <c r="F235" s="124"/>
      <c r="I235" s="124"/>
      <c r="K235" s="124"/>
      <c r="L235" s="124"/>
      <c r="M235" s="124"/>
      <c r="O235" s="124"/>
    </row>
    <row r="236" ht="15.75" customHeight="1">
      <c r="D236" s="124"/>
      <c r="E236" s="124"/>
      <c r="F236" s="124"/>
      <c r="I236" s="124"/>
      <c r="K236" s="124"/>
      <c r="L236" s="124"/>
      <c r="M236" s="124"/>
      <c r="O236" s="124"/>
    </row>
    <row r="237" ht="15.75" customHeight="1">
      <c r="D237" s="124"/>
      <c r="E237" s="124"/>
      <c r="F237" s="124"/>
      <c r="I237" s="124"/>
      <c r="K237" s="124"/>
      <c r="L237" s="124"/>
      <c r="M237" s="124"/>
      <c r="O237" s="124"/>
    </row>
    <row r="238" ht="15.75" customHeight="1">
      <c r="D238" s="124"/>
      <c r="E238" s="124"/>
      <c r="F238" s="124"/>
      <c r="I238" s="124"/>
      <c r="K238" s="124"/>
      <c r="L238" s="124"/>
      <c r="M238" s="124"/>
      <c r="O238" s="124"/>
    </row>
    <row r="239" ht="15.75" customHeight="1">
      <c r="D239" s="124"/>
      <c r="E239" s="124"/>
      <c r="F239" s="124"/>
      <c r="I239" s="124"/>
      <c r="K239" s="124"/>
      <c r="L239" s="124"/>
      <c r="M239" s="124"/>
      <c r="O239" s="124"/>
    </row>
    <row r="240" ht="15.75" customHeight="1">
      <c r="D240" s="124"/>
      <c r="E240" s="124"/>
      <c r="F240" s="124"/>
      <c r="I240" s="124"/>
      <c r="K240" s="124"/>
      <c r="L240" s="124"/>
      <c r="M240" s="124"/>
      <c r="O240" s="124"/>
    </row>
    <row r="241" ht="15.75" customHeight="1">
      <c r="D241" s="124"/>
      <c r="E241" s="124"/>
      <c r="F241" s="124"/>
      <c r="I241" s="124"/>
      <c r="K241" s="124"/>
      <c r="L241" s="124"/>
      <c r="M241" s="124"/>
      <c r="O241" s="124"/>
    </row>
    <row r="242" ht="15.75" customHeight="1">
      <c r="D242" s="124"/>
      <c r="E242" s="124"/>
      <c r="F242" s="124"/>
      <c r="I242" s="124"/>
      <c r="K242" s="124"/>
      <c r="L242" s="124"/>
      <c r="M242" s="124"/>
      <c r="O242" s="124"/>
    </row>
    <row r="243" ht="15.75" customHeight="1">
      <c r="D243" s="124"/>
      <c r="E243" s="124"/>
      <c r="F243" s="124"/>
      <c r="I243" s="124"/>
      <c r="K243" s="124"/>
      <c r="L243" s="124"/>
      <c r="M243" s="124"/>
      <c r="O243" s="124"/>
    </row>
    <row r="244" ht="15.75" customHeight="1">
      <c r="D244" s="124"/>
      <c r="E244" s="124"/>
      <c r="F244" s="124"/>
      <c r="I244" s="124"/>
      <c r="K244" s="124"/>
      <c r="L244" s="124"/>
      <c r="M244" s="124"/>
      <c r="O244" s="124"/>
    </row>
    <row r="245" ht="15.75" customHeight="1">
      <c r="D245" s="124"/>
      <c r="E245" s="124"/>
      <c r="F245" s="124"/>
      <c r="I245" s="124"/>
      <c r="K245" s="124"/>
      <c r="L245" s="124"/>
      <c r="M245" s="124"/>
      <c r="O245" s="124"/>
    </row>
    <row r="246" ht="15.75" customHeight="1">
      <c r="D246" s="124"/>
      <c r="E246" s="124"/>
      <c r="F246" s="124"/>
      <c r="I246" s="124"/>
      <c r="K246" s="124"/>
      <c r="L246" s="124"/>
      <c r="M246" s="124"/>
      <c r="O246" s="124"/>
    </row>
    <row r="247" ht="15.75" customHeight="1">
      <c r="D247" s="124"/>
      <c r="E247" s="124"/>
      <c r="F247" s="124"/>
      <c r="I247" s="124"/>
      <c r="K247" s="124"/>
      <c r="L247" s="124"/>
      <c r="M247" s="124"/>
      <c r="O247" s="124"/>
    </row>
    <row r="248" ht="15.75" customHeight="1">
      <c r="D248" s="124"/>
      <c r="E248" s="124"/>
      <c r="F248" s="124"/>
      <c r="I248" s="124"/>
      <c r="K248" s="124"/>
      <c r="L248" s="124"/>
      <c r="M248" s="124"/>
      <c r="O248" s="124"/>
    </row>
    <row r="249" ht="15.75" customHeight="1">
      <c r="D249" s="124"/>
      <c r="E249" s="124"/>
      <c r="F249" s="124"/>
      <c r="I249" s="124"/>
      <c r="K249" s="124"/>
      <c r="L249" s="124"/>
      <c r="M249" s="124"/>
      <c r="O249" s="124"/>
    </row>
    <row r="250" ht="15.75" customHeight="1">
      <c r="D250" s="124"/>
      <c r="E250" s="124"/>
      <c r="F250" s="124"/>
      <c r="I250" s="124"/>
      <c r="K250" s="124"/>
      <c r="L250" s="124"/>
      <c r="M250" s="124"/>
      <c r="O250" s="124"/>
    </row>
    <row r="251" ht="15.75" customHeight="1">
      <c r="D251" s="124"/>
      <c r="E251" s="124"/>
      <c r="F251" s="124"/>
      <c r="I251" s="124"/>
      <c r="K251" s="124"/>
      <c r="L251" s="124"/>
      <c r="M251" s="124"/>
      <c r="O251" s="124"/>
    </row>
    <row r="252" ht="15.75" customHeight="1">
      <c r="D252" s="124"/>
      <c r="E252" s="124"/>
      <c r="F252" s="124"/>
      <c r="I252" s="124"/>
      <c r="K252" s="124"/>
      <c r="L252" s="124"/>
      <c r="M252" s="124"/>
      <c r="O252" s="124"/>
    </row>
    <row r="253" ht="15.75" customHeight="1">
      <c r="D253" s="124"/>
      <c r="E253" s="124"/>
      <c r="F253" s="124"/>
      <c r="I253" s="124"/>
      <c r="K253" s="124"/>
      <c r="L253" s="124"/>
      <c r="M253" s="124"/>
      <c r="O253" s="124"/>
    </row>
    <row r="254" ht="15.75" customHeight="1">
      <c r="D254" s="124"/>
      <c r="E254" s="124"/>
      <c r="F254" s="124"/>
      <c r="I254" s="124"/>
      <c r="K254" s="124"/>
      <c r="L254" s="124"/>
      <c r="M254" s="124"/>
      <c r="O254" s="124"/>
    </row>
    <row r="255" ht="15.75" customHeight="1">
      <c r="D255" s="124"/>
      <c r="E255" s="124"/>
      <c r="F255" s="124"/>
      <c r="I255" s="124"/>
      <c r="K255" s="124"/>
      <c r="L255" s="124"/>
      <c r="M255" s="124"/>
      <c r="O255" s="124"/>
    </row>
    <row r="256" ht="15.75" customHeight="1">
      <c r="D256" s="124"/>
      <c r="E256" s="124"/>
      <c r="F256" s="124"/>
      <c r="I256" s="124"/>
      <c r="K256" s="124"/>
      <c r="L256" s="124"/>
      <c r="M256" s="124"/>
      <c r="O256" s="124"/>
    </row>
    <row r="257" ht="15.75" customHeight="1">
      <c r="D257" s="124"/>
      <c r="E257" s="124"/>
      <c r="F257" s="124"/>
      <c r="I257" s="124"/>
      <c r="K257" s="124"/>
      <c r="L257" s="124"/>
      <c r="M257" s="124"/>
      <c r="O257" s="124"/>
    </row>
    <row r="258" ht="15.75" customHeight="1">
      <c r="D258" s="124"/>
      <c r="E258" s="124"/>
      <c r="F258" s="124"/>
      <c r="I258" s="124"/>
      <c r="K258" s="124"/>
      <c r="L258" s="124"/>
      <c r="M258" s="124"/>
      <c r="O258" s="124"/>
    </row>
    <row r="259" ht="15.75" customHeight="1">
      <c r="D259" s="124"/>
      <c r="E259" s="124"/>
      <c r="F259" s="124"/>
      <c r="I259" s="124"/>
      <c r="K259" s="124"/>
      <c r="L259" s="124"/>
      <c r="M259" s="124"/>
      <c r="O259" s="124"/>
    </row>
    <row r="260" ht="15.75" customHeight="1">
      <c r="D260" s="124"/>
      <c r="E260" s="124"/>
      <c r="F260" s="124"/>
      <c r="I260" s="124"/>
      <c r="K260" s="124"/>
      <c r="L260" s="124"/>
      <c r="M260" s="124"/>
      <c r="O260" s="124"/>
    </row>
    <row r="261" ht="15.75" customHeight="1">
      <c r="D261" s="124"/>
      <c r="E261" s="124"/>
      <c r="F261" s="124"/>
      <c r="I261" s="124"/>
      <c r="K261" s="124"/>
      <c r="L261" s="124"/>
      <c r="M261" s="124"/>
      <c r="O261" s="124"/>
    </row>
    <row r="262" ht="15.75" customHeight="1">
      <c r="D262" s="124"/>
      <c r="E262" s="124"/>
      <c r="F262" s="124"/>
      <c r="I262" s="124"/>
      <c r="K262" s="124"/>
      <c r="L262" s="124"/>
      <c r="M262" s="124"/>
      <c r="O262" s="124"/>
    </row>
    <row r="263" ht="15.75" customHeight="1">
      <c r="D263" s="124"/>
      <c r="E263" s="124"/>
      <c r="F263" s="124"/>
      <c r="I263" s="124"/>
      <c r="K263" s="124"/>
      <c r="L263" s="124"/>
      <c r="M263" s="124"/>
      <c r="O263" s="124"/>
    </row>
    <row r="264" ht="15.75" customHeight="1">
      <c r="D264" s="124"/>
      <c r="E264" s="124"/>
      <c r="F264" s="124"/>
      <c r="I264" s="124"/>
      <c r="K264" s="124"/>
      <c r="L264" s="124"/>
      <c r="M264" s="124"/>
      <c r="O264" s="124"/>
    </row>
    <row r="265" ht="15.75" customHeight="1">
      <c r="D265" s="124"/>
      <c r="E265" s="124"/>
      <c r="F265" s="124"/>
      <c r="I265" s="124"/>
      <c r="K265" s="124"/>
      <c r="L265" s="124"/>
      <c r="M265" s="124"/>
      <c r="O265" s="124"/>
    </row>
    <row r="266" ht="15.75" customHeight="1">
      <c r="D266" s="124"/>
      <c r="E266" s="124"/>
      <c r="F266" s="124"/>
      <c r="I266" s="124"/>
      <c r="K266" s="124"/>
      <c r="L266" s="124"/>
      <c r="M266" s="124"/>
      <c r="O266" s="124"/>
    </row>
    <row r="267" ht="15.75" customHeight="1">
      <c r="D267" s="124"/>
      <c r="E267" s="124"/>
      <c r="F267" s="124"/>
      <c r="I267" s="124"/>
      <c r="K267" s="124"/>
      <c r="L267" s="124"/>
      <c r="M267" s="124"/>
      <c r="O267" s="124"/>
    </row>
    <row r="268" ht="15.75" customHeight="1">
      <c r="D268" s="124"/>
      <c r="E268" s="124"/>
      <c r="F268" s="124"/>
      <c r="I268" s="124"/>
      <c r="K268" s="124"/>
      <c r="L268" s="124"/>
      <c r="M268" s="124"/>
      <c r="O268" s="124"/>
    </row>
    <row r="269" ht="15.75" customHeight="1">
      <c r="D269" s="124"/>
      <c r="E269" s="124"/>
      <c r="F269" s="124"/>
      <c r="I269" s="124"/>
      <c r="K269" s="124"/>
      <c r="L269" s="124"/>
      <c r="M269" s="124"/>
      <c r="O269" s="124"/>
    </row>
    <row r="270" ht="15.75" customHeight="1">
      <c r="D270" s="124"/>
      <c r="E270" s="124"/>
      <c r="F270" s="124"/>
      <c r="I270" s="124"/>
      <c r="K270" s="124"/>
      <c r="L270" s="124"/>
      <c r="M270" s="124"/>
      <c r="O270" s="124"/>
    </row>
    <row r="271" ht="15.75" customHeight="1">
      <c r="D271" s="124"/>
      <c r="E271" s="124"/>
      <c r="F271" s="124"/>
      <c r="I271" s="124"/>
      <c r="K271" s="124"/>
      <c r="L271" s="124"/>
      <c r="M271" s="124"/>
      <c r="O271" s="124"/>
    </row>
    <row r="272" ht="15.75" customHeight="1">
      <c r="D272" s="124"/>
      <c r="E272" s="124"/>
      <c r="F272" s="124"/>
      <c r="I272" s="124"/>
      <c r="K272" s="124"/>
      <c r="L272" s="124"/>
      <c r="M272" s="124"/>
      <c r="O272" s="124"/>
    </row>
    <row r="273" ht="15.75" customHeight="1">
      <c r="D273" s="124"/>
      <c r="E273" s="124"/>
      <c r="F273" s="124"/>
      <c r="I273" s="124"/>
      <c r="K273" s="124"/>
      <c r="L273" s="124"/>
      <c r="M273" s="124"/>
      <c r="O273" s="124"/>
    </row>
    <row r="274" ht="15.75" customHeight="1">
      <c r="D274" s="124"/>
      <c r="E274" s="124"/>
      <c r="F274" s="124"/>
      <c r="I274" s="124"/>
      <c r="K274" s="124"/>
      <c r="L274" s="124"/>
      <c r="M274" s="124"/>
      <c r="O274" s="124"/>
    </row>
    <row r="275" ht="15.75" customHeight="1">
      <c r="D275" s="124"/>
      <c r="E275" s="124"/>
      <c r="F275" s="124"/>
      <c r="I275" s="124"/>
      <c r="K275" s="124"/>
      <c r="L275" s="124"/>
      <c r="M275" s="124"/>
      <c r="O275" s="124"/>
    </row>
    <row r="276" ht="15.75" customHeight="1">
      <c r="D276" s="124"/>
      <c r="E276" s="124"/>
      <c r="F276" s="124"/>
      <c r="I276" s="124"/>
      <c r="K276" s="124"/>
      <c r="L276" s="124"/>
      <c r="M276" s="124"/>
      <c r="O276" s="124"/>
    </row>
    <row r="277" ht="15.75" customHeight="1">
      <c r="D277" s="124"/>
      <c r="E277" s="124"/>
      <c r="F277" s="124"/>
      <c r="I277" s="124"/>
      <c r="K277" s="124"/>
      <c r="L277" s="124"/>
      <c r="M277" s="124"/>
      <c r="O277" s="124"/>
    </row>
    <row r="278" ht="15.75" customHeight="1">
      <c r="D278" s="124"/>
      <c r="E278" s="124"/>
      <c r="F278" s="124"/>
      <c r="I278" s="124"/>
      <c r="K278" s="124"/>
      <c r="L278" s="124"/>
      <c r="M278" s="124"/>
      <c r="O278" s="124"/>
    </row>
    <row r="279" ht="15.75" customHeight="1">
      <c r="D279" s="124"/>
      <c r="E279" s="124"/>
      <c r="F279" s="124"/>
      <c r="I279" s="124"/>
      <c r="K279" s="124"/>
      <c r="L279" s="124"/>
      <c r="M279" s="124"/>
      <c r="O279" s="124"/>
    </row>
    <row r="280" ht="15.75" customHeight="1">
      <c r="D280" s="124"/>
      <c r="E280" s="124"/>
      <c r="F280" s="124"/>
      <c r="I280" s="124"/>
      <c r="K280" s="124"/>
      <c r="L280" s="124"/>
      <c r="M280" s="124"/>
      <c r="O280" s="124"/>
    </row>
    <row r="281" ht="15.75" customHeight="1">
      <c r="D281" s="124"/>
      <c r="E281" s="124"/>
      <c r="F281" s="124"/>
      <c r="I281" s="124"/>
      <c r="K281" s="124"/>
      <c r="L281" s="124"/>
      <c r="M281" s="124"/>
      <c r="O281" s="124"/>
    </row>
    <row r="282" ht="15.75" customHeight="1">
      <c r="D282" s="124"/>
      <c r="E282" s="124"/>
      <c r="F282" s="124"/>
      <c r="I282" s="124"/>
      <c r="K282" s="124"/>
      <c r="L282" s="124"/>
      <c r="M282" s="124"/>
      <c r="O282" s="124"/>
    </row>
    <row r="283" ht="15.75" customHeight="1">
      <c r="D283" s="124"/>
      <c r="E283" s="124"/>
      <c r="F283" s="124"/>
      <c r="I283" s="124"/>
      <c r="K283" s="124"/>
      <c r="L283" s="124"/>
      <c r="M283" s="124"/>
      <c r="O283" s="124"/>
    </row>
    <row r="284" ht="15.75" customHeight="1">
      <c r="D284" s="124"/>
      <c r="E284" s="124"/>
      <c r="F284" s="124"/>
      <c r="I284" s="124"/>
      <c r="K284" s="124"/>
      <c r="L284" s="124"/>
      <c r="M284" s="124"/>
      <c r="O284" s="124"/>
    </row>
    <row r="285" ht="15.75" customHeight="1">
      <c r="D285" s="124"/>
      <c r="E285" s="124"/>
      <c r="F285" s="124"/>
      <c r="I285" s="124"/>
      <c r="K285" s="124"/>
      <c r="L285" s="124"/>
      <c r="M285" s="124"/>
      <c r="O285" s="124"/>
    </row>
    <row r="286" ht="15.75" customHeight="1">
      <c r="D286" s="124"/>
      <c r="E286" s="124"/>
      <c r="F286" s="124"/>
      <c r="I286" s="124"/>
      <c r="K286" s="124"/>
      <c r="L286" s="124"/>
      <c r="M286" s="124"/>
      <c r="O286" s="124"/>
    </row>
    <row r="287" ht="15.75" customHeight="1">
      <c r="D287" s="124"/>
      <c r="E287" s="124"/>
      <c r="F287" s="124"/>
      <c r="I287" s="124"/>
      <c r="K287" s="124"/>
      <c r="L287" s="124"/>
      <c r="M287" s="124"/>
      <c r="O287" s="124"/>
    </row>
    <row r="288" ht="15.75" customHeight="1">
      <c r="D288" s="124"/>
      <c r="E288" s="124"/>
      <c r="F288" s="124"/>
      <c r="I288" s="124"/>
      <c r="K288" s="124"/>
      <c r="L288" s="124"/>
      <c r="M288" s="124"/>
      <c r="O288" s="124"/>
    </row>
    <row r="289" ht="15.75" customHeight="1">
      <c r="D289" s="124"/>
      <c r="E289" s="124"/>
      <c r="F289" s="124"/>
      <c r="I289" s="124"/>
      <c r="K289" s="124"/>
      <c r="L289" s="124"/>
      <c r="M289" s="124"/>
      <c r="O289" s="124"/>
    </row>
    <row r="290" ht="15.75" customHeight="1">
      <c r="D290" s="124"/>
      <c r="E290" s="124"/>
      <c r="F290" s="124"/>
      <c r="I290" s="124"/>
      <c r="K290" s="124"/>
      <c r="L290" s="124"/>
      <c r="M290" s="124"/>
      <c r="O290" s="124"/>
    </row>
    <row r="291" ht="15.75" customHeight="1">
      <c r="D291" s="124"/>
      <c r="E291" s="124"/>
      <c r="F291" s="124"/>
      <c r="I291" s="124"/>
      <c r="K291" s="124"/>
      <c r="L291" s="124"/>
      <c r="M291" s="124"/>
      <c r="O291" s="124"/>
    </row>
    <row r="292" ht="15.75" customHeight="1">
      <c r="D292" s="124"/>
      <c r="E292" s="124"/>
      <c r="F292" s="124"/>
      <c r="I292" s="124"/>
      <c r="K292" s="124"/>
      <c r="L292" s="124"/>
      <c r="M292" s="124"/>
      <c r="O292" s="124"/>
    </row>
    <row r="293" ht="15.75" customHeight="1">
      <c r="D293" s="124"/>
      <c r="E293" s="124"/>
      <c r="F293" s="124"/>
      <c r="I293" s="124"/>
      <c r="K293" s="124"/>
      <c r="L293" s="124"/>
      <c r="M293" s="124"/>
      <c r="O293" s="124"/>
    </row>
    <row r="294" ht="15.75" customHeight="1">
      <c r="D294" s="124"/>
      <c r="E294" s="124"/>
      <c r="F294" s="124"/>
      <c r="I294" s="124"/>
      <c r="K294" s="124"/>
      <c r="L294" s="124"/>
      <c r="M294" s="124"/>
      <c r="O294" s="124"/>
    </row>
    <row r="295" ht="15.75" customHeight="1">
      <c r="D295" s="124"/>
      <c r="E295" s="124"/>
      <c r="F295" s="124"/>
      <c r="I295" s="124"/>
      <c r="K295" s="124"/>
      <c r="L295" s="124"/>
      <c r="M295" s="124"/>
      <c r="O295" s="124"/>
    </row>
    <row r="296" ht="15.75" customHeight="1">
      <c r="D296" s="124"/>
      <c r="E296" s="124"/>
      <c r="F296" s="124"/>
      <c r="I296" s="124"/>
      <c r="K296" s="124"/>
      <c r="L296" s="124"/>
      <c r="M296" s="124"/>
      <c r="O296" s="124"/>
    </row>
    <row r="297" ht="15.75" customHeight="1">
      <c r="D297" s="124"/>
      <c r="E297" s="124"/>
      <c r="F297" s="124"/>
      <c r="I297" s="124"/>
      <c r="K297" s="124"/>
      <c r="L297" s="124"/>
      <c r="M297" s="124"/>
      <c r="O297" s="124"/>
    </row>
    <row r="298" ht="15.75" customHeight="1">
      <c r="D298" s="124"/>
      <c r="E298" s="124"/>
      <c r="F298" s="124"/>
      <c r="I298" s="124"/>
      <c r="K298" s="124"/>
      <c r="L298" s="124"/>
      <c r="M298" s="124"/>
      <c r="O298" s="124"/>
    </row>
    <row r="299" ht="15.75" customHeight="1">
      <c r="D299" s="124"/>
      <c r="E299" s="124"/>
      <c r="F299" s="124"/>
      <c r="I299" s="124"/>
      <c r="K299" s="124"/>
      <c r="L299" s="124"/>
      <c r="M299" s="124"/>
      <c r="O299" s="124"/>
    </row>
    <row r="300" ht="15.75" customHeight="1">
      <c r="D300" s="124"/>
      <c r="E300" s="124"/>
      <c r="F300" s="124"/>
      <c r="I300" s="124"/>
      <c r="K300" s="124"/>
      <c r="L300" s="124"/>
      <c r="M300" s="124"/>
      <c r="O300" s="124"/>
    </row>
    <row r="301" ht="15.75" customHeight="1">
      <c r="D301" s="124"/>
      <c r="E301" s="124"/>
      <c r="F301" s="124"/>
      <c r="I301" s="124"/>
      <c r="K301" s="124"/>
      <c r="L301" s="124"/>
      <c r="M301" s="124"/>
      <c r="O301" s="124"/>
    </row>
    <row r="302" ht="15.75" customHeight="1">
      <c r="D302" s="124"/>
      <c r="E302" s="124"/>
      <c r="F302" s="124"/>
      <c r="I302" s="124"/>
      <c r="K302" s="124"/>
      <c r="L302" s="124"/>
      <c r="M302" s="124"/>
      <c r="O302" s="124"/>
    </row>
    <row r="303" ht="15.75" customHeight="1">
      <c r="D303" s="124"/>
      <c r="E303" s="124"/>
      <c r="F303" s="124"/>
      <c r="I303" s="124"/>
      <c r="K303" s="124"/>
      <c r="L303" s="124"/>
      <c r="M303" s="124"/>
      <c r="O303" s="124"/>
    </row>
    <row r="304" ht="15.75" customHeight="1">
      <c r="D304" s="124"/>
      <c r="E304" s="124"/>
      <c r="F304" s="124"/>
      <c r="I304" s="124"/>
      <c r="K304" s="124"/>
      <c r="L304" s="124"/>
      <c r="M304" s="124"/>
      <c r="O304" s="124"/>
    </row>
    <row r="305" ht="15.75" customHeight="1">
      <c r="D305" s="124"/>
      <c r="E305" s="124"/>
      <c r="F305" s="124"/>
      <c r="I305" s="124"/>
      <c r="K305" s="124"/>
      <c r="L305" s="124"/>
      <c r="M305" s="124"/>
      <c r="O305" s="124"/>
    </row>
    <row r="306" ht="15.75" customHeight="1">
      <c r="D306" s="124"/>
      <c r="E306" s="124"/>
      <c r="F306" s="124"/>
      <c r="I306" s="124"/>
      <c r="K306" s="124"/>
      <c r="L306" s="124"/>
      <c r="M306" s="124"/>
      <c r="O306" s="124"/>
    </row>
    <row r="307" ht="15.75" customHeight="1">
      <c r="D307" s="124"/>
      <c r="E307" s="124"/>
      <c r="F307" s="124"/>
      <c r="I307" s="124"/>
      <c r="K307" s="124"/>
      <c r="L307" s="124"/>
      <c r="M307" s="124"/>
      <c r="O307" s="124"/>
    </row>
    <row r="308" ht="15.75" customHeight="1">
      <c r="D308" s="124"/>
      <c r="E308" s="124"/>
      <c r="F308" s="124"/>
      <c r="I308" s="124"/>
      <c r="K308" s="124"/>
      <c r="L308" s="124"/>
      <c r="M308" s="124"/>
      <c r="O308" s="124"/>
    </row>
    <row r="309" ht="15.75" customHeight="1">
      <c r="D309" s="124"/>
      <c r="E309" s="124"/>
      <c r="F309" s="124"/>
      <c r="I309" s="124"/>
      <c r="K309" s="124"/>
      <c r="L309" s="124"/>
      <c r="M309" s="124"/>
      <c r="O309" s="124"/>
    </row>
    <row r="310" ht="15.75" customHeight="1">
      <c r="D310" s="124"/>
      <c r="E310" s="124"/>
      <c r="F310" s="124"/>
      <c r="I310" s="124"/>
      <c r="K310" s="124"/>
      <c r="L310" s="124"/>
      <c r="M310" s="124"/>
      <c r="O310" s="124"/>
    </row>
    <row r="311" ht="15.75" customHeight="1">
      <c r="D311" s="124"/>
      <c r="E311" s="124"/>
      <c r="F311" s="124"/>
      <c r="I311" s="124"/>
      <c r="K311" s="124"/>
      <c r="L311" s="124"/>
      <c r="M311" s="124"/>
      <c r="O311" s="124"/>
    </row>
    <row r="312" ht="15.75" customHeight="1">
      <c r="D312" s="124"/>
      <c r="E312" s="124"/>
      <c r="F312" s="124"/>
      <c r="I312" s="124"/>
      <c r="K312" s="124"/>
      <c r="L312" s="124"/>
      <c r="M312" s="124"/>
      <c r="O312" s="124"/>
    </row>
    <row r="313" ht="15.75" customHeight="1">
      <c r="D313" s="124"/>
      <c r="E313" s="124"/>
      <c r="F313" s="124"/>
      <c r="I313" s="124"/>
      <c r="K313" s="124"/>
      <c r="L313" s="124"/>
      <c r="M313" s="124"/>
      <c r="O313" s="124"/>
    </row>
    <row r="314" ht="15.75" customHeight="1">
      <c r="D314" s="124"/>
      <c r="E314" s="124"/>
      <c r="F314" s="124"/>
      <c r="I314" s="124"/>
      <c r="K314" s="124"/>
      <c r="L314" s="124"/>
      <c r="M314" s="124"/>
      <c r="O314" s="124"/>
    </row>
    <row r="315" ht="15.75" customHeight="1">
      <c r="D315" s="124"/>
      <c r="E315" s="124"/>
      <c r="F315" s="124"/>
      <c r="I315" s="124"/>
      <c r="K315" s="124"/>
      <c r="L315" s="124"/>
      <c r="M315" s="124"/>
      <c r="O315" s="124"/>
    </row>
    <row r="316" ht="15.75" customHeight="1">
      <c r="D316" s="124"/>
      <c r="E316" s="124"/>
      <c r="F316" s="124"/>
      <c r="I316" s="124"/>
      <c r="K316" s="124"/>
      <c r="L316" s="124"/>
      <c r="M316" s="124"/>
      <c r="O316" s="124"/>
    </row>
    <row r="317" ht="15.75" customHeight="1">
      <c r="D317" s="124"/>
      <c r="E317" s="124"/>
      <c r="F317" s="124"/>
      <c r="I317" s="124"/>
      <c r="K317" s="124"/>
      <c r="L317" s="124"/>
      <c r="M317" s="124"/>
      <c r="O317" s="124"/>
    </row>
    <row r="318" ht="15.75" customHeight="1">
      <c r="D318" s="124"/>
      <c r="E318" s="124"/>
      <c r="F318" s="124"/>
      <c r="I318" s="124"/>
      <c r="K318" s="124"/>
      <c r="L318" s="124"/>
      <c r="M318" s="124"/>
      <c r="O318" s="124"/>
    </row>
    <row r="319" ht="15.75" customHeight="1">
      <c r="D319" s="124"/>
      <c r="E319" s="124"/>
      <c r="F319" s="124"/>
      <c r="I319" s="124"/>
      <c r="K319" s="124"/>
      <c r="L319" s="124"/>
      <c r="M319" s="124"/>
      <c r="O319" s="124"/>
    </row>
    <row r="320" ht="15.75" customHeight="1">
      <c r="D320" s="124"/>
      <c r="E320" s="124"/>
      <c r="F320" s="124"/>
      <c r="I320" s="124"/>
      <c r="K320" s="124"/>
      <c r="L320" s="124"/>
      <c r="M320" s="124"/>
      <c r="O320" s="124"/>
    </row>
    <row r="321" ht="15.75" customHeight="1">
      <c r="D321" s="124"/>
      <c r="E321" s="124"/>
      <c r="F321" s="124"/>
      <c r="I321" s="124"/>
      <c r="K321" s="124"/>
      <c r="L321" s="124"/>
      <c r="M321" s="124"/>
      <c r="O321" s="124"/>
    </row>
    <row r="322" ht="15.75" customHeight="1">
      <c r="D322" s="124"/>
      <c r="E322" s="124"/>
      <c r="F322" s="124"/>
      <c r="I322" s="124"/>
      <c r="K322" s="124"/>
      <c r="L322" s="124"/>
      <c r="M322" s="124"/>
      <c r="O322" s="124"/>
    </row>
    <row r="323" ht="15.75" customHeight="1">
      <c r="D323" s="124"/>
      <c r="E323" s="124"/>
      <c r="F323" s="124"/>
      <c r="I323" s="124"/>
      <c r="K323" s="124"/>
      <c r="L323" s="124"/>
      <c r="M323" s="124"/>
      <c r="O323" s="124"/>
    </row>
    <row r="324" ht="15.75" customHeight="1">
      <c r="D324" s="124"/>
      <c r="E324" s="124"/>
      <c r="F324" s="124"/>
      <c r="I324" s="124"/>
      <c r="K324" s="124"/>
      <c r="L324" s="124"/>
      <c r="M324" s="124"/>
      <c r="O324" s="124"/>
    </row>
    <row r="325" ht="15.75" customHeight="1">
      <c r="D325" s="124"/>
      <c r="E325" s="124"/>
      <c r="F325" s="124"/>
      <c r="I325" s="124"/>
      <c r="K325" s="124"/>
      <c r="L325" s="124"/>
      <c r="M325" s="124"/>
      <c r="O325" s="124"/>
    </row>
    <row r="326" ht="15.75" customHeight="1">
      <c r="D326" s="124"/>
      <c r="E326" s="124"/>
      <c r="F326" s="124"/>
      <c r="I326" s="124"/>
      <c r="K326" s="124"/>
      <c r="L326" s="124"/>
      <c r="M326" s="124"/>
      <c r="O326" s="124"/>
    </row>
    <row r="327" ht="15.75" customHeight="1">
      <c r="D327" s="124"/>
      <c r="E327" s="124"/>
      <c r="F327" s="124"/>
      <c r="I327" s="124"/>
      <c r="K327" s="124"/>
      <c r="L327" s="124"/>
      <c r="M327" s="124"/>
      <c r="O327" s="124"/>
    </row>
    <row r="328" ht="15.75" customHeight="1">
      <c r="D328" s="124"/>
      <c r="E328" s="124"/>
      <c r="F328" s="124"/>
      <c r="I328" s="124"/>
      <c r="K328" s="124"/>
      <c r="L328" s="124"/>
      <c r="M328" s="124"/>
      <c r="O328" s="124"/>
    </row>
    <row r="329" ht="15.75" customHeight="1">
      <c r="D329" s="124"/>
      <c r="E329" s="124"/>
      <c r="F329" s="124"/>
      <c r="I329" s="124"/>
      <c r="K329" s="124"/>
      <c r="L329" s="124"/>
      <c r="M329" s="124"/>
      <c r="O329" s="124"/>
    </row>
    <row r="330" ht="15.75" customHeight="1">
      <c r="D330" s="124"/>
      <c r="E330" s="124"/>
      <c r="F330" s="124"/>
      <c r="I330" s="124"/>
      <c r="K330" s="124"/>
      <c r="L330" s="124"/>
      <c r="M330" s="124"/>
      <c r="O330" s="124"/>
    </row>
    <row r="331" ht="15.75" customHeight="1">
      <c r="D331" s="124"/>
      <c r="E331" s="124"/>
      <c r="F331" s="124"/>
      <c r="I331" s="124"/>
      <c r="K331" s="124"/>
      <c r="L331" s="124"/>
      <c r="M331" s="124"/>
      <c r="O331" s="124"/>
    </row>
    <row r="332" ht="15.75" customHeight="1">
      <c r="D332" s="124"/>
      <c r="E332" s="124"/>
      <c r="F332" s="124"/>
      <c r="I332" s="124"/>
      <c r="K332" s="124"/>
      <c r="L332" s="124"/>
      <c r="M332" s="124"/>
      <c r="O332" s="124"/>
    </row>
    <row r="333" ht="15.75" customHeight="1">
      <c r="D333" s="124"/>
      <c r="E333" s="124"/>
      <c r="F333" s="124"/>
      <c r="I333" s="124"/>
      <c r="K333" s="124"/>
      <c r="L333" s="124"/>
      <c r="M333" s="124"/>
      <c r="O333" s="124"/>
    </row>
    <row r="334" ht="15.75" customHeight="1">
      <c r="D334" s="124"/>
      <c r="E334" s="124"/>
      <c r="F334" s="124"/>
      <c r="I334" s="124"/>
      <c r="K334" s="124"/>
      <c r="L334" s="124"/>
      <c r="M334" s="124"/>
      <c r="O334" s="124"/>
    </row>
    <row r="335" ht="15.75" customHeight="1">
      <c r="D335" s="124"/>
      <c r="E335" s="124"/>
      <c r="F335" s="124"/>
      <c r="I335" s="124"/>
      <c r="K335" s="124"/>
      <c r="L335" s="124"/>
      <c r="M335" s="124"/>
      <c r="O335" s="124"/>
    </row>
    <row r="336" ht="15.75" customHeight="1">
      <c r="D336" s="124"/>
      <c r="E336" s="124"/>
      <c r="F336" s="124"/>
      <c r="I336" s="124"/>
      <c r="K336" s="124"/>
      <c r="L336" s="124"/>
      <c r="M336" s="124"/>
      <c r="O336" s="124"/>
    </row>
    <row r="337" ht="15.75" customHeight="1">
      <c r="D337" s="124"/>
      <c r="E337" s="124"/>
      <c r="F337" s="124"/>
      <c r="I337" s="124"/>
      <c r="K337" s="124"/>
      <c r="L337" s="124"/>
      <c r="M337" s="124"/>
      <c r="O337" s="124"/>
    </row>
    <row r="338" ht="15.75" customHeight="1">
      <c r="D338" s="124"/>
      <c r="E338" s="124"/>
      <c r="F338" s="124"/>
      <c r="I338" s="124"/>
      <c r="K338" s="124"/>
      <c r="L338" s="124"/>
      <c r="M338" s="124"/>
      <c r="O338" s="124"/>
    </row>
    <row r="339" ht="15.75" customHeight="1">
      <c r="D339" s="124"/>
      <c r="E339" s="124"/>
      <c r="F339" s="124"/>
      <c r="I339" s="124"/>
      <c r="K339" s="124"/>
      <c r="L339" s="124"/>
      <c r="M339" s="124"/>
      <c r="O339" s="124"/>
    </row>
    <row r="340" ht="15.75" customHeight="1">
      <c r="D340" s="124"/>
      <c r="E340" s="124"/>
      <c r="F340" s="124"/>
      <c r="I340" s="124"/>
      <c r="K340" s="124"/>
      <c r="L340" s="124"/>
      <c r="M340" s="124"/>
      <c r="O340" s="124"/>
    </row>
    <row r="341" ht="15.75" customHeight="1">
      <c r="D341" s="124"/>
      <c r="E341" s="124"/>
      <c r="F341" s="124"/>
      <c r="I341" s="124"/>
      <c r="K341" s="124"/>
      <c r="L341" s="124"/>
      <c r="M341" s="124"/>
      <c r="O341" s="124"/>
    </row>
    <row r="342" ht="15.75" customHeight="1">
      <c r="D342" s="124"/>
      <c r="E342" s="124"/>
      <c r="F342" s="124"/>
      <c r="I342" s="124"/>
      <c r="K342" s="124"/>
      <c r="L342" s="124"/>
      <c r="M342" s="124"/>
      <c r="O342" s="124"/>
    </row>
    <row r="343" ht="15.75" customHeight="1">
      <c r="D343" s="124"/>
      <c r="E343" s="124"/>
      <c r="F343" s="124"/>
      <c r="I343" s="124"/>
      <c r="K343" s="124"/>
      <c r="L343" s="124"/>
      <c r="M343" s="124"/>
      <c r="O343" s="124"/>
    </row>
    <row r="344" ht="15.75" customHeight="1">
      <c r="D344" s="124"/>
      <c r="E344" s="124"/>
      <c r="F344" s="124"/>
      <c r="I344" s="124"/>
      <c r="K344" s="124"/>
      <c r="L344" s="124"/>
      <c r="M344" s="124"/>
      <c r="O344" s="124"/>
    </row>
    <row r="345" ht="15.75" customHeight="1">
      <c r="D345" s="124"/>
      <c r="E345" s="124"/>
      <c r="F345" s="124"/>
      <c r="I345" s="124"/>
      <c r="K345" s="124"/>
      <c r="L345" s="124"/>
      <c r="M345" s="124"/>
      <c r="O345" s="124"/>
    </row>
    <row r="346" ht="15.75" customHeight="1">
      <c r="D346" s="124"/>
      <c r="E346" s="124"/>
      <c r="F346" s="124"/>
      <c r="I346" s="124"/>
      <c r="K346" s="124"/>
      <c r="L346" s="124"/>
      <c r="M346" s="124"/>
      <c r="O346" s="124"/>
    </row>
    <row r="347" ht="15.75" customHeight="1">
      <c r="D347" s="124"/>
      <c r="E347" s="124"/>
      <c r="F347" s="124"/>
      <c r="I347" s="124"/>
      <c r="K347" s="124"/>
      <c r="L347" s="124"/>
      <c r="M347" s="124"/>
      <c r="O347" s="124"/>
    </row>
    <row r="348" ht="15.75" customHeight="1">
      <c r="D348" s="124"/>
      <c r="E348" s="124"/>
      <c r="F348" s="124"/>
      <c r="I348" s="124"/>
      <c r="K348" s="124"/>
      <c r="L348" s="124"/>
      <c r="M348" s="124"/>
      <c r="O348" s="124"/>
    </row>
    <row r="349" ht="15.75" customHeight="1">
      <c r="D349" s="124"/>
      <c r="E349" s="124"/>
      <c r="F349" s="124"/>
      <c r="I349" s="124"/>
      <c r="K349" s="124"/>
      <c r="L349" s="124"/>
      <c r="M349" s="124"/>
      <c r="O349" s="124"/>
    </row>
    <row r="350" ht="15.75" customHeight="1">
      <c r="D350" s="124"/>
      <c r="E350" s="124"/>
      <c r="F350" s="124"/>
      <c r="I350" s="124"/>
      <c r="K350" s="124"/>
      <c r="L350" s="124"/>
      <c r="M350" s="124"/>
      <c r="O350" s="124"/>
    </row>
    <row r="351" ht="15.75" customHeight="1">
      <c r="D351" s="124"/>
      <c r="E351" s="124"/>
      <c r="F351" s="124"/>
      <c r="I351" s="124"/>
      <c r="K351" s="124"/>
      <c r="L351" s="124"/>
      <c r="M351" s="124"/>
      <c r="O351" s="124"/>
    </row>
    <row r="352" ht="15.75" customHeight="1">
      <c r="D352" s="124"/>
      <c r="E352" s="124"/>
      <c r="F352" s="124"/>
      <c r="I352" s="124"/>
      <c r="K352" s="124"/>
      <c r="L352" s="124"/>
      <c r="M352" s="124"/>
      <c r="O352" s="124"/>
    </row>
    <row r="353" ht="15.75" customHeight="1">
      <c r="D353" s="124"/>
      <c r="E353" s="124"/>
      <c r="F353" s="124"/>
      <c r="I353" s="124"/>
      <c r="K353" s="124"/>
      <c r="L353" s="124"/>
      <c r="M353" s="124"/>
      <c r="O353" s="124"/>
    </row>
    <row r="354" ht="15.75" customHeight="1">
      <c r="D354" s="124"/>
      <c r="E354" s="124"/>
      <c r="F354" s="124"/>
      <c r="I354" s="124"/>
      <c r="K354" s="124"/>
      <c r="L354" s="124"/>
      <c r="M354" s="124"/>
      <c r="O354" s="124"/>
    </row>
    <row r="355" ht="15.75" customHeight="1">
      <c r="D355" s="124"/>
      <c r="E355" s="124"/>
      <c r="F355" s="124"/>
      <c r="I355" s="124"/>
      <c r="K355" s="124"/>
      <c r="L355" s="124"/>
      <c r="M355" s="124"/>
      <c r="O355" s="124"/>
    </row>
    <row r="356" ht="15.75" customHeight="1">
      <c r="D356" s="124"/>
      <c r="E356" s="124"/>
      <c r="F356" s="124"/>
      <c r="I356" s="124"/>
      <c r="K356" s="124"/>
      <c r="L356" s="124"/>
      <c r="M356" s="124"/>
      <c r="O356" s="124"/>
    </row>
    <row r="357" ht="15.75" customHeight="1">
      <c r="D357" s="124"/>
      <c r="E357" s="124"/>
      <c r="F357" s="124"/>
      <c r="I357" s="124"/>
      <c r="K357" s="124"/>
      <c r="L357" s="124"/>
      <c r="M357" s="124"/>
      <c r="O357" s="124"/>
    </row>
    <row r="358" ht="15.75" customHeight="1">
      <c r="D358" s="124"/>
      <c r="E358" s="124"/>
      <c r="F358" s="124"/>
      <c r="I358" s="124"/>
      <c r="K358" s="124"/>
      <c r="L358" s="124"/>
      <c r="M358" s="124"/>
      <c r="O358" s="124"/>
    </row>
    <row r="359" ht="15.75" customHeight="1">
      <c r="D359" s="124"/>
      <c r="E359" s="124"/>
      <c r="F359" s="124"/>
      <c r="I359" s="124"/>
      <c r="K359" s="124"/>
      <c r="L359" s="124"/>
      <c r="M359" s="124"/>
      <c r="O359" s="124"/>
    </row>
    <row r="360" ht="15.75" customHeight="1">
      <c r="D360" s="124"/>
      <c r="E360" s="124"/>
      <c r="F360" s="124"/>
      <c r="I360" s="124"/>
      <c r="K360" s="124"/>
      <c r="L360" s="124"/>
      <c r="M360" s="124"/>
      <c r="O360" s="124"/>
    </row>
    <row r="361" ht="15.75" customHeight="1">
      <c r="D361" s="124"/>
      <c r="E361" s="124"/>
      <c r="F361" s="124"/>
      <c r="I361" s="124"/>
      <c r="K361" s="124"/>
      <c r="L361" s="124"/>
      <c r="M361" s="124"/>
      <c r="O361" s="124"/>
    </row>
    <row r="362" ht="15.75" customHeight="1">
      <c r="D362" s="124"/>
      <c r="E362" s="124"/>
      <c r="F362" s="124"/>
      <c r="I362" s="124"/>
      <c r="K362" s="124"/>
      <c r="L362" s="124"/>
      <c r="M362" s="124"/>
      <c r="O362" s="124"/>
    </row>
    <row r="363" ht="15.75" customHeight="1">
      <c r="D363" s="124"/>
      <c r="E363" s="124"/>
      <c r="F363" s="124"/>
      <c r="I363" s="124"/>
      <c r="K363" s="124"/>
      <c r="L363" s="124"/>
      <c r="M363" s="124"/>
      <c r="O363" s="124"/>
    </row>
    <row r="364" ht="15.75" customHeight="1">
      <c r="D364" s="124"/>
      <c r="E364" s="124"/>
      <c r="F364" s="124"/>
      <c r="I364" s="124"/>
      <c r="K364" s="124"/>
      <c r="L364" s="124"/>
      <c r="M364" s="124"/>
      <c r="O364" s="124"/>
    </row>
    <row r="365" ht="15.75" customHeight="1">
      <c r="D365" s="124"/>
      <c r="E365" s="124"/>
      <c r="F365" s="124"/>
      <c r="I365" s="124"/>
      <c r="K365" s="124"/>
      <c r="L365" s="124"/>
      <c r="M365" s="124"/>
      <c r="O365" s="124"/>
    </row>
    <row r="366" ht="15.75" customHeight="1">
      <c r="D366" s="124"/>
      <c r="E366" s="124"/>
      <c r="F366" s="124"/>
      <c r="I366" s="124"/>
      <c r="K366" s="124"/>
      <c r="L366" s="124"/>
      <c r="M366" s="124"/>
      <c r="O366" s="124"/>
    </row>
    <row r="367" ht="15.75" customHeight="1">
      <c r="D367" s="124"/>
      <c r="E367" s="124"/>
      <c r="F367" s="124"/>
      <c r="I367" s="124"/>
      <c r="K367" s="124"/>
      <c r="L367" s="124"/>
      <c r="M367" s="124"/>
      <c r="O367" s="124"/>
    </row>
    <row r="368" ht="15.75" customHeight="1">
      <c r="D368" s="124"/>
      <c r="E368" s="124"/>
      <c r="F368" s="124"/>
      <c r="I368" s="124"/>
      <c r="K368" s="124"/>
      <c r="L368" s="124"/>
      <c r="M368" s="124"/>
      <c r="O368" s="124"/>
    </row>
    <row r="369" ht="15.75" customHeight="1">
      <c r="D369" s="124"/>
      <c r="E369" s="124"/>
      <c r="F369" s="124"/>
      <c r="I369" s="124"/>
      <c r="K369" s="124"/>
      <c r="L369" s="124"/>
      <c r="M369" s="124"/>
      <c r="O369" s="124"/>
    </row>
    <row r="370" ht="15.75" customHeight="1">
      <c r="D370" s="124"/>
      <c r="E370" s="124"/>
      <c r="F370" s="124"/>
      <c r="I370" s="124"/>
      <c r="K370" s="124"/>
      <c r="L370" s="124"/>
      <c r="M370" s="124"/>
      <c r="O370" s="124"/>
    </row>
    <row r="371" ht="15.75" customHeight="1">
      <c r="D371" s="124"/>
      <c r="E371" s="124"/>
      <c r="F371" s="124"/>
      <c r="I371" s="124"/>
      <c r="K371" s="124"/>
      <c r="L371" s="124"/>
      <c r="M371" s="124"/>
      <c r="O371" s="124"/>
    </row>
    <row r="372" ht="15.75" customHeight="1">
      <c r="D372" s="124"/>
      <c r="E372" s="124"/>
      <c r="F372" s="124"/>
      <c r="I372" s="124"/>
      <c r="K372" s="124"/>
      <c r="L372" s="124"/>
      <c r="M372" s="124"/>
      <c r="O372" s="124"/>
    </row>
    <row r="373" ht="15.75" customHeight="1">
      <c r="D373" s="124"/>
      <c r="E373" s="124"/>
      <c r="F373" s="124"/>
      <c r="I373" s="124"/>
      <c r="K373" s="124"/>
      <c r="L373" s="124"/>
      <c r="M373" s="124"/>
      <c r="O373" s="124"/>
    </row>
    <row r="374" ht="15.75" customHeight="1">
      <c r="D374" s="124"/>
      <c r="E374" s="124"/>
      <c r="F374" s="124"/>
      <c r="I374" s="124"/>
      <c r="K374" s="124"/>
      <c r="L374" s="124"/>
      <c r="M374" s="124"/>
      <c r="O374" s="124"/>
    </row>
    <row r="375" ht="15.75" customHeight="1">
      <c r="D375" s="124"/>
      <c r="E375" s="124"/>
      <c r="F375" s="124"/>
      <c r="I375" s="124"/>
      <c r="K375" s="124"/>
      <c r="L375" s="124"/>
      <c r="M375" s="124"/>
      <c r="O375" s="124"/>
    </row>
    <row r="376" ht="15.75" customHeight="1">
      <c r="D376" s="124"/>
      <c r="E376" s="124"/>
      <c r="F376" s="124"/>
      <c r="I376" s="124"/>
      <c r="K376" s="124"/>
      <c r="L376" s="124"/>
      <c r="M376" s="124"/>
      <c r="O376" s="124"/>
    </row>
    <row r="377" ht="15.75" customHeight="1">
      <c r="D377" s="124"/>
      <c r="E377" s="124"/>
      <c r="F377" s="124"/>
      <c r="I377" s="124"/>
      <c r="K377" s="124"/>
      <c r="L377" s="124"/>
      <c r="M377" s="124"/>
      <c r="O377" s="124"/>
    </row>
    <row r="378" ht="15.75" customHeight="1">
      <c r="D378" s="124"/>
      <c r="E378" s="124"/>
      <c r="F378" s="124"/>
      <c r="I378" s="124"/>
      <c r="K378" s="124"/>
      <c r="L378" s="124"/>
      <c r="M378" s="124"/>
      <c r="O378" s="124"/>
    </row>
    <row r="379" ht="15.75" customHeight="1">
      <c r="D379" s="124"/>
      <c r="E379" s="124"/>
      <c r="F379" s="124"/>
      <c r="I379" s="124"/>
      <c r="K379" s="124"/>
      <c r="L379" s="124"/>
      <c r="M379" s="124"/>
      <c r="O379" s="124"/>
    </row>
    <row r="380" ht="15.75" customHeight="1">
      <c r="D380" s="124"/>
      <c r="E380" s="124"/>
      <c r="F380" s="124"/>
      <c r="I380" s="124"/>
      <c r="K380" s="124"/>
      <c r="L380" s="124"/>
      <c r="M380" s="124"/>
      <c r="O380" s="124"/>
    </row>
    <row r="381" ht="15.75" customHeight="1">
      <c r="D381" s="124"/>
      <c r="E381" s="124"/>
      <c r="F381" s="124"/>
      <c r="I381" s="124"/>
      <c r="K381" s="124"/>
      <c r="L381" s="124"/>
      <c r="M381" s="124"/>
      <c r="O381" s="124"/>
    </row>
    <row r="382" ht="15.75" customHeight="1">
      <c r="D382" s="124"/>
      <c r="E382" s="124"/>
      <c r="F382" s="124"/>
      <c r="I382" s="124"/>
      <c r="K382" s="124"/>
      <c r="L382" s="124"/>
      <c r="M382" s="124"/>
      <c r="O382" s="124"/>
    </row>
    <row r="383" ht="15.75" customHeight="1">
      <c r="D383" s="124"/>
      <c r="E383" s="124"/>
      <c r="F383" s="124"/>
      <c r="I383" s="124"/>
      <c r="K383" s="124"/>
      <c r="L383" s="124"/>
      <c r="M383" s="124"/>
      <c r="O383" s="124"/>
    </row>
    <row r="384" ht="15.75" customHeight="1">
      <c r="D384" s="124"/>
      <c r="E384" s="124"/>
      <c r="F384" s="124"/>
      <c r="I384" s="124"/>
      <c r="K384" s="124"/>
      <c r="L384" s="124"/>
      <c r="M384" s="124"/>
      <c r="O384" s="124"/>
    </row>
    <row r="385" ht="15.75" customHeight="1">
      <c r="D385" s="124"/>
      <c r="E385" s="124"/>
      <c r="F385" s="124"/>
      <c r="I385" s="124"/>
      <c r="K385" s="124"/>
      <c r="L385" s="124"/>
      <c r="M385" s="124"/>
      <c r="O385" s="124"/>
    </row>
    <row r="386" ht="15.75" customHeight="1">
      <c r="D386" s="124"/>
      <c r="E386" s="124"/>
      <c r="F386" s="124"/>
      <c r="I386" s="124"/>
      <c r="K386" s="124"/>
      <c r="L386" s="124"/>
      <c r="M386" s="124"/>
      <c r="O386" s="124"/>
    </row>
    <row r="387" ht="15.75" customHeight="1">
      <c r="D387" s="124"/>
      <c r="E387" s="124"/>
      <c r="F387" s="124"/>
      <c r="I387" s="124"/>
      <c r="K387" s="124"/>
      <c r="L387" s="124"/>
      <c r="M387" s="124"/>
      <c r="O387" s="124"/>
    </row>
    <row r="388" ht="15.75" customHeight="1">
      <c r="D388" s="124"/>
      <c r="E388" s="124"/>
      <c r="F388" s="124"/>
      <c r="I388" s="124"/>
      <c r="K388" s="124"/>
      <c r="L388" s="124"/>
      <c r="M388" s="124"/>
      <c r="O388" s="124"/>
    </row>
    <row r="389" ht="15.75" customHeight="1">
      <c r="D389" s="124"/>
      <c r="E389" s="124"/>
      <c r="F389" s="124"/>
      <c r="I389" s="124"/>
      <c r="K389" s="124"/>
      <c r="L389" s="124"/>
      <c r="M389" s="124"/>
      <c r="O389" s="124"/>
    </row>
    <row r="390" ht="15.75" customHeight="1">
      <c r="D390" s="124"/>
      <c r="E390" s="124"/>
      <c r="F390" s="124"/>
      <c r="I390" s="124"/>
      <c r="K390" s="124"/>
      <c r="L390" s="124"/>
      <c r="M390" s="124"/>
      <c r="O390" s="124"/>
    </row>
    <row r="391" ht="15.75" customHeight="1">
      <c r="D391" s="124"/>
      <c r="E391" s="124"/>
      <c r="F391" s="124"/>
      <c r="I391" s="124"/>
      <c r="K391" s="124"/>
      <c r="L391" s="124"/>
      <c r="M391" s="124"/>
      <c r="O391" s="124"/>
    </row>
    <row r="392" ht="15.75" customHeight="1">
      <c r="D392" s="124"/>
      <c r="E392" s="124"/>
      <c r="F392" s="124"/>
      <c r="I392" s="124"/>
      <c r="K392" s="124"/>
      <c r="L392" s="124"/>
      <c r="M392" s="124"/>
      <c r="O392" s="124"/>
    </row>
    <row r="393" ht="15.75" customHeight="1">
      <c r="D393" s="124"/>
      <c r="E393" s="124"/>
      <c r="F393" s="124"/>
      <c r="I393" s="124"/>
      <c r="K393" s="124"/>
      <c r="L393" s="124"/>
      <c r="M393" s="124"/>
      <c r="O393" s="124"/>
    </row>
    <row r="394" ht="15.75" customHeight="1">
      <c r="D394" s="124"/>
      <c r="E394" s="124"/>
      <c r="F394" s="124"/>
      <c r="I394" s="124"/>
      <c r="K394" s="124"/>
      <c r="L394" s="124"/>
      <c r="M394" s="124"/>
      <c r="O394" s="124"/>
    </row>
    <row r="395" ht="15.75" customHeight="1">
      <c r="D395" s="124"/>
      <c r="E395" s="124"/>
      <c r="F395" s="124"/>
      <c r="I395" s="124"/>
      <c r="K395" s="124"/>
      <c r="L395" s="124"/>
      <c r="M395" s="124"/>
      <c r="O395" s="124"/>
    </row>
    <row r="396" ht="15.75" customHeight="1">
      <c r="D396" s="124"/>
      <c r="E396" s="124"/>
      <c r="F396" s="124"/>
      <c r="I396" s="124"/>
      <c r="K396" s="124"/>
      <c r="L396" s="124"/>
      <c r="M396" s="124"/>
      <c r="O396" s="124"/>
    </row>
    <row r="397" ht="15.75" customHeight="1">
      <c r="D397" s="124"/>
      <c r="E397" s="124"/>
      <c r="F397" s="124"/>
      <c r="I397" s="124"/>
      <c r="K397" s="124"/>
      <c r="L397" s="124"/>
      <c r="M397" s="124"/>
      <c r="O397" s="124"/>
    </row>
    <row r="398" ht="15.75" customHeight="1">
      <c r="D398" s="124"/>
      <c r="E398" s="124"/>
      <c r="F398" s="124"/>
      <c r="I398" s="124"/>
      <c r="K398" s="124"/>
      <c r="L398" s="124"/>
      <c r="M398" s="124"/>
      <c r="O398" s="124"/>
    </row>
    <row r="399" ht="15.75" customHeight="1">
      <c r="D399" s="124"/>
      <c r="E399" s="124"/>
      <c r="F399" s="124"/>
      <c r="I399" s="124"/>
      <c r="K399" s="124"/>
      <c r="L399" s="124"/>
      <c r="M399" s="124"/>
      <c r="O399" s="124"/>
    </row>
    <row r="400" ht="15.75" customHeight="1">
      <c r="D400" s="124"/>
      <c r="E400" s="124"/>
      <c r="F400" s="124"/>
      <c r="I400" s="124"/>
      <c r="K400" s="124"/>
      <c r="L400" s="124"/>
      <c r="M400" s="124"/>
      <c r="O400" s="124"/>
    </row>
    <row r="401" ht="15.75" customHeight="1">
      <c r="D401" s="124"/>
      <c r="E401" s="124"/>
      <c r="F401" s="124"/>
      <c r="I401" s="124"/>
      <c r="K401" s="124"/>
      <c r="L401" s="124"/>
      <c r="M401" s="124"/>
      <c r="O401" s="124"/>
    </row>
    <row r="402" ht="15.75" customHeight="1">
      <c r="D402" s="124"/>
      <c r="E402" s="124"/>
      <c r="F402" s="124"/>
      <c r="I402" s="124"/>
      <c r="K402" s="124"/>
      <c r="L402" s="124"/>
      <c r="M402" s="124"/>
      <c r="O402" s="124"/>
    </row>
    <row r="403" ht="15.75" customHeight="1">
      <c r="D403" s="124"/>
      <c r="E403" s="124"/>
      <c r="F403" s="124"/>
      <c r="I403" s="124"/>
      <c r="K403" s="124"/>
      <c r="L403" s="124"/>
      <c r="M403" s="124"/>
      <c r="O403" s="124"/>
    </row>
    <row r="404" ht="15.75" customHeight="1">
      <c r="D404" s="124"/>
      <c r="E404" s="124"/>
      <c r="F404" s="124"/>
      <c r="I404" s="124"/>
      <c r="K404" s="124"/>
      <c r="L404" s="124"/>
      <c r="M404" s="124"/>
      <c r="O404" s="124"/>
    </row>
    <row r="405" ht="15.75" customHeight="1">
      <c r="D405" s="124"/>
      <c r="E405" s="124"/>
      <c r="F405" s="124"/>
      <c r="I405" s="124"/>
      <c r="K405" s="124"/>
      <c r="L405" s="124"/>
      <c r="M405" s="124"/>
      <c r="O405" s="124"/>
    </row>
    <row r="406" ht="15.75" customHeight="1">
      <c r="D406" s="124"/>
      <c r="E406" s="124"/>
      <c r="F406" s="124"/>
      <c r="I406" s="124"/>
      <c r="K406" s="124"/>
      <c r="L406" s="124"/>
      <c r="M406" s="124"/>
      <c r="O406" s="124"/>
    </row>
    <row r="407" ht="15.75" customHeight="1">
      <c r="D407" s="124"/>
      <c r="E407" s="124"/>
      <c r="F407" s="124"/>
      <c r="I407" s="124"/>
      <c r="K407" s="124"/>
      <c r="L407" s="124"/>
      <c r="M407" s="124"/>
      <c r="O407" s="124"/>
    </row>
    <row r="408" ht="15.75" customHeight="1">
      <c r="D408" s="124"/>
      <c r="E408" s="124"/>
      <c r="F408" s="124"/>
      <c r="I408" s="124"/>
      <c r="K408" s="124"/>
      <c r="L408" s="124"/>
      <c r="M408" s="124"/>
      <c r="O408" s="124"/>
    </row>
    <row r="409" ht="15.75" customHeight="1">
      <c r="D409" s="124"/>
      <c r="E409" s="124"/>
      <c r="F409" s="124"/>
      <c r="I409" s="124"/>
      <c r="K409" s="124"/>
      <c r="L409" s="124"/>
      <c r="M409" s="124"/>
      <c r="O409" s="124"/>
    </row>
    <row r="410" ht="15.75" customHeight="1">
      <c r="D410" s="124"/>
      <c r="E410" s="124"/>
      <c r="F410" s="124"/>
      <c r="I410" s="124"/>
      <c r="K410" s="124"/>
      <c r="L410" s="124"/>
      <c r="M410" s="124"/>
      <c r="O410" s="124"/>
    </row>
    <row r="411" ht="15.75" customHeight="1">
      <c r="D411" s="124"/>
      <c r="E411" s="124"/>
      <c r="F411" s="124"/>
      <c r="I411" s="124"/>
      <c r="K411" s="124"/>
      <c r="L411" s="124"/>
      <c r="M411" s="124"/>
      <c r="O411" s="124"/>
    </row>
    <row r="412" ht="15.75" customHeight="1">
      <c r="D412" s="124"/>
      <c r="E412" s="124"/>
      <c r="F412" s="124"/>
      <c r="I412" s="124"/>
      <c r="K412" s="124"/>
      <c r="L412" s="124"/>
      <c r="M412" s="124"/>
      <c r="O412" s="124"/>
    </row>
    <row r="413" ht="15.75" customHeight="1">
      <c r="D413" s="124"/>
      <c r="E413" s="124"/>
      <c r="F413" s="124"/>
      <c r="I413" s="124"/>
      <c r="K413" s="124"/>
      <c r="L413" s="124"/>
      <c r="M413" s="124"/>
      <c r="O413" s="124"/>
    </row>
    <row r="414" ht="15.75" customHeight="1">
      <c r="D414" s="124"/>
      <c r="E414" s="124"/>
      <c r="F414" s="124"/>
      <c r="I414" s="124"/>
      <c r="K414" s="124"/>
      <c r="L414" s="124"/>
      <c r="M414" s="124"/>
      <c r="O414" s="124"/>
    </row>
    <row r="415" ht="15.75" customHeight="1">
      <c r="D415" s="124"/>
      <c r="E415" s="124"/>
      <c r="F415" s="124"/>
      <c r="I415" s="124"/>
      <c r="K415" s="124"/>
      <c r="L415" s="124"/>
      <c r="M415" s="124"/>
      <c r="O415" s="124"/>
    </row>
    <row r="416" ht="15.75" customHeight="1">
      <c r="D416" s="124"/>
      <c r="E416" s="124"/>
      <c r="F416" s="124"/>
      <c r="I416" s="124"/>
      <c r="K416" s="124"/>
      <c r="L416" s="124"/>
      <c r="M416" s="124"/>
      <c r="O416" s="124"/>
    </row>
    <row r="417" ht="15.75" customHeight="1">
      <c r="D417" s="124"/>
      <c r="E417" s="124"/>
      <c r="F417" s="124"/>
      <c r="I417" s="124"/>
      <c r="K417" s="124"/>
      <c r="L417" s="124"/>
      <c r="M417" s="124"/>
      <c r="O417" s="124"/>
    </row>
    <row r="418" ht="15.75" customHeight="1">
      <c r="D418" s="124"/>
      <c r="E418" s="124"/>
      <c r="F418" s="124"/>
      <c r="I418" s="124"/>
      <c r="K418" s="124"/>
      <c r="L418" s="124"/>
      <c r="M418" s="124"/>
      <c r="O418" s="124"/>
    </row>
    <row r="419" ht="15.75" customHeight="1">
      <c r="D419" s="124"/>
      <c r="E419" s="124"/>
      <c r="F419" s="124"/>
      <c r="I419" s="124"/>
      <c r="K419" s="124"/>
      <c r="L419" s="124"/>
      <c r="M419" s="124"/>
      <c r="O419" s="124"/>
    </row>
    <row r="420" ht="15.75" customHeight="1">
      <c r="D420" s="124"/>
      <c r="E420" s="124"/>
      <c r="F420" s="124"/>
      <c r="I420" s="124"/>
      <c r="K420" s="124"/>
      <c r="L420" s="124"/>
      <c r="M420" s="124"/>
      <c r="O420" s="124"/>
    </row>
    <row r="421" ht="15.75" customHeight="1">
      <c r="D421" s="124"/>
      <c r="E421" s="124"/>
      <c r="F421" s="124"/>
      <c r="I421" s="124"/>
      <c r="K421" s="124"/>
      <c r="L421" s="124"/>
      <c r="M421" s="124"/>
      <c r="O421" s="124"/>
    </row>
    <row r="422" ht="15.75" customHeight="1">
      <c r="D422" s="124"/>
      <c r="E422" s="124"/>
      <c r="F422" s="124"/>
      <c r="I422" s="124"/>
      <c r="K422" s="124"/>
      <c r="L422" s="124"/>
      <c r="M422" s="124"/>
      <c r="O422" s="124"/>
    </row>
    <row r="423" ht="15.75" customHeight="1">
      <c r="D423" s="124"/>
      <c r="E423" s="124"/>
      <c r="F423" s="124"/>
      <c r="I423" s="124"/>
      <c r="K423" s="124"/>
      <c r="L423" s="124"/>
      <c r="M423" s="124"/>
      <c r="O423" s="124"/>
    </row>
    <row r="424" ht="15.75" customHeight="1">
      <c r="D424" s="124"/>
      <c r="E424" s="124"/>
      <c r="F424" s="124"/>
      <c r="I424" s="124"/>
      <c r="K424" s="124"/>
      <c r="L424" s="124"/>
      <c r="M424" s="124"/>
      <c r="O424" s="124"/>
    </row>
    <row r="425" ht="15.75" customHeight="1">
      <c r="D425" s="124"/>
      <c r="E425" s="124"/>
      <c r="F425" s="124"/>
      <c r="I425" s="124"/>
      <c r="K425" s="124"/>
      <c r="L425" s="124"/>
      <c r="M425" s="124"/>
      <c r="O425" s="124"/>
    </row>
    <row r="426" ht="15.75" customHeight="1">
      <c r="D426" s="124"/>
      <c r="E426" s="124"/>
      <c r="F426" s="124"/>
      <c r="I426" s="124"/>
      <c r="K426" s="124"/>
      <c r="L426" s="124"/>
      <c r="M426" s="124"/>
      <c r="O426" s="124"/>
    </row>
    <row r="427" ht="15.75" customHeight="1">
      <c r="D427" s="124"/>
      <c r="E427" s="124"/>
      <c r="F427" s="124"/>
      <c r="I427" s="124"/>
      <c r="K427" s="124"/>
      <c r="L427" s="124"/>
      <c r="M427" s="124"/>
      <c r="O427" s="124"/>
    </row>
    <row r="428" ht="15.75" customHeight="1">
      <c r="D428" s="124"/>
      <c r="E428" s="124"/>
      <c r="F428" s="124"/>
      <c r="I428" s="124"/>
      <c r="K428" s="124"/>
      <c r="L428" s="124"/>
      <c r="M428" s="124"/>
      <c r="O428" s="124"/>
    </row>
    <row r="429" ht="15.75" customHeight="1">
      <c r="D429" s="124"/>
      <c r="E429" s="124"/>
      <c r="F429" s="124"/>
      <c r="I429" s="124"/>
      <c r="K429" s="124"/>
      <c r="L429" s="124"/>
      <c r="M429" s="124"/>
      <c r="O429" s="124"/>
    </row>
    <row r="430" ht="15.75" customHeight="1">
      <c r="D430" s="124"/>
      <c r="E430" s="124"/>
      <c r="F430" s="124"/>
      <c r="I430" s="124"/>
      <c r="K430" s="124"/>
      <c r="L430" s="124"/>
      <c r="M430" s="124"/>
      <c r="O430" s="124"/>
    </row>
    <row r="431" ht="15.75" customHeight="1">
      <c r="D431" s="124"/>
      <c r="E431" s="124"/>
      <c r="F431" s="124"/>
      <c r="I431" s="124"/>
      <c r="K431" s="124"/>
      <c r="L431" s="124"/>
      <c r="M431" s="124"/>
      <c r="O431" s="124"/>
    </row>
    <row r="432" ht="15.75" customHeight="1">
      <c r="D432" s="124"/>
      <c r="E432" s="124"/>
      <c r="F432" s="124"/>
      <c r="I432" s="124"/>
      <c r="K432" s="124"/>
      <c r="L432" s="124"/>
      <c r="M432" s="124"/>
      <c r="O432" s="124"/>
    </row>
    <row r="433" ht="15.75" customHeight="1">
      <c r="D433" s="124"/>
      <c r="E433" s="124"/>
      <c r="F433" s="124"/>
      <c r="I433" s="124"/>
      <c r="K433" s="124"/>
      <c r="L433" s="124"/>
      <c r="M433" s="124"/>
      <c r="O433" s="124"/>
    </row>
    <row r="434" ht="15.75" customHeight="1">
      <c r="D434" s="124"/>
      <c r="E434" s="124"/>
      <c r="F434" s="124"/>
      <c r="I434" s="124"/>
      <c r="K434" s="124"/>
      <c r="L434" s="124"/>
      <c r="M434" s="124"/>
      <c r="O434" s="124"/>
    </row>
    <row r="435" ht="15.75" customHeight="1">
      <c r="D435" s="124"/>
      <c r="E435" s="124"/>
      <c r="F435" s="124"/>
      <c r="I435" s="124"/>
      <c r="K435" s="124"/>
      <c r="L435" s="124"/>
      <c r="M435" s="124"/>
      <c r="O435" s="124"/>
    </row>
    <row r="436" ht="15.75" customHeight="1">
      <c r="D436" s="124"/>
      <c r="E436" s="124"/>
      <c r="F436" s="124"/>
      <c r="I436" s="124"/>
      <c r="K436" s="124"/>
      <c r="L436" s="124"/>
      <c r="M436" s="124"/>
      <c r="O436" s="124"/>
    </row>
    <row r="437" ht="15.75" customHeight="1">
      <c r="D437" s="124"/>
      <c r="E437" s="124"/>
      <c r="F437" s="124"/>
      <c r="I437" s="124"/>
      <c r="K437" s="124"/>
      <c r="L437" s="124"/>
      <c r="M437" s="124"/>
      <c r="O437" s="124"/>
    </row>
    <row r="438" ht="15.75" customHeight="1">
      <c r="D438" s="124"/>
      <c r="E438" s="124"/>
      <c r="F438" s="124"/>
      <c r="I438" s="124"/>
      <c r="K438" s="124"/>
      <c r="L438" s="124"/>
      <c r="M438" s="124"/>
      <c r="O438" s="124"/>
    </row>
    <row r="439" ht="15.75" customHeight="1">
      <c r="D439" s="124"/>
      <c r="E439" s="124"/>
      <c r="F439" s="124"/>
      <c r="I439" s="124"/>
      <c r="K439" s="124"/>
      <c r="L439" s="124"/>
      <c r="M439" s="124"/>
      <c r="O439" s="124"/>
    </row>
    <row r="440" ht="15.75" customHeight="1">
      <c r="D440" s="124"/>
      <c r="E440" s="124"/>
      <c r="F440" s="124"/>
      <c r="I440" s="124"/>
      <c r="K440" s="124"/>
      <c r="L440" s="124"/>
      <c r="M440" s="124"/>
      <c r="O440" s="124"/>
    </row>
    <row r="441" ht="15.75" customHeight="1">
      <c r="D441" s="124"/>
      <c r="E441" s="124"/>
      <c r="F441" s="124"/>
      <c r="I441" s="124"/>
      <c r="K441" s="124"/>
      <c r="L441" s="124"/>
      <c r="M441" s="124"/>
      <c r="O441" s="124"/>
    </row>
    <row r="442" ht="15.75" customHeight="1">
      <c r="D442" s="124"/>
      <c r="E442" s="124"/>
      <c r="F442" s="124"/>
      <c r="I442" s="124"/>
      <c r="K442" s="124"/>
      <c r="L442" s="124"/>
      <c r="M442" s="124"/>
      <c r="O442" s="124"/>
    </row>
    <row r="443" ht="15.75" customHeight="1">
      <c r="D443" s="124"/>
      <c r="E443" s="124"/>
      <c r="F443" s="124"/>
      <c r="I443" s="124"/>
      <c r="K443" s="124"/>
      <c r="L443" s="124"/>
      <c r="M443" s="124"/>
      <c r="O443" s="124"/>
    </row>
    <row r="444" ht="15.75" customHeight="1">
      <c r="D444" s="124"/>
      <c r="E444" s="124"/>
      <c r="F444" s="124"/>
      <c r="I444" s="124"/>
      <c r="K444" s="124"/>
      <c r="L444" s="124"/>
      <c r="M444" s="124"/>
      <c r="O444" s="124"/>
    </row>
    <row r="445" ht="15.75" customHeight="1">
      <c r="D445" s="124"/>
      <c r="E445" s="124"/>
      <c r="F445" s="124"/>
      <c r="I445" s="124"/>
      <c r="K445" s="124"/>
      <c r="L445" s="124"/>
      <c r="M445" s="124"/>
      <c r="O445" s="124"/>
    </row>
    <row r="446" ht="15.75" customHeight="1">
      <c r="D446" s="124"/>
      <c r="E446" s="124"/>
      <c r="F446" s="124"/>
      <c r="I446" s="124"/>
      <c r="K446" s="124"/>
      <c r="L446" s="124"/>
      <c r="M446" s="124"/>
      <c r="O446" s="124"/>
    </row>
    <row r="447" ht="15.75" customHeight="1">
      <c r="D447" s="124"/>
      <c r="E447" s="124"/>
      <c r="F447" s="124"/>
      <c r="I447" s="124"/>
      <c r="K447" s="124"/>
      <c r="L447" s="124"/>
      <c r="M447" s="124"/>
      <c r="O447" s="124"/>
    </row>
    <row r="448" ht="15.75" customHeight="1">
      <c r="D448" s="124"/>
      <c r="E448" s="124"/>
      <c r="F448" s="124"/>
      <c r="I448" s="124"/>
      <c r="K448" s="124"/>
      <c r="L448" s="124"/>
      <c r="M448" s="124"/>
      <c r="O448" s="124"/>
    </row>
    <row r="449" ht="15.75" customHeight="1">
      <c r="D449" s="124"/>
      <c r="E449" s="124"/>
      <c r="F449" s="124"/>
      <c r="I449" s="124"/>
      <c r="K449" s="124"/>
      <c r="L449" s="124"/>
      <c r="M449" s="124"/>
      <c r="O449" s="124"/>
    </row>
    <row r="450" ht="15.75" customHeight="1">
      <c r="D450" s="124"/>
      <c r="E450" s="124"/>
      <c r="F450" s="124"/>
      <c r="I450" s="124"/>
      <c r="K450" s="124"/>
      <c r="L450" s="124"/>
      <c r="M450" s="124"/>
      <c r="O450" s="124"/>
    </row>
    <row r="451" ht="15.75" customHeight="1">
      <c r="D451" s="124"/>
      <c r="E451" s="124"/>
      <c r="F451" s="124"/>
      <c r="I451" s="124"/>
      <c r="K451" s="124"/>
      <c r="L451" s="124"/>
      <c r="M451" s="124"/>
      <c r="O451" s="124"/>
    </row>
    <row r="452" ht="15.75" customHeight="1">
      <c r="D452" s="124"/>
      <c r="E452" s="124"/>
      <c r="F452" s="124"/>
      <c r="I452" s="124"/>
      <c r="K452" s="124"/>
      <c r="L452" s="124"/>
      <c r="M452" s="124"/>
      <c r="O452" s="124"/>
    </row>
    <row r="453" ht="15.75" customHeight="1">
      <c r="D453" s="124"/>
      <c r="E453" s="124"/>
      <c r="F453" s="124"/>
      <c r="I453" s="124"/>
      <c r="K453" s="124"/>
      <c r="L453" s="124"/>
      <c r="M453" s="124"/>
      <c r="O453" s="124"/>
    </row>
    <row r="454" ht="15.75" customHeight="1">
      <c r="D454" s="124"/>
      <c r="E454" s="124"/>
      <c r="F454" s="124"/>
      <c r="I454" s="124"/>
      <c r="K454" s="124"/>
      <c r="L454" s="124"/>
      <c r="M454" s="124"/>
      <c r="O454" s="124"/>
    </row>
    <row r="455" ht="15.75" customHeight="1">
      <c r="D455" s="124"/>
      <c r="E455" s="124"/>
      <c r="F455" s="124"/>
      <c r="I455" s="124"/>
      <c r="K455" s="124"/>
      <c r="L455" s="124"/>
      <c r="M455" s="124"/>
      <c r="O455" s="124"/>
    </row>
    <row r="456" ht="15.75" customHeight="1">
      <c r="D456" s="124"/>
      <c r="E456" s="124"/>
      <c r="F456" s="124"/>
      <c r="I456" s="124"/>
      <c r="K456" s="124"/>
      <c r="L456" s="124"/>
      <c r="M456" s="124"/>
      <c r="O456" s="124"/>
    </row>
    <row r="457" ht="15.75" customHeight="1">
      <c r="D457" s="124"/>
      <c r="E457" s="124"/>
      <c r="F457" s="124"/>
      <c r="I457" s="124"/>
      <c r="K457" s="124"/>
      <c r="L457" s="124"/>
      <c r="M457" s="124"/>
      <c r="O457" s="124"/>
    </row>
    <row r="458" ht="15.75" customHeight="1">
      <c r="D458" s="124"/>
      <c r="E458" s="124"/>
      <c r="F458" s="124"/>
      <c r="I458" s="124"/>
      <c r="K458" s="124"/>
      <c r="L458" s="124"/>
      <c r="M458" s="124"/>
      <c r="O458" s="124"/>
    </row>
    <row r="459" ht="15.75" customHeight="1">
      <c r="D459" s="124"/>
      <c r="E459" s="124"/>
      <c r="F459" s="124"/>
      <c r="I459" s="124"/>
      <c r="K459" s="124"/>
      <c r="L459" s="124"/>
      <c r="M459" s="124"/>
      <c r="O459" s="124"/>
    </row>
    <row r="460" ht="15.75" customHeight="1">
      <c r="D460" s="124"/>
      <c r="E460" s="124"/>
      <c r="F460" s="124"/>
      <c r="I460" s="124"/>
      <c r="K460" s="124"/>
      <c r="L460" s="124"/>
      <c r="M460" s="124"/>
      <c r="O460" s="124"/>
    </row>
    <row r="461" ht="15.75" customHeight="1">
      <c r="D461" s="124"/>
      <c r="E461" s="124"/>
      <c r="F461" s="124"/>
      <c r="I461" s="124"/>
      <c r="K461" s="124"/>
      <c r="L461" s="124"/>
      <c r="M461" s="124"/>
      <c r="O461" s="124"/>
    </row>
    <row r="462" ht="15.75" customHeight="1">
      <c r="D462" s="124"/>
      <c r="E462" s="124"/>
      <c r="F462" s="124"/>
      <c r="I462" s="124"/>
      <c r="K462" s="124"/>
      <c r="L462" s="124"/>
      <c r="M462" s="124"/>
      <c r="O462" s="124"/>
    </row>
    <row r="463" ht="15.75" customHeight="1">
      <c r="D463" s="124"/>
      <c r="E463" s="124"/>
      <c r="F463" s="124"/>
      <c r="I463" s="124"/>
      <c r="K463" s="124"/>
      <c r="L463" s="124"/>
      <c r="M463" s="124"/>
      <c r="O463" s="124"/>
    </row>
    <row r="464" ht="15.75" customHeight="1">
      <c r="D464" s="124"/>
      <c r="E464" s="124"/>
      <c r="F464" s="124"/>
      <c r="I464" s="124"/>
      <c r="K464" s="124"/>
      <c r="L464" s="124"/>
      <c r="M464" s="124"/>
      <c r="O464" s="124"/>
    </row>
    <row r="465" ht="15.75" customHeight="1">
      <c r="D465" s="124"/>
      <c r="E465" s="124"/>
      <c r="F465" s="124"/>
      <c r="I465" s="124"/>
      <c r="K465" s="124"/>
      <c r="L465" s="124"/>
      <c r="M465" s="124"/>
      <c r="O465" s="124"/>
    </row>
    <row r="466" ht="15.75" customHeight="1">
      <c r="D466" s="124"/>
      <c r="E466" s="124"/>
      <c r="F466" s="124"/>
      <c r="I466" s="124"/>
      <c r="K466" s="124"/>
      <c r="L466" s="124"/>
      <c r="M466" s="124"/>
      <c r="O466" s="124"/>
    </row>
    <row r="467" ht="15.75" customHeight="1">
      <c r="D467" s="124"/>
      <c r="E467" s="124"/>
      <c r="F467" s="124"/>
      <c r="I467" s="124"/>
      <c r="K467" s="124"/>
      <c r="L467" s="124"/>
      <c r="M467" s="124"/>
      <c r="O467" s="124"/>
    </row>
    <row r="468" ht="15.75" customHeight="1">
      <c r="D468" s="124"/>
      <c r="E468" s="124"/>
      <c r="F468" s="124"/>
      <c r="I468" s="124"/>
      <c r="K468" s="124"/>
      <c r="L468" s="124"/>
      <c r="M468" s="124"/>
      <c r="O468" s="124"/>
    </row>
    <row r="469" ht="15.75" customHeight="1">
      <c r="D469" s="124"/>
      <c r="E469" s="124"/>
      <c r="F469" s="124"/>
      <c r="I469" s="124"/>
      <c r="K469" s="124"/>
      <c r="L469" s="124"/>
      <c r="M469" s="124"/>
      <c r="O469" s="124"/>
    </row>
    <row r="470" ht="15.75" customHeight="1">
      <c r="D470" s="124"/>
      <c r="E470" s="124"/>
      <c r="F470" s="124"/>
      <c r="I470" s="124"/>
      <c r="K470" s="124"/>
      <c r="L470" s="124"/>
      <c r="M470" s="124"/>
      <c r="O470" s="124"/>
    </row>
    <row r="471" ht="15.75" customHeight="1">
      <c r="D471" s="124"/>
      <c r="E471" s="124"/>
      <c r="F471" s="124"/>
      <c r="I471" s="124"/>
      <c r="K471" s="124"/>
      <c r="L471" s="124"/>
      <c r="M471" s="124"/>
      <c r="O471" s="124"/>
    </row>
    <row r="472" ht="15.75" customHeight="1">
      <c r="D472" s="124"/>
      <c r="E472" s="124"/>
      <c r="F472" s="124"/>
      <c r="I472" s="124"/>
      <c r="K472" s="124"/>
      <c r="L472" s="124"/>
      <c r="M472" s="124"/>
      <c r="O472" s="124"/>
    </row>
    <row r="473" ht="15.75" customHeight="1">
      <c r="D473" s="124"/>
      <c r="E473" s="124"/>
      <c r="F473" s="124"/>
      <c r="I473" s="124"/>
      <c r="K473" s="124"/>
      <c r="L473" s="124"/>
      <c r="M473" s="124"/>
      <c r="O473" s="124"/>
    </row>
    <row r="474" ht="15.75" customHeight="1">
      <c r="D474" s="124"/>
      <c r="E474" s="124"/>
      <c r="F474" s="124"/>
      <c r="I474" s="124"/>
      <c r="K474" s="124"/>
      <c r="L474" s="124"/>
      <c r="M474" s="124"/>
      <c r="O474" s="124"/>
    </row>
    <row r="475" ht="15.75" customHeight="1">
      <c r="D475" s="124"/>
      <c r="E475" s="124"/>
      <c r="F475" s="124"/>
      <c r="I475" s="124"/>
      <c r="K475" s="124"/>
      <c r="L475" s="124"/>
      <c r="M475" s="124"/>
      <c r="O475" s="124"/>
    </row>
    <row r="476" ht="15.75" customHeight="1">
      <c r="D476" s="124"/>
      <c r="E476" s="124"/>
      <c r="F476" s="124"/>
      <c r="I476" s="124"/>
      <c r="K476" s="124"/>
      <c r="L476" s="124"/>
      <c r="M476" s="124"/>
      <c r="O476" s="124"/>
    </row>
    <row r="477" ht="15.75" customHeight="1">
      <c r="D477" s="124"/>
      <c r="E477" s="124"/>
      <c r="F477" s="124"/>
      <c r="I477" s="124"/>
      <c r="K477" s="124"/>
      <c r="L477" s="124"/>
      <c r="M477" s="124"/>
      <c r="O477" s="124"/>
    </row>
    <row r="478" ht="15.75" customHeight="1">
      <c r="D478" s="124"/>
      <c r="E478" s="124"/>
      <c r="F478" s="124"/>
      <c r="I478" s="124"/>
      <c r="K478" s="124"/>
      <c r="L478" s="124"/>
      <c r="M478" s="124"/>
      <c r="O478" s="124"/>
    </row>
    <row r="479" ht="15.75" customHeight="1">
      <c r="D479" s="124"/>
      <c r="E479" s="124"/>
      <c r="F479" s="124"/>
      <c r="I479" s="124"/>
      <c r="K479" s="124"/>
      <c r="L479" s="124"/>
      <c r="M479" s="124"/>
      <c r="O479" s="124"/>
    </row>
    <row r="480" ht="15.75" customHeight="1">
      <c r="D480" s="124"/>
      <c r="E480" s="124"/>
      <c r="F480" s="124"/>
      <c r="I480" s="124"/>
      <c r="K480" s="124"/>
      <c r="L480" s="124"/>
      <c r="M480" s="124"/>
      <c r="O480" s="124"/>
    </row>
    <row r="481" ht="15.75" customHeight="1">
      <c r="D481" s="124"/>
      <c r="E481" s="124"/>
      <c r="F481" s="124"/>
      <c r="I481" s="124"/>
      <c r="K481" s="124"/>
      <c r="L481" s="124"/>
      <c r="M481" s="124"/>
      <c r="O481" s="124"/>
    </row>
    <row r="482" ht="15.75" customHeight="1">
      <c r="D482" s="124"/>
      <c r="E482" s="124"/>
      <c r="F482" s="124"/>
      <c r="I482" s="124"/>
      <c r="K482" s="124"/>
      <c r="L482" s="124"/>
      <c r="M482" s="124"/>
      <c r="O482" s="124"/>
    </row>
    <row r="483" ht="15.75" customHeight="1">
      <c r="D483" s="124"/>
      <c r="E483" s="124"/>
      <c r="F483" s="124"/>
      <c r="I483" s="124"/>
      <c r="K483" s="124"/>
      <c r="L483" s="124"/>
      <c r="M483" s="124"/>
      <c r="O483" s="124"/>
    </row>
    <row r="484" ht="15.75" customHeight="1">
      <c r="D484" s="124"/>
      <c r="E484" s="124"/>
      <c r="F484" s="124"/>
      <c r="I484" s="124"/>
      <c r="K484" s="124"/>
      <c r="L484" s="124"/>
      <c r="M484" s="124"/>
      <c r="O484" s="124"/>
    </row>
    <row r="485" ht="15.75" customHeight="1">
      <c r="D485" s="124"/>
      <c r="E485" s="124"/>
      <c r="F485" s="124"/>
      <c r="I485" s="124"/>
      <c r="K485" s="124"/>
      <c r="L485" s="124"/>
      <c r="M485" s="124"/>
      <c r="O485" s="124"/>
    </row>
    <row r="486" ht="15.75" customHeight="1">
      <c r="D486" s="124"/>
      <c r="E486" s="124"/>
      <c r="F486" s="124"/>
      <c r="I486" s="124"/>
      <c r="K486" s="124"/>
      <c r="L486" s="124"/>
      <c r="M486" s="124"/>
      <c r="O486" s="124"/>
    </row>
    <row r="487" ht="15.75" customHeight="1">
      <c r="D487" s="124"/>
      <c r="E487" s="124"/>
      <c r="F487" s="124"/>
      <c r="I487" s="124"/>
      <c r="K487" s="124"/>
      <c r="L487" s="124"/>
      <c r="M487" s="124"/>
      <c r="O487" s="124"/>
    </row>
    <row r="488" ht="15.75" customHeight="1">
      <c r="D488" s="124"/>
      <c r="E488" s="124"/>
      <c r="F488" s="124"/>
      <c r="I488" s="124"/>
      <c r="K488" s="124"/>
      <c r="L488" s="124"/>
      <c r="M488" s="124"/>
      <c r="O488" s="124"/>
    </row>
    <row r="489" ht="15.75" customHeight="1">
      <c r="D489" s="124"/>
      <c r="E489" s="124"/>
      <c r="F489" s="124"/>
      <c r="I489" s="124"/>
      <c r="K489" s="124"/>
      <c r="L489" s="124"/>
      <c r="M489" s="124"/>
      <c r="O489" s="124"/>
    </row>
    <row r="490" ht="15.75" customHeight="1">
      <c r="D490" s="124"/>
      <c r="E490" s="124"/>
      <c r="F490" s="124"/>
      <c r="I490" s="124"/>
      <c r="K490" s="124"/>
      <c r="L490" s="124"/>
      <c r="M490" s="124"/>
      <c r="O490" s="124"/>
    </row>
    <row r="491" ht="15.75" customHeight="1">
      <c r="D491" s="124"/>
      <c r="E491" s="124"/>
      <c r="F491" s="124"/>
      <c r="I491" s="124"/>
      <c r="K491" s="124"/>
      <c r="L491" s="124"/>
      <c r="M491" s="124"/>
      <c r="O491" s="124"/>
    </row>
    <row r="492" ht="15.75" customHeight="1">
      <c r="D492" s="124"/>
      <c r="E492" s="124"/>
      <c r="F492" s="124"/>
      <c r="I492" s="124"/>
      <c r="K492" s="124"/>
      <c r="L492" s="124"/>
      <c r="M492" s="124"/>
      <c r="O492" s="124"/>
    </row>
    <row r="493" ht="15.75" customHeight="1">
      <c r="D493" s="124"/>
      <c r="E493" s="124"/>
      <c r="F493" s="124"/>
      <c r="I493" s="124"/>
      <c r="K493" s="124"/>
      <c r="L493" s="124"/>
      <c r="M493" s="124"/>
      <c r="O493" s="124"/>
    </row>
    <row r="494" ht="15.75" customHeight="1">
      <c r="D494" s="124"/>
      <c r="E494" s="124"/>
      <c r="F494" s="124"/>
      <c r="I494" s="124"/>
      <c r="K494" s="124"/>
      <c r="L494" s="124"/>
      <c r="M494" s="124"/>
      <c r="O494" s="124"/>
    </row>
    <row r="495" ht="15.75" customHeight="1">
      <c r="D495" s="124"/>
      <c r="E495" s="124"/>
      <c r="F495" s="124"/>
      <c r="I495" s="124"/>
      <c r="K495" s="124"/>
      <c r="L495" s="124"/>
      <c r="M495" s="124"/>
      <c r="O495" s="124"/>
    </row>
    <row r="496" ht="15.75" customHeight="1">
      <c r="D496" s="124"/>
      <c r="E496" s="124"/>
      <c r="F496" s="124"/>
      <c r="I496" s="124"/>
      <c r="K496" s="124"/>
      <c r="L496" s="124"/>
      <c r="M496" s="124"/>
      <c r="O496" s="124"/>
    </row>
    <row r="497" ht="15.75" customHeight="1">
      <c r="D497" s="124"/>
      <c r="E497" s="124"/>
      <c r="F497" s="124"/>
      <c r="I497" s="124"/>
      <c r="K497" s="124"/>
      <c r="L497" s="124"/>
      <c r="M497" s="124"/>
      <c r="O497" s="124"/>
    </row>
    <row r="498" ht="15.75" customHeight="1">
      <c r="D498" s="124"/>
      <c r="E498" s="124"/>
      <c r="F498" s="124"/>
      <c r="I498" s="124"/>
      <c r="K498" s="124"/>
      <c r="L498" s="124"/>
      <c r="M498" s="124"/>
      <c r="O498" s="124"/>
    </row>
    <row r="499" ht="15.75" customHeight="1">
      <c r="D499" s="124"/>
      <c r="E499" s="124"/>
      <c r="F499" s="124"/>
      <c r="I499" s="124"/>
      <c r="K499" s="124"/>
      <c r="L499" s="124"/>
      <c r="M499" s="124"/>
      <c r="O499" s="124"/>
    </row>
    <row r="500" ht="15.75" customHeight="1">
      <c r="D500" s="124"/>
      <c r="E500" s="124"/>
      <c r="F500" s="124"/>
      <c r="I500" s="124"/>
      <c r="K500" s="124"/>
      <c r="L500" s="124"/>
      <c r="M500" s="124"/>
      <c r="O500" s="124"/>
    </row>
    <row r="501" ht="15.75" customHeight="1">
      <c r="D501" s="124"/>
      <c r="E501" s="124"/>
      <c r="F501" s="124"/>
      <c r="I501" s="124"/>
      <c r="K501" s="124"/>
      <c r="L501" s="124"/>
      <c r="M501" s="124"/>
      <c r="O501" s="124"/>
    </row>
    <row r="502" ht="15.75" customHeight="1">
      <c r="D502" s="124"/>
      <c r="E502" s="124"/>
      <c r="F502" s="124"/>
      <c r="I502" s="124"/>
      <c r="K502" s="124"/>
      <c r="L502" s="124"/>
      <c r="M502" s="124"/>
      <c r="O502" s="124"/>
    </row>
    <row r="503" ht="15.75" customHeight="1">
      <c r="D503" s="124"/>
      <c r="E503" s="124"/>
      <c r="F503" s="124"/>
      <c r="I503" s="124"/>
      <c r="K503" s="124"/>
      <c r="L503" s="124"/>
      <c r="M503" s="124"/>
      <c r="O503" s="124"/>
    </row>
    <row r="504" ht="15.75" customHeight="1">
      <c r="D504" s="124"/>
      <c r="E504" s="124"/>
      <c r="F504" s="124"/>
      <c r="I504" s="124"/>
      <c r="K504" s="124"/>
      <c r="L504" s="124"/>
      <c r="M504" s="124"/>
      <c r="O504" s="124"/>
    </row>
    <row r="505" ht="15.75" customHeight="1">
      <c r="D505" s="124"/>
      <c r="E505" s="124"/>
      <c r="F505" s="124"/>
      <c r="I505" s="124"/>
      <c r="K505" s="124"/>
      <c r="L505" s="124"/>
      <c r="M505" s="124"/>
      <c r="O505" s="124"/>
    </row>
    <row r="506" ht="15.75" customHeight="1">
      <c r="D506" s="124"/>
      <c r="E506" s="124"/>
      <c r="F506" s="124"/>
      <c r="I506" s="124"/>
      <c r="K506" s="124"/>
      <c r="L506" s="124"/>
      <c r="M506" s="124"/>
      <c r="O506" s="124"/>
    </row>
    <row r="507" ht="15.75" customHeight="1">
      <c r="D507" s="124"/>
      <c r="E507" s="124"/>
      <c r="F507" s="124"/>
      <c r="I507" s="124"/>
      <c r="K507" s="124"/>
      <c r="L507" s="124"/>
      <c r="M507" s="124"/>
      <c r="O507" s="124"/>
    </row>
    <row r="508" ht="15.75" customHeight="1">
      <c r="D508" s="124"/>
      <c r="E508" s="124"/>
      <c r="F508" s="124"/>
      <c r="I508" s="124"/>
      <c r="K508" s="124"/>
      <c r="L508" s="124"/>
      <c r="M508" s="124"/>
      <c r="O508" s="124"/>
    </row>
    <row r="509" ht="15.75" customHeight="1">
      <c r="D509" s="124"/>
      <c r="E509" s="124"/>
      <c r="F509" s="124"/>
      <c r="I509" s="124"/>
      <c r="K509" s="124"/>
      <c r="L509" s="124"/>
      <c r="M509" s="124"/>
      <c r="O509" s="124"/>
    </row>
    <row r="510" ht="15.75" customHeight="1">
      <c r="D510" s="124"/>
      <c r="E510" s="124"/>
      <c r="F510" s="124"/>
      <c r="I510" s="124"/>
      <c r="K510" s="124"/>
      <c r="L510" s="124"/>
      <c r="M510" s="124"/>
      <c r="O510" s="124"/>
    </row>
    <row r="511" ht="15.75" customHeight="1">
      <c r="D511" s="124"/>
      <c r="E511" s="124"/>
      <c r="F511" s="124"/>
      <c r="I511" s="124"/>
      <c r="K511" s="124"/>
      <c r="L511" s="124"/>
      <c r="M511" s="124"/>
      <c r="O511" s="124"/>
    </row>
    <row r="512" ht="15.75" customHeight="1">
      <c r="D512" s="124"/>
      <c r="E512" s="124"/>
      <c r="F512" s="124"/>
      <c r="I512" s="124"/>
      <c r="K512" s="124"/>
      <c r="L512" s="124"/>
      <c r="M512" s="124"/>
      <c r="O512" s="124"/>
    </row>
    <row r="513" ht="15.75" customHeight="1">
      <c r="D513" s="124"/>
      <c r="E513" s="124"/>
      <c r="F513" s="124"/>
      <c r="I513" s="124"/>
      <c r="K513" s="124"/>
      <c r="L513" s="124"/>
      <c r="M513" s="124"/>
      <c r="O513" s="124"/>
    </row>
    <row r="514" ht="15.75" customHeight="1">
      <c r="D514" s="124"/>
      <c r="E514" s="124"/>
      <c r="F514" s="124"/>
      <c r="I514" s="124"/>
      <c r="K514" s="124"/>
      <c r="L514" s="124"/>
      <c r="M514" s="124"/>
      <c r="O514" s="124"/>
    </row>
    <row r="515" ht="15.75" customHeight="1">
      <c r="D515" s="124"/>
      <c r="E515" s="124"/>
      <c r="F515" s="124"/>
      <c r="I515" s="124"/>
      <c r="K515" s="124"/>
      <c r="L515" s="124"/>
      <c r="M515" s="124"/>
      <c r="O515" s="124"/>
    </row>
    <row r="516" ht="15.75" customHeight="1">
      <c r="D516" s="124"/>
      <c r="E516" s="124"/>
      <c r="F516" s="124"/>
      <c r="I516" s="124"/>
      <c r="K516" s="124"/>
      <c r="L516" s="124"/>
      <c r="M516" s="124"/>
      <c r="O516" s="124"/>
    </row>
    <row r="517" ht="15.75" customHeight="1">
      <c r="D517" s="124"/>
      <c r="E517" s="124"/>
      <c r="F517" s="124"/>
      <c r="I517" s="124"/>
      <c r="K517" s="124"/>
      <c r="L517" s="124"/>
      <c r="M517" s="124"/>
      <c r="O517" s="124"/>
    </row>
    <row r="518" ht="15.75" customHeight="1">
      <c r="D518" s="124"/>
      <c r="E518" s="124"/>
      <c r="F518" s="124"/>
      <c r="I518" s="124"/>
      <c r="K518" s="124"/>
      <c r="L518" s="124"/>
      <c r="M518" s="124"/>
      <c r="O518" s="124"/>
    </row>
    <row r="519" ht="15.75" customHeight="1">
      <c r="D519" s="124"/>
      <c r="E519" s="124"/>
      <c r="F519" s="124"/>
      <c r="I519" s="124"/>
      <c r="K519" s="124"/>
      <c r="L519" s="124"/>
      <c r="M519" s="124"/>
      <c r="O519" s="124"/>
    </row>
    <row r="520" ht="15.75" customHeight="1">
      <c r="D520" s="124"/>
      <c r="E520" s="124"/>
      <c r="F520" s="124"/>
      <c r="I520" s="124"/>
      <c r="K520" s="124"/>
      <c r="L520" s="124"/>
      <c r="M520" s="124"/>
      <c r="O520" s="124"/>
    </row>
    <row r="521" ht="15.75" customHeight="1">
      <c r="D521" s="124"/>
      <c r="E521" s="124"/>
      <c r="F521" s="124"/>
      <c r="I521" s="124"/>
      <c r="K521" s="124"/>
      <c r="L521" s="124"/>
      <c r="M521" s="124"/>
      <c r="O521" s="124"/>
    </row>
    <row r="522" ht="15.75" customHeight="1">
      <c r="D522" s="124"/>
      <c r="E522" s="124"/>
      <c r="F522" s="124"/>
      <c r="I522" s="124"/>
      <c r="K522" s="124"/>
      <c r="L522" s="124"/>
      <c r="M522" s="124"/>
      <c r="O522" s="124"/>
    </row>
    <row r="523" ht="15.75" customHeight="1">
      <c r="D523" s="124"/>
      <c r="E523" s="124"/>
      <c r="F523" s="124"/>
      <c r="I523" s="124"/>
      <c r="K523" s="124"/>
      <c r="L523" s="124"/>
      <c r="M523" s="124"/>
      <c r="O523" s="124"/>
    </row>
    <row r="524" ht="15.75" customHeight="1">
      <c r="D524" s="124"/>
      <c r="E524" s="124"/>
      <c r="F524" s="124"/>
      <c r="I524" s="124"/>
      <c r="K524" s="124"/>
      <c r="L524" s="124"/>
      <c r="M524" s="124"/>
      <c r="O524" s="124"/>
    </row>
    <row r="525" ht="15.75" customHeight="1">
      <c r="D525" s="124"/>
      <c r="E525" s="124"/>
      <c r="F525" s="124"/>
      <c r="I525" s="124"/>
      <c r="K525" s="124"/>
      <c r="L525" s="124"/>
      <c r="M525" s="124"/>
      <c r="O525" s="124"/>
    </row>
    <row r="526" ht="15.75" customHeight="1">
      <c r="D526" s="124"/>
      <c r="E526" s="124"/>
      <c r="F526" s="124"/>
      <c r="I526" s="124"/>
      <c r="K526" s="124"/>
      <c r="L526" s="124"/>
      <c r="M526" s="124"/>
      <c r="O526" s="124"/>
    </row>
    <row r="527" ht="15.75" customHeight="1">
      <c r="D527" s="124"/>
      <c r="E527" s="124"/>
      <c r="F527" s="124"/>
      <c r="I527" s="124"/>
      <c r="K527" s="124"/>
      <c r="L527" s="124"/>
      <c r="M527" s="124"/>
      <c r="O527" s="124"/>
    </row>
    <row r="528" ht="15.75" customHeight="1">
      <c r="D528" s="124"/>
      <c r="E528" s="124"/>
      <c r="F528" s="124"/>
      <c r="I528" s="124"/>
      <c r="K528" s="124"/>
      <c r="L528" s="124"/>
      <c r="M528" s="124"/>
      <c r="O528" s="124"/>
    </row>
    <row r="529" ht="15.75" customHeight="1">
      <c r="D529" s="124"/>
      <c r="E529" s="124"/>
      <c r="F529" s="124"/>
      <c r="I529" s="124"/>
      <c r="K529" s="124"/>
      <c r="L529" s="124"/>
      <c r="M529" s="124"/>
      <c r="O529" s="124"/>
    </row>
    <row r="530" ht="15.75" customHeight="1">
      <c r="D530" s="124"/>
      <c r="E530" s="124"/>
      <c r="F530" s="124"/>
      <c r="I530" s="124"/>
      <c r="K530" s="124"/>
      <c r="L530" s="124"/>
      <c r="M530" s="124"/>
      <c r="O530" s="124"/>
    </row>
    <row r="531" ht="15.75" customHeight="1">
      <c r="D531" s="124"/>
      <c r="E531" s="124"/>
      <c r="F531" s="124"/>
      <c r="I531" s="124"/>
      <c r="K531" s="124"/>
      <c r="L531" s="124"/>
      <c r="M531" s="124"/>
      <c r="O531" s="124"/>
    </row>
    <row r="532" ht="15.75" customHeight="1">
      <c r="D532" s="124"/>
      <c r="E532" s="124"/>
      <c r="F532" s="124"/>
      <c r="I532" s="124"/>
      <c r="K532" s="124"/>
      <c r="L532" s="124"/>
      <c r="M532" s="124"/>
      <c r="O532" s="124"/>
    </row>
    <row r="533" ht="15.75" customHeight="1">
      <c r="D533" s="124"/>
      <c r="E533" s="124"/>
      <c r="F533" s="124"/>
      <c r="I533" s="124"/>
      <c r="K533" s="124"/>
      <c r="L533" s="124"/>
      <c r="M533" s="124"/>
      <c r="O533" s="124"/>
    </row>
    <row r="534" ht="15.75" customHeight="1">
      <c r="D534" s="124"/>
      <c r="E534" s="124"/>
      <c r="F534" s="124"/>
      <c r="I534" s="124"/>
      <c r="K534" s="124"/>
      <c r="L534" s="124"/>
      <c r="M534" s="124"/>
      <c r="O534" s="124"/>
    </row>
    <row r="535" ht="15.75" customHeight="1">
      <c r="D535" s="124"/>
      <c r="E535" s="124"/>
      <c r="F535" s="124"/>
      <c r="I535" s="124"/>
      <c r="K535" s="124"/>
      <c r="L535" s="124"/>
      <c r="M535" s="124"/>
      <c r="O535" s="124"/>
    </row>
    <row r="536" ht="15.75" customHeight="1">
      <c r="D536" s="124"/>
      <c r="E536" s="124"/>
      <c r="F536" s="124"/>
      <c r="I536" s="124"/>
      <c r="K536" s="124"/>
      <c r="L536" s="124"/>
      <c r="M536" s="124"/>
      <c r="O536" s="124"/>
    </row>
    <row r="537" ht="15.75" customHeight="1">
      <c r="D537" s="124"/>
      <c r="E537" s="124"/>
      <c r="F537" s="124"/>
      <c r="I537" s="124"/>
      <c r="K537" s="124"/>
      <c r="L537" s="124"/>
      <c r="M537" s="124"/>
      <c r="O537" s="124"/>
    </row>
    <row r="538" ht="15.75" customHeight="1">
      <c r="D538" s="124"/>
      <c r="E538" s="124"/>
      <c r="F538" s="124"/>
      <c r="I538" s="124"/>
      <c r="K538" s="124"/>
      <c r="L538" s="124"/>
      <c r="M538" s="124"/>
      <c r="O538" s="124"/>
    </row>
    <row r="539" ht="15.75" customHeight="1">
      <c r="D539" s="124"/>
      <c r="E539" s="124"/>
      <c r="F539" s="124"/>
      <c r="I539" s="124"/>
      <c r="K539" s="124"/>
      <c r="L539" s="124"/>
      <c r="M539" s="124"/>
      <c r="O539" s="124"/>
    </row>
    <row r="540" ht="15.75" customHeight="1">
      <c r="D540" s="124"/>
      <c r="E540" s="124"/>
      <c r="F540" s="124"/>
      <c r="I540" s="124"/>
      <c r="K540" s="124"/>
      <c r="L540" s="124"/>
      <c r="M540" s="124"/>
      <c r="O540" s="124"/>
    </row>
    <row r="541" ht="15.75" customHeight="1">
      <c r="D541" s="124"/>
      <c r="E541" s="124"/>
      <c r="F541" s="124"/>
      <c r="I541" s="124"/>
      <c r="K541" s="124"/>
      <c r="L541" s="124"/>
      <c r="M541" s="124"/>
      <c r="O541" s="124"/>
    </row>
    <row r="542" ht="15.75" customHeight="1">
      <c r="D542" s="124"/>
      <c r="E542" s="124"/>
      <c r="F542" s="124"/>
      <c r="I542" s="124"/>
      <c r="K542" s="124"/>
      <c r="L542" s="124"/>
      <c r="M542" s="124"/>
      <c r="O542" s="124"/>
    </row>
    <row r="543" ht="15.75" customHeight="1">
      <c r="D543" s="124"/>
      <c r="E543" s="124"/>
      <c r="F543" s="124"/>
      <c r="I543" s="124"/>
      <c r="K543" s="124"/>
      <c r="L543" s="124"/>
      <c r="M543" s="124"/>
      <c r="O543" s="124"/>
    </row>
    <row r="544" ht="15.75" customHeight="1">
      <c r="D544" s="124"/>
      <c r="E544" s="124"/>
      <c r="F544" s="124"/>
      <c r="I544" s="124"/>
      <c r="K544" s="124"/>
      <c r="L544" s="124"/>
      <c r="M544" s="124"/>
      <c r="O544" s="124"/>
    </row>
    <row r="545" ht="15.75" customHeight="1">
      <c r="D545" s="124"/>
      <c r="E545" s="124"/>
      <c r="F545" s="124"/>
      <c r="I545" s="124"/>
      <c r="K545" s="124"/>
      <c r="L545" s="124"/>
      <c r="M545" s="124"/>
      <c r="O545" s="124"/>
    </row>
    <row r="546" ht="15.75" customHeight="1">
      <c r="D546" s="124"/>
      <c r="E546" s="124"/>
      <c r="F546" s="124"/>
      <c r="I546" s="124"/>
      <c r="K546" s="124"/>
      <c r="L546" s="124"/>
      <c r="M546" s="124"/>
      <c r="O546" s="124"/>
    </row>
    <row r="547" ht="15.75" customHeight="1">
      <c r="D547" s="124"/>
      <c r="E547" s="124"/>
      <c r="F547" s="124"/>
      <c r="I547" s="124"/>
      <c r="K547" s="124"/>
      <c r="L547" s="124"/>
      <c r="M547" s="124"/>
      <c r="O547" s="124"/>
    </row>
    <row r="548" ht="15.75" customHeight="1">
      <c r="D548" s="124"/>
      <c r="E548" s="124"/>
      <c r="F548" s="124"/>
      <c r="I548" s="124"/>
      <c r="K548" s="124"/>
      <c r="L548" s="124"/>
      <c r="M548" s="124"/>
      <c r="O548" s="124"/>
    </row>
    <row r="549" ht="15.75" customHeight="1">
      <c r="D549" s="124"/>
      <c r="E549" s="124"/>
      <c r="F549" s="124"/>
      <c r="I549" s="124"/>
      <c r="K549" s="124"/>
      <c r="L549" s="124"/>
      <c r="M549" s="124"/>
      <c r="O549" s="124"/>
    </row>
    <row r="550" ht="15.75" customHeight="1">
      <c r="D550" s="124"/>
      <c r="E550" s="124"/>
      <c r="F550" s="124"/>
      <c r="I550" s="124"/>
      <c r="K550" s="124"/>
      <c r="L550" s="124"/>
      <c r="M550" s="124"/>
      <c r="O550" s="124"/>
    </row>
    <row r="551" ht="15.75" customHeight="1">
      <c r="D551" s="124"/>
      <c r="E551" s="124"/>
      <c r="F551" s="124"/>
      <c r="I551" s="124"/>
      <c r="K551" s="124"/>
      <c r="L551" s="124"/>
      <c r="M551" s="124"/>
      <c r="O551" s="124"/>
    </row>
    <row r="552" ht="15.75" customHeight="1">
      <c r="D552" s="124"/>
      <c r="E552" s="124"/>
      <c r="F552" s="124"/>
      <c r="I552" s="124"/>
      <c r="K552" s="124"/>
      <c r="L552" s="124"/>
      <c r="M552" s="124"/>
      <c r="O552" s="124"/>
    </row>
    <row r="553" ht="15.75" customHeight="1">
      <c r="D553" s="124"/>
      <c r="E553" s="124"/>
      <c r="F553" s="124"/>
      <c r="I553" s="124"/>
      <c r="K553" s="124"/>
      <c r="L553" s="124"/>
      <c r="M553" s="124"/>
      <c r="O553" s="124"/>
    </row>
    <row r="554" ht="15.75" customHeight="1">
      <c r="D554" s="124"/>
      <c r="E554" s="124"/>
      <c r="F554" s="124"/>
      <c r="I554" s="124"/>
      <c r="K554" s="124"/>
      <c r="L554" s="124"/>
      <c r="M554" s="124"/>
      <c r="O554" s="124"/>
    </row>
    <row r="555" ht="15.75" customHeight="1">
      <c r="D555" s="124"/>
      <c r="E555" s="124"/>
      <c r="F555" s="124"/>
      <c r="I555" s="124"/>
      <c r="K555" s="124"/>
      <c r="L555" s="124"/>
      <c r="M555" s="124"/>
      <c r="O555" s="124"/>
    </row>
    <row r="556" ht="15.75" customHeight="1">
      <c r="D556" s="124"/>
      <c r="E556" s="124"/>
      <c r="F556" s="124"/>
      <c r="I556" s="124"/>
      <c r="K556" s="124"/>
      <c r="L556" s="124"/>
      <c r="M556" s="124"/>
      <c r="O556" s="124"/>
    </row>
    <row r="557" ht="15.75" customHeight="1">
      <c r="D557" s="124"/>
      <c r="E557" s="124"/>
      <c r="F557" s="124"/>
      <c r="I557" s="124"/>
      <c r="K557" s="124"/>
      <c r="L557" s="124"/>
      <c r="M557" s="124"/>
      <c r="O557" s="124"/>
    </row>
    <row r="558" ht="15.75" customHeight="1">
      <c r="D558" s="124"/>
      <c r="E558" s="124"/>
      <c r="F558" s="124"/>
      <c r="I558" s="124"/>
      <c r="K558" s="124"/>
      <c r="L558" s="124"/>
      <c r="M558" s="124"/>
      <c r="O558" s="124"/>
    </row>
    <row r="559" ht="15.75" customHeight="1">
      <c r="D559" s="124"/>
      <c r="E559" s="124"/>
      <c r="F559" s="124"/>
      <c r="I559" s="124"/>
      <c r="K559" s="124"/>
      <c r="L559" s="124"/>
      <c r="M559" s="124"/>
      <c r="O559" s="124"/>
    </row>
    <row r="560" ht="15.75" customHeight="1">
      <c r="D560" s="124"/>
      <c r="E560" s="124"/>
      <c r="F560" s="124"/>
      <c r="I560" s="124"/>
      <c r="K560" s="124"/>
      <c r="L560" s="124"/>
      <c r="M560" s="124"/>
      <c r="O560" s="124"/>
    </row>
    <row r="561" ht="15.75" customHeight="1">
      <c r="D561" s="124"/>
      <c r="E561" s="124"/>
      <c r="F561" s="124"/>
      <c r="I561" s="124"/>
      <c r="K561" s="124"/>
      <c r="L561" s="124"/>
      <c r="M561" s="124"/>
      <c r="O561" s="124"/>
    </row>
    <row r="562" ht="15.75" customHeight="1">
      <c r="D562" s="124"/>
      <c r="E562" s="124"/>
      <c r="F562" s="124"/>
      <c r="I562" s="124"/>
      <c r="K562" s="124"/>
      <c r="L562" s="124"/>
      <c r="M562" s="124"/>
      <c r="O562" s="124"/>
    </row>
    <row r="563" ht="15.75" customHeight="1">
      <c r="D563" s="124"/>
      <c r="E563" s="124"/>
      <c r="F563" s="124"/>
      <c r="I563" s="124"/>
      <c r="K563" s="124"/>
      <c r="L563" s="124"/>
      <c r="M563" s="124"/>
      <c r="O563" s="124"/>
    </row>
    <row r="564" ht="15.75" customHeight="1">
      <c r="D564" s="124"/>
      <c r="E564" s="124"/>
      <c r="F564" s="124"/>
      <c r="I564" s="124"/>
      <c r="K564" s="124"/>
      <c r="L564" s="124"/>
      <c r="M564" s="124"/>
      <c r="O564" s="124"/>
    </row>
    <row r="565" ht="15.75" customHeight="1">
      <c r="D565" s="124"/>
      <c r="E565" s="124"/>
      <c r="F565" s="124"/>
      <c r="I565" s="124"/>
      <c r="K565" s="124"/>
      <c r="L565" s="124"/>
      <c r="M565" s="124"/>
      <c r="O565" s="124"/>
    </row>
    <row r="566" ht="15.75" customHeight="1">
      <c r="D566" s="124"/>
      <c r="E566" s="124"/>
      <c r="F566" s="124"/>
      <c r="I566" s="124"/>
      <c r="K566" s="124"/>
      <c r="L566" s="124"/>
      <c r="M566" s="124"/>
      <c r="O566" s="124"/>
    </row>
    <row r="567" ht="15.75" customHeight="1">
      <c r="D567" s="124"/>
      <c r="E567" s="124"/>
      <c r="F567" s="124"/>
      <c r="I567" s="124"/>
      <c r="K567" s="124"/>
      <c r="L567" s="124"/>
      <c r="M567" s="124"/>
      <c r="O567" s="124"/>
    </row>
    <row r="568" ht="15.75" customHeight="1">
      <c r="D568" s="124"/>
      <c r="E568" s="124"/>
      <c r="F568" s="124"/>
      <c r="I568" s="124"/>
      <c r="K568" s="124"/>
      <c r="L568" s="124"/>
      <c r="M568" s="124"/>
      <c r="O568" s="124"/>
    </row>
    <row r="569" ht="15.75" customHeight="1">
      <c r="D569" s="124"/>
      <c r="E569" s="124"/>
      <c r="F569" s="124"/>
      <c r="I569" s="124"/>
      <c r="K569" s="124"/>
      <c r="L569" s="124"/>
      <c r="M569" s="124"/>
      <c r="O569" s="124"/>
    </row>
    <row r="570" ht="15.75" customHeight="1">
      <c r="D570" s="124"/>
      <c r="E570" s="124"/>
      <c r="F570" s="124"/>
      <c r="I570" s="124"/>
      <c r="K570" s="124"/>
      <c r="L570" s="124"/>
      <c r="M570" s="124"/>
      <c r="O570" s="124"/>
    </row>
    <row r="571" ht="15.75" customHeight="1">
      <c r="D571" s="124"/>
      <c r="E571" s="124"/>
      <c r="F571" s="124"/>
      <c r="I571" s="124"/>
      <c r="K571" s="124"/>
      <c r="L571" s="124"/>
      <c r="M571" s="124"/>
      <c r="O571" s="124"/>
    </row>
    <row r="572" ht="15.75" customHeight="1">
      <c r="D572" s="124"/>
      <c r="E572" s="124"/>
      <c r="F572" s="124"/>
      <c r="I572" s="124"/>
      <c r="K572" s="124"/>
      <c r="L572" s="124"/>
      <c r="M572" s="124"/>
      <c r="O572" s="124"/>
    </row>
    <row r="573" ht="15.75" customHeight="1">
      <c r="D573" s="124"/>
      <c r="E573" s="124"/>
      <c r="F573" s="124"/>
      <c r="I573" s="124"/>
      <c r="K573" s="124"/>
      <c r="L573" s="124"/>
      <c r="M573" s="124"/>
      <c r="O573" s="124"/>
    </row>
    <row r="574" ht="15.75" customHeight="1">
      <c r="D574" s="124"/>
      <c r="E574" s="124"/>
      <c r="F574" s="124"/>
      <c r="I574" s="124"/>
      <c r="K574" s="124"/>
      <c r="L574" s="124"/>
      <c r="M574" s="124"/>
      <c r="O574" s="124"/>
    </row>
    <row r="575" ht="15.75" customHeight="1">
      <c r="D575" s="124"/>
      <c r="E575" s="124"/>
      <c r="F575" s="124"/>
      <c r="I575" s="124"/>
      <c r="K575" s="124"/>
      <c r="L575" s="124"/>
      <c r="M575" s="124"/>
      <c r="O575" s="124"/>
    </row>
    <row r="576" ht="15.75" customHeight="1">
      <c r="D576" s="124"/>
      <c r="E576" s="124"/>
      <c r="F576" s="124"/>
      <c r="I576" s="124"/>
      <c r="K576" s="124"/>
      <c r="L576" s="124"/>
      <c r="M576" s="124"/>
      <c r="O576" s="124"/>
    </row>
    <row r="577" ht="15.75" customHeight="1">
      <c r="D577" s="124"/>
      <c r="E577" s="124"/>
      <c r="F577" s="124"/>
      <c r="I577" s="124"/>
      <c r="K577" s="124"/>
      <c r="L577" s="124"/>
      <c r="M577" s="124"/>
      <c r="O577" s="124"/>
    </row>
    <row r="578" ht="15.75" customHeight="1">
      <c r="D578" s="124"/>
      <c r="E578" s="124"/>
      <c r="F578" s="124"/>
      <c r="I578" s="124"/>
      <c r="K578" s="124"/>
      <c r="L578" s="124"/>
      <c r="M578" s="124"/>
      <c r="O578" s="124"/>
    </row>
    <row r="579" ht="15.75" customHeight="1">
      <c r="D579" s="124"/>
      <c r="E579" s="124"/>
      <c r="F579" s="124"/>
      <c r="I579" s="124"/>
      <c r="K579" s="124"/>
      <c r="L579" s="124"/>
      <c r="M579" s="124"/>
      <c r="O579" s="124"/>
    </row>
    <row r="580" ht="15.75" customHeight="1">
      <c r="D580" s="124"/>
      <c r="E580" s="124"/>
      <c r="F580" s="124"/>
      <c r="I580" s="124"/>
      <c r="K580" s="124"/>
      <c r="L580" s="124"/>
      <c r="M580" s="124"/>
      <c r="O580" s="124"/>
    </row>
    <row r="581" ht="15.75" customHeight="1">
      <c r="D581" s="124"/>
      <c r="E581" s="124"/>
      <c r="F581" s="124"/>
      <c r="I581" s="124"/>
      <c r="K581" s="124"/>
      <c r="L581" s="124"/>
      <c r="M581" s="124"/>
      <c r="O581" s="124"/>
    </row>
    <row r="582" ht="15.75" customHeight="1">
      <c r="D582" s="124"/>
      <c r="E582" s="124"/>
      <c r="F582" s="124"/>
      <c r="I582" s="124"/>
      <c r="K582" s="124"/>
      <c r="L582" s="124"/>
      <c r="M582" s="124"/>
      <c r="O582" s="124"/>
    </row>
    <row r="583" ht="15.75" customHeight="1">
      <c r="D583" s="124"/>
      <c r="E583" s="124"/>
      <c r="F583" s="124"/>
      <c r="I583" s="124"/>
      <c r="K583" s="124"/>
      <c r="L583" s="124"/>
      <c r="M583" s="124"/>
      <c r="O583" s="124"/>
    </row>
    <row r="584" ht="15.75" customHeight="1">
      <c r="D584" s="124"/>
      <c r="E584" s="124"/>
      <c r="F584" s="124"/>
      <c r="I584" s="124"/>
      <c r="K584" s="124"/>
      <c r="L584" s="124"/>
      <c r="M584" s="124"/>
      <c r="O584" s="124"/>
    </row>
    <row r="585" ht="15.75" customHeight="1">
      <c r="D585" s="124"/>
      <c r="E585" s="124"/>
      <c r="F585" s="124"/>
      <c r="I585" s="124"/>
      <c r="K585" s="124"/>
      <c r="L585" s="124"/>
      <c r="M585" s="124"/>
      <c r="O585" s="124"/>
    </row>
    <row r="586" ht="15.75" customHeight="1">
      <c r="D586" s="124"/>
      <c r="E586" s="124"/>
      <c r="F586" s="124"/>
      <c r="I586" s="124"/>
      <c r="K586" s="124"/>
      <c r="L586" s="124"/>
      <c r="M586" s="124"/>
      <c r="O586" s="124"/>
    </row>
    <row r="587" ht="15.75" customHeight="1">
      <c r="D587" s="124"/>
      <c r="E587" s="124"/>
      <c r="F587" s="124"/>
      <c r="I587" s="124"/>
      <c r="K587" s="124"/>
      <c r="L587" s="124"/>
      <c r="M587" s="124"/>
      <c r="O587" s="124"/>
    </row>
    <row r="588" ht="15.75" customHeight="1">
      <c r="D588" s="124"/>
      <c r="E588" s="124"/>
      <c r="F588" s="124"/>
      <c r="I588" s="124"/>
      <c r="K588" s="124"/>
      <c r="L588" s="124"/>
      <c r="M588" s="124"/>
      <c r="O588" s="124"/>
    </row>
    <row r="589" ht="15.75" customHeight="1">
      <c r="D589" s="124"/>
      <c r="E589" s="124"/>
      <c r="F589" s="124"/>
      <c r="I589" s="124"/>
      <c r="K589" s="124"/>
      <c r="L589" s="124"/>
      <c r="M589" s="124"/>
      <c r="O589" s="124"/>
    </row>
    <row r="590" ht="15.75" customHeight="1">
      <c r="D590" s="124"/>
      <c r="E590" s="124"/>
      <c r="F590" s="124"/>
      <c r="I590" s="124"/>
      <c r="K590" s="124"/>
      <c r="L590" s="124"/>
      <c r="M590" s="124"/>
      <c r="O590" s="124"/>
    </row>
    <row r="591" ht="15.75" customHeight="1">
      <c r="D591" s="124"/>
      <c r="E591" s="124"/>
      <c r="F591" s="124"/>
      <c r="I591" s="124"/>
      <c r="K591" s="124"/>
      <c r="L591" s="124"/>
      <c r="M591" s="124"/>
      <c r="O591" s="124"/>
    </row>
    <row r="592" ht="15.75" customHeight="1">
      <c r="D592" s="124"/>
      <c r="E592" s="124"/>
      <c r="F592" s="124"/>
      <c r="I592" s="124"/>
      <c r="K592" s="124"/>
      <c r="L592" s="124"/>
      <c r="M592" s="124"/>
      <c r="O592" s="124"/>
    </row>
    <row r="593" ht="15.75" customHeight="1">
      <c r="D593" s="124"/>
      <c r="E593" s="124"/>
      <c r="F593" s="124"/>
      <c r="I593" s="124"/>
      <c r="K593" s="124"/>
      <c r="L593" s="124"/>
      <c r="M593" s="124"/>
      <c r="O593" s="124"/>
    </row>
    <row r="594" ht="15.75" customHeight="1">
      <c r="D594" s="124"/>
      <c r="E594" s="124"/>
      <c r="F594" s="124"/>
      <c r="I594" s="124"/>
      <c r="K594" s="124"/>
      <c r="L594" s="124"/>
      <c r="M594" s="124"/>
      <c r="O594" s="124"/>
    </row>
    <row r="595" ht="15.75" customHeight="1">
      <c r="D595" s="124"/>
      <c r="E595" s="124"/>
      <c r="F595" s="124"/>
      <c r="I595" s="124"/>
      <c r="K595" s="124"/>
      <c r="L595" s="124"/>
      <c r="M595" s="124"/>
      <c r="O595" s="124"/>
    </row>
    <row r="596" ht="15.75" customHeight="1">
      <c r="D596" s="124"/>
      <c r="E596" s="124"/>
      <c r="F596" s="124"/>
      <c r="I596" s="124"/>
      <c r="K596" s="124"/>
      <c r="L596" s="124"/>
      <c r="M596" s="124"/>
      <c r="O596" s="124"/>
    </row>
    <row r="597" ht="15.75" customHeight="1">
      <c r="D597" s="124"/>
      <c r="E597" s="124"/>
      <c r="F597" s="124"/>
      <c r="I597" s="124"/>
      <c r="K597" s="124"/>
      <c r="L597" s="124"/>
      <c r="M597" s="124"/>
      <c r="O597" s="124"/>
    </row>
    <row r="598" ht="15.75" customHeight="1">
      <c r="D598" s="124"/>
      <c r="E598" s="124"/>
      <c r="F598" s="124"/>
      <c r="I598" s="124"/>
      <c r="K598" s="124"/>
      <c r="L598" s="124"/>
      <c r="M598" s="124"/>
      <c r="O598" s="124"/>
    </row>
    <row r="599" ht="15.75" customHeight="1">
      <c r="D599" s="124"/>
      <c r="E599" s="124"/>
      <c r="F599" s="124"/>
      <c r="I599" s="124"/>
      <c r="K599" s="124"/>
      <c r="L599" s="124"/>
      <c r="M599" s="124"/>
      <c r="O599" s="124"/>
    </row>
    <row r="600" ht="15.75" customHeight="1">
      <c r="D600" s="124"/>
      <c r="E600" s="124"/>
      <c r="F600" s="124"/>
      <c r="I600" s="124"/>
      <c r="K600" s="124"/>
      <c r="L600" s="124"/>
      <c r="M600" s="124"/>
      <c r="O600" s="124"/>
    </row>
    <row r="601" ht="15.75" customHeight="1">
      <c r="D601" s="124"/>
      <c r="E601" s="124"/>
      <c r="F601" s="124"/>
      <c r="I601" s="124"/>
      <c r="K601" s="124"/>
      <c r="L601" s="124"/>
      <c r="M601" s="124"/>
      <c r="O601" s="124"/>
    </row>
    <row r="602" ht="15.75" customHeight="1">
      <c r="D602" s="124"/>
      <c r="E602" s="124"/>
      <c r="F602" s="124"/>
      <c r="I602" s="124"/>
      <c r="K602" s="124"/>
      <c r="L602" s="124"/>
      <c r="M602" s="124"/>
      <c r="O602" s="124"/>
    </row>
    <row r="603" ht="15.75" customHeight="1">
      <c r="D603" s="124"/>
      <c r="E603" s="124"/>
      <c r="F603" s="124"/>
      <c r="I603" s="124"/>
      <c r="K603" s="124"/>
      <c r="L603" s="124"/>
      <c r="M603" s="124"/>
      <c r="O603" s="124"/>
    </row>
    <row r="604" ht="15.75" customHeight="1">
      <c r="D604" s="124"/>
      <c r="E604" s="124"/>
      <c r="F604" s="124"/>
      <c r="I604" s="124"/>
      <c r="K604" s="124"/>
      <c r="L604" s="124"/>
      <c r="M604" s="124"/>
      <c r="O604" s="124"/>
    </row>
    <row r="605" ht="15.75" customHeight="1">
      <c r="D605" s="124"/>
      <c r="E605" s="124"/>
      <c r="F605" s="124"/>
      <c r="I605" s="124"/>
      <c r="K605" s="124"/>
      <c r="L605" s="124"/>
      <c r="M605" s="124"/>
      <c r="O605" s="124"/>
    </row>
    <row r="606" ht="15.75" customHeight="1">
      <c r="D606" s="124"/>
      <c r="E606" s="124"/>
      <c r="F606" s="124"/>
      <c r="I606" s="124"/>
      <c r="K606" s="124"/>
      <c r="L606" s="124"/>
      <c r="M606" s="124"/>
      <c r="O606" s="124"/>
    </row>
    <row r="607" ht="15.75" customHeight="1">
      <c r="D607" s="124"/>
      <c r="E607" s="124"/>
      <c r="F607" s="124"/>
      <c r="I607" s="124"/>
      <c r="K607" s="124"/>
      <c r="L607" s="124"/>
      <c r="M607" s="124"/>
      <c r="O607" s="124"/>
    </row>
    <row r="608" ht="15.75" customHeight="1">
      <c r="D608" s="124"/>
      <c r="E608" s="124"/>
      <c r="F608" s="124"/>
      <c r="I608" s="124"/>
      <c r="K608" s="124"/>
      <c r="L608" s="124"/>
      <c r="M608" s="124"/>
      <c r="O608" s="124"/>
    </row>
    <row r="609" ht="15.75" customHeight="1">
      <c r="D609" s="124"/>
      <c r="E609" s="124"/>
      <c r="F609" s="124"/>
      <c r="I609" s="124"/>
      <c r="K609" s="124"/>
      <c r="L609" s="124"/>
      <c r="M609" s="124"/>
      <c r="O609" s="124"/>
    </row>
    <row r="610" ht="15.75" customHeight="1">
      <c r="D610" s="124"/>
      <c r="E610" s="124"/>
      <c r="F610" s="124"/>
      <c r="I610" s="124"/>
      <c r="K610" s="124"/>
      <c r="L610" s="124"/>
      <c r="M610" s="124"/>
      <c r="O610" s="124"/>
    </row>
    <row r="611" ht="15.75" customHeight="1">
      <c r="D611" s="124"/>
      <c r="E611" s="124"/>
      <c r="F611" s="124"/>
      <c r="I611" s="124"/>
      <c r="K611" s="124"/>
      <c r="L611" s="124"/>
      <c r="M611" s="124"/>
      <c r="O611" s="124"/>
    </row>
    <row r="612" ht="15.75" customHeight="1">
      <c r="D612" s="124"/>
      <c r="E612" s="124"/>
      <c r="F612" s="124"/>
      <c r="I612" s="124"/>
      <c r="K612" s="124"/>
      <c r="L612" s="124"/>
      <c r="M612" s="124"/>
      <c r="O612" s="124"/>
    </row>
    <row r="613" ht="15.75" customHeight="1">
      <c r="D613" s="124"/>
      <c r="E613" s="124"/>
      <c r="F613" s="124"/>
      <c r="I613" s="124"/>
      <c r="K613" s="124"/>
      <c r="L613" s="124"/>
      <c r="M613" s="124"/>
      <c r="O613" s="124"/>
    </row>
    <row r="614" ht="15.75" customHeight="1">
      <c r="D614" s="124"/>
      <c r="E614" s="124"/>
      <c r="F614" s="124"/>
      <c r="I614" s="124"/>
      <c r="K614" s="124"/>
      <c r="L614" s="124"/>
      <c r="M614" s="124"/>
      <c r="O614" s="124"/>
    </row>
    <row r="615" ht="15.75" customHeight="1">
      <c r="D615" s="124"/>
      <c r="E615" s="124"/>
      <c r="F615" s="124"/>
      <c r="I615" s="124"/>
      <c r="K615" s="124"/>
      <c r="L615" s="124"/>
      <c r="M615" s="124"/>
      <c r="O615" s="124"/>
    </row>
    <row r="616" ht="15.75" customHeight="1">
      <c r="D616" s="124"/>
      <c r="E616" s="124"/>
      <c r="F616" s="124"/>
      <c r="I616" s="124"/>
      <c r="K616" s="124"/>
      <c r="L616" s="124"/>
      <c r="M616" s="124"/>
      <c r="O616" s="124"/>
    </row>
    <row r="617" ht="15.75" customHeight="1">
      <c r="D617" s="124"/>
      <c r="E617" s="124"/>
      <c r="F617" s="124"/>
      <c r="I617" s="124"/>
      <c r="K617" s="124"/>
      <c r="L617" s="124"/>
      <c r="M617" s="124"/>
      <c r="O617" s="124"/>
    </row>
    <row r="618" ht="15.75" customHeight="1">
      <c r="D618" s="124"/>
      <c r="E618" s="124"/>
      <c r="F618" s="124"/>
      <c r="I618" s="124"/>
      <c r="K618" s="124"/>
      <c r="L618" s="124"/>
      <c r="M618" s="124"/>
      <c r="O618" s="124"/>
    </row>
    <row r="619" ht="15.75" customHeight="1">
      <c r="D619" s="124"/>
      <c r="E619" s="124"/>
      <c r="F619" s="124"/>
      <c r="I619" s="124"/>
      <c r="K619" s="124"/>
      <c r="L619" s="124"/>
      <c r="M619" s="124"/>
      <c r="O619" s="124"/>
    </row>
    <row r="620" ht="15.75" customHeight="1">
      <c r="D620" s="124"/>
      <c r="E620" s="124"/>
      <c r="F620" s="124"/>
      <c r="I620" s="124"/>
      <c r="K620" s="124"/>
      <c r="L620" s="124"/>
      <c r="M620" s="124"/>
      <c r="O620" s="124"/>
    </row>
    <row r="621" ht="15.75" customHeight="1">
      <c r="D621" s="124"/>
      <c r="E621" s="124"/>
      <c r="F621" s="124"/>
      <c r="I621" s="124"/>
      <c r="K621" s="124"/>
      <c r="L621" s="124"/>
      <c r="M621" s="124"/>
      <c r="O621" s="124"/>
    </row>
    <row r="622" ht="15.75" customHeight="1">
      <c r="D622" s="124"/>
      <c r="E622" s="124"/>
      <c r="F622" s="124"/>
      <c r="I622" s="124"/>
      <c r="K622" s="124"/>
      <c r="L622" s="124"/>
      <c r="M622" s="124"/>
      <c r="O622" s="124"/>
    </row>
    <row r="623" ht="15.75" customHeight="1">
      <c r="D623" s="124"/>
      <c r="E623" s="124"/>
      <c r="F623" s="124"/>
      <c r="I623" s="124"/>
      <c r="K623" s="124"/>
      <c r="L623" s="124"/>
      <c r="M623" s="124"/>
      <c r="O623" s="124"/>
    </row>
    <row r="624" ht="15.75" customHeight="1">
      <c r="D624" s="124"/>
      <c r="E624" s="124"/>
      <c r="F624" s="124"/>
      <c r="I624" s="124"/>
      <c r="K624" s="124"/>
      <c r="L624" s="124"/>
      <c r="M624" s="124"/>
      <c r="O624" s="124"/>
    </row>
    <row r="625" ht="15.75" customHeight="1">
      <c r="D625" s="124"/>
      <c r="E625" s="124"/>
      <c r="F625" s="124"/>
      <c r="I625" s="124"/>
      <c r="K625" s="124"/>
      <c r="L625" s="124"/>
      <c r="M625" s="124"/>
      <c r="O625" s="124"/>
    </row>
    <row r="626" ht="15.75" customHeight="1">
      <c r="D626" s="124"/>
      <c r="E626" s="124"/>
      <c r="F626" s="124"/>
      <c r="I626" s="124"/>
      <c r="K626" s="124"/>
      <c r="L626" s="124"/>
      <c r="M626" s="124"/>
      <c r="O626" s="124"/>
    </row>
    <row r="627" ht="15.75" customHeight="1">
      <c r="D627" s="124"/>
      <c r="E627" s="124"/>
      <c r="F627" s="124"/>
      <c r="I627" s="124"/>
      <c r="K627" s="124"/>
      <c r="L627" s="124"/>
      <c r="M627" s="124"/>
      <c r="O627" s="124"/>
    </row>
    <row r="628" ht="15.75" customHeight="1">
      <c r="D628" s="124"/>
      <c r="E628" s="124"/>
      <c r="F628" s="124"/>
      <c r="I628" s="124"/>
      <c r="K628" s="124"/>
      <c r="L628" s="124"/>
      <c r="M628" s="124"/>
      <c r="O628" s="124"/>
    </row>
    <row r="629" ht="15.75" customHeight="1">
      <c r="D629" s="124"/>
      <c r="E629" s="124"/>
      <c r="F629" s="124"/>
      <c r="I629" s="124"/>
      <c r="K629" s="124"/>
      <c r="L629" s="124"/>
      <c r="M629" s="124"/>
      <c r="O629" s="124"/>
    </row>
    <row r="630" ht="15.75" customHeight="1">
      <c r="D630" s="124"/>
      <c r="E630" s="124"/>
      <c r="F630" s="124"/>
      <c r="I630" s="124"/>
      <c r="K630" s="124"/>
      <c r="L630" s="124"/>
      <c r="M630" s="124"/>
      <c r="O630" s="124"/>
    </row>
    <row r="631" ht="15.75" customHeight="1">
      <c r="D631" s="124"/>
      <c r="E631" s="124"/>
      <c r="F631" s="124"/>
      <c r="I631" s="124"/>
      <c r="K631" s="124"/>
      <c r="L631" s="124"/>
      <c r="M631" s="124"/>
      <c r="O631" s="124"/>
    </row>
    <row r="632" ht="15.75" customHeight="1">
      <c r="D632" s="124"/>
      <c r="E632" s="124"/>
      <c r="F632" s="124"/>
      <c r="I632" s="124"/>
      <c r="K632" s="124"/>
      <c r="L632" s="124"/>
      <c r="M632" s="124"/>
      <c r="O632" s="124"/>
    </row>
    <row r="633" ht="15.75" customHeight="1">
      <c r="D633" s="124"/>
      <c r="E633" s="124"/>
      <c r="F633" s="124"/>
      <c r="I633" s="124"/>
      <c r="K633" s="124"/>
      <c r="L633" s="124"/>
      <c r="M633" s="124"/>
      <c r="O633" s="124"/>
    </row>
    <row r="634" ht="15.75" customHeight="1">
      <c r="D634" s="124"/>
      <c r="E634" s="124"/>
      <c r="F634" s="124"/>
      <c r="I634" s="124"/>
      <c r="K634" s="124"/>
      <c r="L634" s="124"/>
      <c r="M634" s="124"/>
      <c r="O634" s="124"/>
    </row>
    <row r="635" ht="15.75" customHeight="1">
      <c r="D635" s="124"/>
      <c r="E635" s="124"/>
      <c r="F635" s="124"/>
      <c r="I635" s="124"/>
      <c r="K635" s="124"/>
      <c r="L635" s="124"/>
      <c r="M635" s="124"/>
      <c r="O635" s="124"/>
    </row>
    <row r="636" ht="15.75" customHeight="1">
      <c r="D636" s="124"/>
      <c r="E636" s="124"/>
      <c r="F636" s="124"/>
      <c r="I636" s="124"/>
      <c r="K636" s="124"/>
      <c r="L636" s="124"/>
      <c r="M636" s="124"/>
      <c r="O636" s="124"/>
    </row>
    <row r="637" ht="15.75" customHeight="1">
      <c r="D637" s="124"/>
      <c r="E637" s="124"/>
      <c r="F637" s="124"/>
      <c r="I637" s="124"/>
      <c r="K637" s="124"/>
      <c r="L637" s="124"/>
      <c r="M637" s="124"/>
      <c r="O637" s="124"/>
    </row>
    <row r="638" ht="15.75" customHeight="1">
      <c r="D638" s="124"/>
      <c r="E638" s="124"/>
      <c r="F638" s="124"/>
      <c r="I638" s="124"/>
      <c r="K638" s="124"/>
      <c r="L638" s="124"/>
      <c r="M638" s="124"/>
      <c r="O638" s="124"/>
    </row>
    <row r="639" ht="15.75" customHeight="1">
      <c r="D639" s="124"/>
      <c r="E639" s="124"/>
      <c r="F639" s="124"/>
      <c r="I639" s="124"/>
      <c r="K639" s="124"/>
      <c r="L639" s="124"/>
      <c r="M639" s="124"/>
      <c r="O639" s="124"/>
    </row>
    <row r="640" ht="15.75" customHeight="1">
      <c r="D640" s="124"/>
      <c r="E640" s="124"/>
      <c r="F640" s="124"/>
      <c r="I640" s="124"/>
      <c r="K640" s="124"/>
      <c r="L640" s="124"/>
      <c r="M640" s="124"/>
      <c r="O640" s="124"/>
    </row>
    <row r="641" ht="15.75" customHeight="1">
      <c r="D641" s="124"/>
      <c r="E641" s="124"/>
      <c r="F641" s="124"/>
      <c r="I641" s="124"/>
      <c r="K641" s="124"/>
      <c r="L641" s="124"/>
      <c r="M641" s="124"/>
      <c r="O641" s="124"/>
    </row>
    <row r="642" ht="15.75" customHeight="1">
      <c r="D642" s="124"/>
      <c r="E642" s="124"/>
      <c r="F642" s="124"/>
      <c r="I642" s="124"/>
      <c r="K642" s="124"/>
      <c r="L642" s="124"/>
      <c r="M642" s="124"/>
      <c r="O642" s="124"/>
    </row>
    <row r="643" ht="15.75" customHeight="1">
      <c r="D643" s="124"/>
      <c r="E643" s="124"/>
      <c r="F643" s="124"/>
      <c r="I643" s="124"/>
      <c r="K643" s="124"/>
      <c r="L643" s="124"/>
      <c r="M643" s="124"/>
      <c r="O643" s="124"/>
    </row>
    <row r="644" ht="15.75" customHeight="1">
      <c r="D644" s="124"/>
      <c r="E644" s="124"/>
      <c r="F644" s="124"/>
      <c r="I644" s="124"/>
      <c r="K644" s="124"/>
      <c r="L644" s="124"/>
      <c r="M644" s="124"/>
      <c r="O644" s="124"/>
    </row>
    <row r="645" ht="15.75" customHeight="1">
      <c r="D645" s="124"/>
      <c r="E645" s="124"/>
      <c r="F645" s="124"/>
      <c r="I645" s="124"/>
      <c r="K645" s="124"/>
      <c r="L645" s="124"/>
      <c r="M645" s="124"/>
      <c r="O645" s="124"/>
    </row>
    <row r="646" ht="15.75" customHeight="1">
      <c r="D646" s="124"/>
      <c r="E646" s="124"/>
      <c r="F646" s="124"/>
      <c r="I646" s="124"/>
      <c r="K646" s="124"/>
      <c r="L646" s="124"/>
      <c r="M646" s="124"/>
      <c r="O646" s="124"/>
    </row>
    <row r="647" ht="15.75" customHeight="1">
      <c r="D647" s="124"/>
      <c r="E647" s="124"/>
      <c r="F647" s="124"/>
      <c r="I647" s="124"/>
      <c r="K647" s="124"/>
      <c r="L647" s="124"/>
      <c r="M647" s="124"/>
      <c r="O647" s="124"/>
    </row>
    <row r="648" ht="15.75" customHeight="1">
      <c r="D648" s="124"/>
      <c r="E648" s="124"/>
      <c r="F648" s="124"/>
      <c r="I648" s="124"/>
      <c r="K648" s="124"/>
      <c r="L648" s="124"/>
      <c r="M648" s="124"/>
      <c r="O648" s="124"/>
    </row>
    <row r="649" ht="15.75" customHeight="1">
      <c r="D649" s="124"/>
      <c r="E649" s="124"/>
      <c r="F649" s="124"/>
      <c r="I649" s="124"/>
      <c r="K649" s="124"/>
      <c r="L649" s="124"/>
      <c r="M649" s="124"/>
      <c r="O649" s="124"/>
    </row>
    <row r="650" ht="15.75" customHeight="1">
      <c r="D650" s="124"/>
      <c r="E650" s="124"/>
      <c r="F650" s="124"/>
      <c r="I650" s="124"/>
      <c r="K650" s="124"/>
      <c r="L650" s="124"/>
      <c r="M650" s="124"/>
      <c r="O650" s="124"/>
    </row>
    <row r="651" ht="15.75" customHeight="1">
      <c r="D651" s="124"/>
      <c r="E651" s="124"/>
      <c r="F651" s="124"/>
      <c r="I651" s="124"/>
      <c r="K651" s="124"/>
      <c r="L651" s="124"/>
      <c r="M651" s="124"/>
      <c r="O651" s="124"/>
    </row>
    <row r="652" ht="15.75" customHeight="1">
      <c r="D652" s="124"/>
      <c r="E652" s="124"/>
      <c r="F652" s="124"/>
      <c r="I652" s="124"/>
      <c r="K652" s="124"/>
      <c r="L652" s="124"/>
      <c r="M652" s="124"/>
      <c r="O652" s="124"/>
    </row>
    <row r="653" ht="15.75" customHeight="1">
      <c r="D653" s="124"/>
      <c r="E653" s="124"/>
      <c r="F653" s="124"/>
      <c r="I653" s="124"/>
      <c r="K653" s="124"/>
      <c r="L653" s="124"/>
      <c r="M653" s="124"/>
      <c r="O653" s="124"/>
    </row>
    <row r="654" ht="15.75" customHeight="1">
      <c r="D654" s="124"/>
      <c r="E654" s="124"/>
      <c r="F654" s="124"/>
      <c r="I654" s="124"/>
      <c r="K654" s="124"/>
      <c r="L654" s="124"/>
      <c r="M654" s="124"/>
      <c r="O654" s="124"/>
    </row>
    <row r="655" ht="15.75" customHeight="1">
      <c r="D655" s="124"/>
      <c r="E655" s="124"/>
      <c r="F655" s="124"/>
      <c r="I655" s="124"/>
      <c r="K655" s="124"/>
      <c r="L655" s="124"/>
      <c r="M655" s="124"/>
      <c r="O655" s="124"/>
    </row>
    <row r="656" ht="15.75" customHeight="1">
      <c r="D656" s="124"/>
      <c r="E656" s="124"/>
      <c r="F656" s="124"/>
      <c r="I656" s="124"/>
      <c r="K656" s="124"/>
      <c r="L656" s="124"/>
      <c r="M656" s="124"/>
      <c r="O656" s="124"/>
    </row>
    <row r="657" ht="15.75" customHeight="1">
      <c r="D657" s="124"/>
      <c r="E657" s="124"/>
      <c r="F657" s="124"/>
      <c r="I657" s="124"/>
      <c r="K657" s="124"/>
      <c r="L657" s="124"/>
      <c r="M657" s="124"/>
      <c r="O657" s="124"/>
    </row>
    <row r="658" ht="15.75" customHeight="1">
      <c r="D658" s="124"/>
      <c r="E658" s="124"/>
      <c r="F658" s="124"/>
      <c r="I658" s="124"/>
      <c r="K658" s="124"/>
      <c r="L658" s="124"/>
      <c r="M658" s="124"/>
      <c r="O658" s="124"/>
    </row>
    <row r="659" ht="15.75" customHeight="1">
      <c r="D659" s="124"/>
      <c r="E659" s="124"/>
      <c r="F659" s="124"/>
      <c r="I659" s="124"/>
      <c r="K659" s="124"/>
      <c r="L659" s="124"/>
      <c r="M659" s="124"/>
      <c r="O659" s="124"/>
    </row>
    <row r="660" ht="15.75" customHeight="1">
      <c r="D660" s="124"/>
      <c r="E660" s="124"/>
      <c r="F660" s="124"/>
      <c r="I660" s="124"/>
      <c r="K660" s="124"/>
      <c r="L660" s="124"/>
      <c r="M660" s="124"/>
      <c r="O660" s="124"/>
    </row>
    <row r="661" ht="15.75" customHeight="1">
      <c r="D661" s="124"/>
      <c r="E661" s="124"/>
      <c r="F661" s="124"/>
      <c r="I661" s="124"/>
      <c r="K661" s="124"/>
      <c r="L661" s="124"/>
      <c r="M661" s="124"/>
      <c r="O661" s="124"/>
    </row>
    <row r="662" ht="15.75" customHeight="1">
      <c r="D662" s="124"/>
      <c r="E662" s="124"/>
      <c r="F662" s="124"/>
      <c r="I662" s="124"/>
      <c r="K662" s="124"/>
      <c r="L662" s="124"/>
      <c r="M662" s="124"/>
      <c r="O662" s="124"/>
    </row>
    <row r="663" ht="15.75" customHeight="1">
      <c r="D663" s="124"/>
      <c r="E663" s="124"/>
      <c r="F663" s="124"/>
      <c r="I663" s="124"/>
      <c r="K663" s="124"/>
      <c r="L663" s="124"/>
      <c r="M663" s="124"/>
      <c r="O663" s="124"/>
    </row>
    <row r="664" ht="15.75" customHeight="1">
      <c r="D664" s="124"/>
      <c r="E664" s="124"/>
      <c r="F664" s="124"/>
      <c r="I664" s="124"/>
      <c r="K664" s="124"/>
      <c r="L664" s="124"/>
      <c r="M664" s="124"/>
      <c r="O664" s="124"/>
    </row>
    <row r="665" ht="15.75" customHeight="1">
      <c r="D665" s="124"/>
      <c r="E665" s="124"/>
      <c r="F665" s="124"/>
      <c r="I665" s="124"/>
      <c r="K665" s="124"/>
      <c r="L665" s="124"/>
      <c r="M665" s="124"/>
      <c r="O665" s="124"/>
    </row>
    <row r="666" ht="15.75" customHeight="1">
      <c r="D666" s="124"/>
      <c r="E666" s="124"/>
      <c r="F666" s="124"/>
      <c r="I666" s="124"/>
      <c r="K666" s="124"/>
      <c r="L666" s="124"/>
      <c r="M666" s="124"/>
      <c r="O666" s="124"/>
    </row>
    <row r="667" ht="15.75" customHeight="1">
      <c r="D667" s="124"/>
      <c r="E667" s="124"/>
      <c r="F667" s="124"/>
      <c r="I667" s="124"/>
      <c r="K667" s="124"/>
      <c r="L667" s="124"/>
      <c r="M667" s="124"/>
      <c r="O667" s="124"/>
    </row>
    <row r="668" ht="15.75" customHeight="1">
      <c r="D668" s="124"/>
      <c r="E668" s="124"/>
      <c r="F668" s="124"/>
      <c r="I668" s="124"/>
      <c r="K668" s="124"/>
      <c r="L668" s="124"/>
      <c r="M668" s="124"/>
      <c r="O668" s="124"/>
    </row>
    <row r="669" ht="15.75" customHeight="1">
      <c r="D669" s="124"/>
      <c r="E669" s="124"/>
      <c r="F669" s="124"/>
      <c r="I669" s="124"/>
      <c r="K669" s="124"/>
      <c r="L669" s="124"/>
      <c r="M669" s="124"/>
      <c r="O669" s="124"/>
    </row>
    <row r="670" ht="15.75" customHeight="1">
      <c r="D670" s="124"/>
      <c r="E670" s="124"/>
      <c r="F670" s="124"/>
      <c r="I670" s="124"/>
      <c r="K670" s="124"/>
      <c r="L670" s="124"/>
      <c r="M670" s="124"/>
      <c r="O670" s="124"/>
    </row>
    <row r="671" ht="15.75" customHeight="1">
      <c r="D671" s="124"/>
      <c r="E671" s="124"/>
      <c r="F671" s="124"/>
      <c r="I671" s="124"/>
      <c r="K671" s="124"/>
      <c r="L671" s="124"/>
      <c r="M671" s="124"/>
      <c r="O671" s="124"/>
    </row>
    <row r="672" ht="15.75" customHeight="1">
      <c r="D672" s="124"/>
      <c r="E672" s="124"/>
      <c r="F672" s="124"/>
      <c r="I672" s="124"/>
      <c r="K672" s="124"/>
      <c r="L672" s="124"/>
      <c r="M672" s="124"/>
      <c r="O672" s="124"/>
    </row>
    <row r="673" ht="15.75" customHeight="1">
      <c r="D673" s="124"/>
      <c r="E673" s="124"/>
      <c r="F673" s="124"/>
      <c r="I673" s="124"/>
      <c r="K673" s="124"/>
      <c r="L673" s="124"/>
      <c r="M673" s="124"/>
      <c r="O673" s="124"/>
    </row>
    <row r="674" ht="15.75" customHeight="1">
      <c r="D674" s="124"/>
      <c r="E674" s="124"/>
      <c r="F674" s="124"/>
      <c r="I674" s="124"/>
      <c r="K674" s="124"/>
      <c r="L674" s="124"/>
      <c r="M674" s="124"/>
      <c r="O674" s="124"/>
    </row>
    <row r="675" ht="15.75" customHeight="1">
      <c r="D675" s="124"/>
      <c r="E675" s="124"/>
      <c r="F675" s="124"/>
      <c r="I675" s="124"/>
      <c r="K675" s="124"/>
      <c r="L675" s="124"/>
      <c r="M675" s="124"/>
      <c r="O675" s="124"/>
    </row>
    <row r="676" ht="15.75" customHeight="1">
      <c r="D676" s="124"/>
      <c r="E676" s="124"/>
      <c r="F676" s="124"/>
      <c r="I676" s="124"/>
      <c r="K676" s="124"/>
      <c r="L676" s="124"/>
      <c r="M676" s="124"/>
      <c r="O676" s="124"/>
    </row>
    <row r="677" ht="15.75" customHeight="1">
      <c r="D677" s="124"/>
      <c r="E677" s="124"/>
      <c r="F677" s="124"/>
      <c r="I677" s="124"/>
      <c r="K677" s="124"/>
      <c r="L677" s="124"/>
      <c r="M677" s="124"/>
      <c r="O677" s="124"/>
    </row>
    <row r="678" ht="15.75" customHeight="1">
      <c r="D678" s="124"/>
      <c r="E678" s="124"/>
      <c r="F678" s="124"/>
      <c r="I678" s="124"/>
      <c r="K678" s="124"/>
      <c r="L678" s="124"/>
      <c r="M678" s="124"/>
      <c r="O678" s="124"/>
    </row>
    <row r="679" ht="15.75" customHeight="1">
      <c r="D679" s="124"/>
      <c r="E679" s="124"/>
      <c r="F679" s="124"/>
      <c r="I679" s="124"/>
      <c r="K679" s="124"/>
      <c r="L679" s="124"/>
      <c r="M679" s="124"/>
      <c r="O679" s="124"/>
    </row>
    <row r="680" ht="15.75" customHeight="1">
      <c r="D680" s="124"/>
      <c r="E680" s="124"/>
      <c r="F680" s="124"/>
      <c r="I680" s="124"/>
      <c r="K680" s="124"/>
      <c r="L680" s="124"/>
      <c r="M680" s="124"/>
      <c r="O680" s="124"/>
    </row>
    <row r="681" ht="15.75" customHeight="1">
      <c r="D681" s="124"/>
      <c r="E681" s="124"/>
      <c r="F681" s="124"/>
      <c r="I681" s="124"/>
      <c r="K681" s="124"/>
      <c r="L681" s="124"/>
      <c r="M681" s="124"/>
      <c r="O681" s="124"/>
    </row>
    <row r="682" ht="15.75" customHeight="1">
      <c r="D682" s="124"/>
      <c r="E682" s="124"/>
      <c r="F682" s="124"/>
      <c r="I682" s="124"/>
      <c r="K682" s="124"/>
      <c r="L682" s="124"/>
      <c r="M682" s="124"/>
      <c r="O682" s="124"/>
    </row>
    <row r="683" ht="15.75" customHeight="1">
      <c r="D683" s="124"/>
      <c r="E683" s="124"/>
      <c r="F683" s="124"/>
      <c r="I683" s="124"/>
      <c r="K683" s="124"/>
      <c r="L683" s="124"/>
      <c r="M683" s="124"/>
      <c r="O683" s="124"/>
    </row>
    <row r="684" ht="15.75" customHeight="1">
      <c r="D684" s="124"/>
      <c r="E684" s="124"/>
      <c r="F684" s="124"/>
      <c r="I684" s="124"/>
      <c r="K684" s="124"/>
      <c r="L684" s="124"/>
      <c r="M684" s="124"/>
      <c r="O684" s="124"/>
    </row>
    <row r="685" ht="15.75" customHeight="1">
      <c r="D685" s="124"/>
      <c r="E685" s="124"/>
      <c r="F685" s="124"/>
      <c r="I685" s="124"/>
      <c r="K685" s="124"/>
      <c r="L685" s="124"/>
      <c r="M685" s="124"/>
      <c r="O685" s="124"/>
    </row>
    <row r="686" ht="15.75" customHeight="1">
      <c r="D686" s="124"/>
      <c r="E686" s="124"/>
      <c r="F686" s="124"/>
      <c r="I686" s="124"/>
      <c r="K686" s="124"/>
      <c r="L686" s="124"/>
      <c r="M686" s="124"/>
      <c r="O686" s="124"/>
    </row>
    <row r="687" ht="15.75" customHeight="1">
      <c r="D687" s="124"/>
      <c r="E687" s="124"/>
      <c r="F687" s="124"/>
      <c r="I687" s="124"/>
      <c r="K687" s="124"/>
      <c r="L687" s="124"/>
      <c r="M687" s="124"/>
      <c r="O687" s="124"/>
    </row>
    <row r="688" ht="15.75" customHeight="1">
      <c r="D688" s="124"/>
      <c r="E688" s="124"/>
      <c r="F688" s="124"/>
      <c r="I688" s="124"/>
      <c r="K688" s="124"/>
      <c r="L688" s="124"/>
      <c r="M688" s="124"/>
      <c r="O688" s="124"/>
    </row>
    <row r="689" ht="15.75" customHeight="1">
      <c r="D689" s="124"/>
      <c r="E689" s="124"/>
      <c r="F689" s="124"/>
      <c r="I689" s="124"/>
      <c r="K689" s="124"/>
      <c r="L689" s="124"/>
      <c r="M689" s="124"/>
      <c r="O689" s="124"/>
    </row>
    <row r="690" ht="15.75" customHeight="1">
      <c r="D690" s="124"/>
      <c r="E690" s="124"/>
      <c r="F690" s="124"/>
      <c r="I690" s="124"/>
      <c r="K690" s="124"/>
      <c r="L690" s="124"/>
      <c r="M690" s="124"/>
      <c r="O690" s="124"/>
    </row>
    <row r="691" ht="15.75" customHeight="1">
      <c r="D691" s="124"/>
      <c r="E691" s="124"/>
      <c r="F691" s="124"/>
      <c r="I691" s="124"/>
      <c r="K691" s="124"/>
      <c r="L691" s="124"/>
      <c r="M691" s="124"/>
      <c r="O691" s="124"/>
    </row>
    <row r="692" ht="15.75" customHeight="1">
      <c r="D692" s="124"/>
      <c r="E692" s="124"/>
      <c r="F692" s="124"/>
      <c r="I692" s="124"/>
      <c r="K692" s="124"/>
      <c r="L692" s="124"/>
      <c r="M692" s="124"/>
      <c r="O692" s="124"/>
    </row>
    <row r="693" ht="15.75" customHeight="1">
      <c r="D693" s="124"/>
      <c r="E693" s="124"/>
      <c r="F693" s="124"/>
      <c r="I693" s="124"/>
      <c r="K693" s="124"/>
      <c r="L693" s="124"/>
      <c r="M693" s="124"/>
      <c r="O693" s="124"/>
    </row>
    <row r="694" ht="15.75" customHeight="1">
      <c r="D694" s="124"/>
      <c r="E694" s="124"/>
      <c r="F694" s="124"/>
      <c r="I694" s="124"/>
      <c r="K694" s="124"/>
      <c r="L694" s="124"/>
      <c r="M694" s="124"/>
      <c r="O694" s="124"/>
    </row>
    <row r="695" ht="15.75" customHeight="1">
      <c r="D695" s="124"/>
      <c r="E695" s="124"/>
      <c r="F695" s="124"/>
      <c r="I695" s="124"/>
      <c r="K695" s="124"/>
      <c r="L695" s="124"/>
      <c r="M695" s="124"/>
      <c r="O695" s="124"/>
    </row>
    <row r="696" ht="15.75" customHeight="1">
      <c r="D696" s="124"/>
      <c r="E696" s="124"/>
      <c r="F696" s="124"/>
      <c r="I696" s="124"/>
      <c r="K696" s="124"/>
      <c r="L696" s="124"/>
      <c r="M696" s="124"/>
      <c r="O696" s="124"/>
    </row>
    <row r="697" ht="15.75" customHeight="1">
      <c r="D697" s="124"/>
      <c r="E697" s="124"/>
      <c r="F697" s="124"/>
      <c r="I697" s="124"/>
      <c r="K697" s="124"/>
      <c r="L697" s="124"/>
      <c r="M697" s="124"/>
      <c r="O697" s="124"/>
    </row>
    <row r="698" ht="15.75" customHeight="1">
      <c r="D698" s="124"/>
      <c r="E698" s="124"/>
      <c r="F698" s="124"/>
      <c r="I698" s="124"/>
      <c r="K698" s="124"/>
      <c r="L698" s="124"/>
      <c r="M698" s="124"/>
      <c r="O698" s="124"/>
    </row>
    <row r="699" ht="15.75" customHeight="1">
      <c r="D699" s="124"/>
      <c r="E699" s="124"/>
      <c r="F699" s="124"/>
      <c r="I699" s="124"/>
      <c r="K699" s="124"/>
      <c r="L699" s="124"/>
      <c r="M699" s="124"/>
      <c r="O699" s="124"/>
    </row>
    <row r="700" ht="15.75" customHeight="1">
      <c r="D700" s="124"/>
      <c r="E700" s="124"/>
      <c r="F700" s="124"/>
      <c r="I700" s="124"/>
      <c r="K700" s="124"/>
      <c r="L700" s="124"/>
      <c r="M700" s="124"/>
      <c r="O700" s="124"/>
    </row>
    <row r="701" ht="15.75" customHeight="1">
      <c r="D701" s="124"/>
      <c r="E701" s="124"/>
      <c r="F701" s="124"/>
      <c r="I701" s="124"/>
      <c r="K701" s="124"/>
      <c r="L701" s="124"/>
      <c r="M701" s="124"/>
      <c r="O701" s="124"/>
    </row>
    <row r="702" ht="15.75" customHeight="1">
      <c r="D702" s="124"/>
      <c r="E702" s="124"/>
      <c r="F702" s="124"/>
      <c r="I702" s="124"/>
      <c r="K702" s="124"/>
      <c r="L702" s="124"/>
      <c r="M702" s="124"/>
      <c r="O702" s="124"/>
    </row>
    <row r="703" ht="15.75" customHeight="1">
      <c r="D703" s="124"/>
      <c r="E703" s="124"/>
      <c r="F703" s="124"/>
      <c r="I703" s="124"/>
      <c r="K703" s="124"/>
      <c r="L703" s="124"/>
      <c r="M703" s="124"/>
      <c r="O703" s="124"/>
    </row>
    <row r="704" ht="15.75" customHeight="1">
      <c r="D704" s="124"/>
      <c r="E704" s="124"/>
      <c r="F704" s="124"/>
      <c r="I704" s="124"/>
      <c r="K704" s="124"/>
      <c r="L704" s="124"/>
      <c r="M704" s="124"/>
      <c r="O704" s="124"/>
    </row>
    <row r="705" ht="15.75" customHeight="1">
      <c r="D705" s="124"/>
      <c r="E705" s="124"/>
      <c r="F705" s="124"/>
      <c r="I705" s="124"/>
      <c r="K705" s="124"/>
      <c r="L705" s="124"/>
      <c r="M705" s="124"/>
      <c r="O705" s="124"/>
    </row>
    <row r="706" ht="15.75" customHeight="1">
      <c r="D706" s="124"/>
      <c r="E706" s="124"/>
      <c r="F706" s="124"/>
      <c r="I706" s="124"/>
      <c r="K706" s="124"/>
      <c r="L706" s="124"/>
      <c r="M706" s="124"/>
      <c r="O706" s="124"/>
    </row>
    <row r="707" ht="15.75" customHeight="1">
      <c r="D707" s="124"/>
      <c r="E707" s="124"/>
      <c r="F707" s="124"/>
      <c r="I707" s="124"/>
      <c r="K707" s="124"/>
      <c r="L707" s="124"/>
      <c r="M707" s="124"/>
      <c r="O707" s="124"/>
    </row>
    <row r="708" ht="15.75" customHeight="1">
      <c r="D708" s="124"/>
      <c r="E708" s="124"/>
      <c r="F708" s="124"/>
      <c r="I708" s="124"/>
      <c r="K708" s="124"/>
      <c r="L708" s="124"/>
      <c r="M708" s="124"/>
      <c r="O708" s="124"/>
    </row>
    <row r="709" ht="15.75" customHeight="1">
      <c r="D709" s="124"/>
      <c r="E709" s="124"/>
      <c r="F709" s="124"/>
      <c r="I709" s="124"/>
      <c r="K709" s="124"/>
      <c r="L709" s="124"/>
      <c r="M709" s="124"/>
      <c r="O709" s="124"/>
    </row>
    <row r="710" ht="15.75" customHeight="1">
      <c r="D710" s="124"/>
      <c r="E710" s="124"/>
      <c r="F710" s="124"/>
      <c r="I710" s="124"/>
      <c r="K710" s="124"/>
      <c r="L710" s="124"/>
      <c r="M710" s="124"/>
      <c r="O710" s="124"/>
    </row>
    <row r="711" ht="15.75" customHeight="1">
      <c r="D711" s="124"/>
      <c r="E711" s="124"/>
      <c r="F711" s="124"/>
      <c r="I711" s="124"/>
      <c r="K711" s="124"/>
      <c r="L711" s="124"/>
      <c r="M711" s="124"/>
      <c r="O711" s="124"/>
    </row>
    <row r="712" ht="15.75" customHeight="1">
      <c r="D712" s="124"/>
      <c r="E712" s="124"/>
      <c r="F712" s="124"/>
      <c r="I712" s="124"/>
      <c r="K712" s="124"/>
      <c r="L712" s="124"/>
      <c r="M712" s="124"/>
      <c r="O712" s="124"/>
    </row>
    <row r="713" ht="15.75" customHeight="1">
      <c r="D713" s="124"/>
      <c r="E713" s="124"/>
      <c r="F713" s="124"/>
      <c r="I713" s="124"/>
      <c r="K713" s="124"/>
      <c r="L713" s="124"/>
      <c r="M713" s="124"/>
      <c r="O713" s="124"/>
    </row>
    <row r="714" ht="15.75" customHeight="1">
      <c r="D714" s="124"/>
      <c r="E714" s="124"/>
      <c r="F714" s="124"/>
      <c r="I714" s="124"/>
      <c r="K714" s="124"/>
      <c r="L714" s="124"/>
      <c r="M714" s="124"/>
      <c r="O714" s="124"/>
    </row>
    <row r="715" ht="15.75" customHeight="1">
      <c r="D715" s="124"/>
      <c r="E715" s="124"/>
      <c r="F715" s="124"/>
      <c r="I715" s="124"/>
      <c r="K715" s="124"/>
      <c r="L715" s="124"/>
      <c r="M715" s="124"/>
      <c r="O715" s="124"/>
    </row>
    <row r="716" ht="15.75" customHeight="1">
      <c r="D716" s="124"/>
      <c r="E716" s="124"/>
      <c r="F716" s="124"/>
      <c r="I716" s="124"/>
      <c r="K716" s="124"/>
      <c r="L716" s="124"/>
      <c r="M716" s="124"/>
      <c r="O716" s="124"/>
    </row>
    <row r="717" ht="15.75" customHeight="1">
      <c r="D717" s="124"/>
      <c r="E717" s="124"/>
      <c r="F717" s="124"/>
      <c r="I717" s="124"/>
      <c r="K717" s="124"/>
      <c r="L717" s="124"/>
      <c r="M717" s="124"/>
      <c r="O717" s="124"/>
    </row>
    <row r="718" ht="15.75" customHeight="1">
      <c r="D718" s="124"/>
      <c r="E718" s="124"/>
      <c r="F718" s="124"/>
      <c r="I718" s="124"/>
      <c r="K718" s="124"/>
      <c r="L718" s="124"/>
      <c r="M718" s="124"/>
      <c r="O718" s="124"/>
    </row>
    <row r="719" ht="15.75" customHeight="1">
      <c r="D719" s="124"/>
      <c r="E719" s="124"/>
      <c r="F719" s="124"/>
      <c r="I719" s="124"/>
      <c r="K719" s="124"/>
      <c r="L719" s="124"/>
      <c r="M719" s="124"/>
      <c r="O719" s="124"/>
    </row>
    <row r="720" ht="15.75" customHeight="1">
      <c r="D720" s="124"/>
      <c r="E720" s="124"/>
      <c r="F720" s="124"/>
      <c r="I720" s="124"/>
      <c r="K720" s="124"/>
      <c r="L720" s="124"/>
      <c r="M720" s="124"/>
      <c r="O720" s="124"/>
    </row>
    <row r="721" ht="15.75" customHeight="1">
      <c r="D721" s="124"/>
      <c r="E721" s="124"/>
      <c r="F721" s="124"/>
      <c r="I721" s="124"/>
      <c r="K721" s="124"/>
      <c r="L721" s="124"/>
      <c r="M721" s="124"/>
      <c r="O721" s="124"/>
    </row>
    <row r="722" ht="15.75" customHeight="1">
      <c r="D722" s="124"/>
      <c r="E722" s="124"/>
      <c r="F722" s="124"/>
      <c r="I722" s="124"/>
      <c r="K722" s="124"/>
      <c r="L722" s="124"/>
      <c r="M722" s="124"/>
      <c r="O722" s="124"/>
    </row>
    <row r="723" ht="15.75" customHeight="1">
      <c r="D723" s="124"/>
      <c r="E723" s="124"/>
      <c r="F723" s="124"/>
      <c r="I723" s="124"/>
      <c r="K723" s="124"/>
      <c r="L723" s="124"/>
      <c r="M723" s="124"/>
      <c r="O723" s="124"/>
    </row>
    <row r="724" ht="15.75" customHeight="1">
      <c r="D724" s="124"/>
      <c r="E724" s="124"/>
      <c r="F724" s="124"/>
      <c r="I724" s="124"/>
      <c r="K724" s="124"/>
      <c r="L724" s="124"/>
      <c r="M724" s="124"/>
      <c r="O724" s="124"/>
    </row>
    <row r="725" ht="15.75" customHeight="1">
      <c r="D725" s="124"/>
      <c r="E725" s="124"/>
      <c r="F725" s="124"/>
      <c r="I725" s="124"/>
      <c r="K725" s="124"/>
      <c r="L725" s="124"/>
      <c r="M725" s="124"/>
      <c r="O725" s="124"/>
    </row>
    <row r="726" ht="15.75" customHeight="1">
      <c r="D726" s="124"/>
      <c r="E726" s="124"/>
      <c r="F726" s="124"/>
      <c r="I726" s="124"/>
      <c r="K726" s="124"/>
      <c r="L726" s="124"/>
      <c r="M726" s="124"/>
      <c r="O726" s="124"/>
    </row>
    <row r="727" ht="15.75" customHeight="1">
      <c r="D727" s="124"/>
      <c r="E727" s="124"/>
      <c r="F727" s="124"/>
      <c r="I727" s="124"/>
      <c r="K727" s="124"/>
      <c r="L727" s="124"/>
      <c r="M727" s="124"/>
      <c r="O727" s="124"/>
    </row>
    <row r="728" ht="15.75" customHeight="1">
      <c r="D728" s="124"/>
      <c r="E728" s="124"/>
      <c r="F728" s="124"/>
      <c r="I728" s="124"/>
      <c r="K728" s="124"/>
      <c r="L728" s="124"/>
      <c r="M728" s="124"/>
      <c r="O728" s="124"/>
    </row>
    <row r="729" ht="15.75" customHeight="1">
      <c r="D729" s="124"/>
      <c r="E729" s="124"/>
      <c r="F729" s="124"/>
      <c r="I729" s="124"/>
      <c r="K729" s="124"/>
      <c r="L729" s="124"/>
      <c r="M729" s="124"/>
      <c r="O729" s="124"/>
    </row>
    <row r="730" ht="15.75" customHeight="1">
      <c r="D730" s="124"/>
      <c r="E730" s="124"/>
      <c r="F730" s="124"/>
      <c r="I730" s="124"/>
      <c r="K730" s="124"/>
      <c r="L730" s="124"/>
      <c r="M730" s="124"/>
      <c r="O730" s="124"/>
    </row>
    <row r="731" ht="15.75" customHeight="1">
      <c r="D731" s="124"/>
      <c r="E731" s="124"/>
      <c r="F731" s="124"/>
      <c r="I731" s="124"/>
      <c r="K731" s="124"/>
      <c r="L731" s="124"/>
      <c r="M731" s="124"/>
      <c r="O731" s="124"/>
    </row>
    <row r="732" ht="15.75" customHeight="1">
      <c r="D732" s="124"/>
      <c r="E732" s="124"/>
      <c r="F732" s="124"/>
      <c r="I732" s="124"/>
      <c r="K732" s="124"/>
      <c r="L732" s="124"/>
      <c r="M732" s="124"/>
      <c r="O732" s="124"/>
    </row>
    <row r="733" ht="15.75" customHeight="1">
      <c r="D733" s="124"/>
      <c r="E733" s="124"/>
      <c r="F733" s="124"/>
      <c r="I733" s="124"/>
      <c r="K733" s="124"/>
      <c r="L733" s="124"/>
      <c r="M733" s="124"/>
      <c r="O733" s="124"/>
    </row>
    <row r="734" ht="15.75" customHeight="1">
      <c r="D734" s="124"/>
      <c r="E734" s="124"/>
      <c r="F734" s="124"/>
      <c r="I734" s="124"/>
      <c r="K734" s="124"/>
      <c r="L734" s="124"/>
      <c r="M734" s="124"/>
      <c r="O734" s="124"/>
    </row>
    <row r="735" ht="15.75" customHeight="1">
      <c r="D735" s="124"/>
      <c r="E735" s="124"/>
      <c r="F735" s="124"/>
      <c r="I735" s="124"/>
      <c r="K735" s="124"/>
      <c r="L735" s="124"/>
      <c r="M735" s="124"/>
      <c r="O735" s="124"/>
    </row>
    <row r="736" ht="15.75" customHeight="1">
      <c r="D736" s="124"/>
      <c r="E736" s="124"/>
      <c r="F736" s="124"/>
      <c r="I736" s="124"/>
      <c r="K736" s="124"/>
      <c r="L736" s="124"/>
      <c r="M736" s="124"/>
      <c r="O736" s="124"/>
    </row>
    <row r="737" ht="15.75" customHeight="1">
      <c r="D737" s="124"/>
      <c r="E737" s="124"/>
      <c r="F737" s="124"/>
      <c r="I737" s="124"/>
      <c r="K737" s="124"/>
      <c r="L737" s="124"/>
      <c r="M737" s="124"/>
      <c r="O737" s="124"/>
    </row>
    <row r="738" ht="15.75" customHeight="1">
      <c r="D738" s="124"/>
      <c r="E738" s="124"/>
      <c r="F738" s="124"/>
      <c r="I738" s="124"/>
      <c r="K738" s="124"/>
      <c r="L738" s="124"/>
      <c r="M738" s="124"/>
      <c r="O738" s="124"/>
    </row>
    <row r="739" ht="15.75" customHeight="1">
      <c r="D739" s="124"/>
      <c r="E739" s="124"/>
      <c r="F739" s="124"/>
      <c r="I739" s="124"/>
      <c r="K739" s="124"/>
      <c r="L739" s="124"/>
      <c r="M739" s="124"/>
      <c r="O739" s="124"/>
    </row>
    <row r="740" ht="15.75" customHeight="1">
      <c r="D740" s="124"/>
      <c r="E740" s="124"/>
      <c r="F740" s="124"/>
      <c r="I740" s="124"/>
      <c r="K740" s="124"/>
      <c r="L740" s="124"/>
      <c r="M740" s="124"/>
      <c r="O740" s="124"/>
    </row>
    <row r="741" ht="15.75" customHeight="1">
      <c r="D741" s="124"/>
      <c r="E741" s="124"/>
      <c r="F741" s="124"/>
      <c r="I741" s="124"/>
      <c r="K741" s="124"/>
      <c r="L741" s="124"/>
      <c r="M741" s="124"/>
      <c r="O741" s="124"/>
    </row>
    <row r="742" ht="15.75" customHeight="1">
      <c r="D742" s="124"/>
      <c r="E742" s="124"/>
      <c r="F742" s="124"/>
      <c r="I742" s="124"/>
      <c r="K742" s="124"/>
      <c r="L742" s="124"/>
      <c r="M742" s="124"/>
      <c r="O742" s="124"/>
    </row>
    <row r="743" ht="15.75" customHeight="1">
      <c r="D743" s="124"/>
      <c r="E743" s="124"/>
      <c r="F743" s="124"/>
      <c r="I743" s="124"/>
      <c r="K743" s="124"/>
      <c r="L743" s="124"/>
      <c r="M743" s="124"/>
      <c r="O743" s="124"/>
    </row>
    <row r="744" ht="15.75" customHeight="1">
      <c r="D744" s="124"/>
      <c r="E744" s="124"/>
      <c r="F744" s="124"/>
      <c r="I744" s="124"/>
      <c r="K744" s="124"/>
      <c r="L744" s="124"/>
      <c r="M744" s="124"/>
      <c r="O744" s="124"/>
    </row>
    <row r="745" ht="15.75" customHeight="1">
      <c r="D745" s="124"/>
      <c r="E745" s="124"/>
      <c r="F745" s="124"/>
      <c r="I745" s="124"/>
      <c r="K745" s="124"/>
      <c r="L745" s="124"/>
      <c r="M745" s="124"/>
      <c r="O745" s="124"/>
    </row>
    <row r="746" ht="15.75" customHeight="1">
      <c r="D746" s="124"/>
      <c r="E746" s="124"/>
      <c r="F746" s="124"/>
      <c r="I746" s="124"/>
      <c r="K746" s="124"/>
      <c r="L746" s="124"/>
      <c r="M746" s="124"/>
      <c r="O746" s="124"/>
    </row>
    <row r="747" ht="15.75" customHeight="1">
      <c r="D747" s="124"/>
      <c r="E747" s="124"/>
      <c r="F747" s="124"/>
      <c r="I747" s="124"/>
      <c r="K747" s="124"/>
      <c r="L747" s="124"/>
      <c r="M747" s="124"/>
      <c r="O747" s="124"/>
    </row>
    <row r="748" ht="15.75" customHeight="1">
      <c r="D748" s="124"/>
      <c r="E748" s="124"/>
      <c r="F748" s="124"/>
      <c r="I748" s="124"/>
      <c r="K748" s="124"/>
      <c r="L748" s="124"/>
      <c r="M748" s="124"/>
      <c r="O748" s="124"/>
    </row>
    <row r="749" ht="15.75" customHeight="1">
      <c r="D749" s="124"/>
      <c r="E749" s="124"/>
      <c r="F749" s="124"/>
      <c r="I749" s="124"/>
      <c r="K749" s="124"/>
      <c r="L749" s="124"/>
      <c r="M749" s="124"/>
      <c r="O749" s="124"/>
    </row>
    <row r="750" ht="15.75" customHeight="1">
      <c r="D750" s="124"/>
      <c r="E750" s="124"/>
      <c r="F750" s="124"/>
      <c r="I750" s="124"/>
      <c r="K750" s="124"/>
      <c r="L750" s="124"/>
      <c r="M750" s="124"/>
      <c r="O750" s="124"/>
    </row>
    <row r="751" ht="15.75" customHeight="1">
      <c r="D751" s="124"/>
      <c r="E751" s="124"/>
      <c r="F751" s="124"/>
      <c r="I751" s="124"/>
      <c r="K751" s="124"/>
      <c r="L751" s="124"/>
      <c r="M751" s="124"/>
      <c r="O751" s="124"/>
    </row>
    <row r="752" ht="15.75" customHeight="1">
      <c r="D752" s="124"/>
      <c r="E752" s="124"/>
      <c r="F752" s="124"/>
      <c r="I752" s="124"/>
      <c r="K752" s="124"/>
      <c r="L752" s="124"/>
      <c r="M752" s="124"/>
      <c r="O752" s="124"/>
    </row>
    <row r="753" ht="15.75" customHeight="1">
      <c r="D753" s="124"/>
      <c r="E753" s="124"/>
      <c r="F753" s="124"/>
      <c r="I753" s="124"/>
      <c r="K753" s="124"/>
      <c r="L753" s="124"/>
      <c r="M753" s="124"/>
      <c r="O753" s="124"/>
    </row>
    <row r="754" ht="15.75" customHeight="1">
      <c r="D754" s="124"/>
      <c r="E754" s="124"/>
      <c r="F754" s="124"/>
      <c r="I754" s="124"/>
      <c r="K754" s="124"/>
      <c r="L754" s="124"/>
      <c r="M754" s="124"/>
      <c r="O754" s="124"/>
    </row>
    <row r="755" ht="15.75" customHeight="1">
      <c r="D755" s="124"/>
      <c r="E755" s="124"/>
      <c r="F755" s="124"/>
      <c r="I755" s="124"/>
      <c r="K755" s="124"/>
      <c r="L755" s="124"/>
      <c r="M755" s="124"/>
      <c r="O755" s="124"/>
    </row>
    <row r="756" ht="15.75" customHeight="1">
      <c r="D756" s="124"/>
      <c r="E756" s="124"/>
      <c r="F756" s="124"/>
      <c r="I756" s="124"/>
      <c r="K756" s="124"/>
      <c r="L756" s="124"/>
      <c r="M756" s="124"/>
      <c r="O756" s="124"/>
    </row>
    <row r="757" ht="15.75" customHeight="1">
      <c r="D757" s="124"/>
      <c r="E757" s="124"/>
      <c r="F757" s="124"/>
      <c r="I757" s="124"/>
      <c r="K757" s="124"/>
      <c r="L757" s="124"/>
      <c r="M757" s="124"/>
      <c r="O757" s="124"/>
    </row>
    <row r="758" ht="15.75" customHeight="1">
      <c r="D758" s="124"/>
      <c r="E758" s="124"/>
      <c r="F758" s="124"/>
      <c r="I758" s="124"/>
      <c r="K758" s="124"/>
      <c r="L758" s="124"/>
      <c r="M758" s="124"/>
      <c r="O758" s="124"/>
    </row>
    <row r="759" ht="15.75" customHeight="1">
      <c r="D759" s="124"/>
      <c r="E759" s="124"/>
      <c r="F759" s="124"/>
      <c r="I759" s="124"/>
      <c r="K759" s="124"/>
      <c r="L759" s="124"/>
      <c r="M759" s="124"/>
      <c r="O759" s="124"/>
    </row>
    <row r="760" ht="15.75" customHeight="1">
      <c r="D760" s="124"/>
      <c r="E760" s="124"/>
      <c r="F760" s="124"/>
      <c r="I760" s="124"/>
      <c r="K760" s="124"/>
      <c r="L760" s="124"/>
      <c r="M760" s="124"/>
      <c r="O760" s="124"/>
    </row>
    <row r="761" ht="15.75" customHeight="1">
      <c r="D761" s="124"/>
      <c r="E761" s="124"/>
      <c r="F761" s="124"/>
      <c r="I761" s="124"/>
      <c r="K761" s="124"/>
      <c r="L761" s="124"/>
      <c r="M761" s="124"/>
      <c r="O761" s="124"/>
    </row>
    <row r="762" ht="15.75" customHeight="1">
      <c r="D762" s="124"/>
      <c r="E762" s="124"/>
      <c r="F762" s="124"/>
      <c r="I762" s="124"/>
      <c r="K762" s="124"/>
      <c r="L762" s="124"/>
      <c r="M762" s="124"/>
      <c r="O762" s="124"/>
    </row>
    <row r="763" ht="15.75" customHeight="1">
      <c r="D763" s="124"/>
      <c r="E763" s="124"/>
      <c r="F763" s="124"/>
      <c r="I763" s="124"/>
      <c r="K763" s="124"/>
      <c r="L763" s="124"/>
      <c r="M763" s="124"/>
      <c r="O763" s="124"/>
    </row>
    <row r="764" ht="15.75" customHeight="1">
      <c r="D764" s="124"/>
      <c r="E764" s="124"/>
      <c r="F764" s="124"/>
      <c r="I764" s="124"/>
      <c r="K764" s="124"/>
      <c r="L764" s="124"/>
      <c r="M764" s="124"/>
      <c r="O764" s="124"/>
    </row>
    <row r="765" ht="15.75" customHeight="1">
      <c r="D765" s="124"/>
      <c r="E765" s="124"/>
      <c r="F765" s="124"/>
      <c r="I765" s="124"/>
      <c r="K765" s="124"/>
      <c r="L765" s="124"/>
      <c r="M765" s="124"/>
      <c r="O765" s="124"/>
    </row>
    <row r="766" ht="15.75" customHeight="1">
      <c r="D766" s="124"/>
      <c r="E766" s="124"/>
      <c r="F766" s="124"/>
      <c r="I766" s="124"/>
      <c r="K766" s="124"/>
      <c r="L766" s="124"/>
      <c r="M766" s="124"/>
      <c r="O766" s="124"/>
    </row>
    <row r="767" ht="15.75" customHeight="1">
      <c r="D767" s="124"/>
      <c r="E767" s="124"/>
      <c r="F767" s="124"/>
      <c r="I767" s="124"/>
      <c r="K767" s="124"/>
      <c r="L767" s="124"/>
      <c r="M767" s="124"/>
      <c r="O767" s="124"/>
    </row>
    <row r="768" ht="15.75" customHeight="1">
      <c r="D768" s="124"/>
      <c r="E768" s="124"/>
      <c r="F768" s="124"/>
      <c r="I768" s="124"/>
      <c r="K768" s="124"/>
      <c r="L768" s="124"/>
      <c r="M768" s="124"/>
      <c r="O768" s="124"/>
    </row>
    <row r="769" ht="15.75" customHeight="1">
      <c r="D769" s="124"/>
      <c r="E769" s="124"/>
      <c r="F769" s="124"/>
      <c r="I769" s="124"/>
      <c r="K769" s="124"/>
      <c r="L769" s="124"/>
      <c r="M769" s="124"/>
      <c r="O769" s="124"/>
    </row>
    <row r="770" ht="15.75" customHeight="1">
      <c r="D770" s="124"/>
      <c r="E770" s="124"/>
      <c r="F770" s="124"/>
      <c r="I770" s="124"/>
      <c r="K770" s="124"/>
      <c r="L770" s="124"/>
      <c r="M770" s="124"/>
      <c r="O770" s="124"/>
    </row>
    <row r="771" ht="15.75" customHeight="1">
      <c r="D771" s="124"/>
      <c r="E771" s="124"/>
      <c r="F771" s="124"/>
      <c r="I771" s="124"/>
      <c r="K771" s="124"/>
      <c r="L771" s="124"/>
      <c r="M771" s="124"/>
      <c r="O771" s="124"/>
    </row>
    <row r="772" ht="15.75" customHeight="1">
      <c r="D772" s="124"/>
      <c r="E772" s="124"/>
      <c r="F772" s="124"/>
      <c r="I772" s="124"/>
      <c r="K772" s="124"/>
      <c r="L772" s="124"/>
      <c r="M772" s="124"/>
      <c r="O772" s="124"/>
    </row>
    <row r="773" ht="15.75" customHeight="1">
      <c r="D773" s="124"/>
      <c r="E773" s="124"/>
      <c r="F773" s="124"/>
      <c r="I773" s="124"/>
      <c r="K773" s="124"/>
      <c r="L773" s="124"/>
      <c r="M773" s="124"/>
      <c r="O773" s="124"/>
    </row>
    <row r="774" ht="15.75" customHeight="1">
      <c r="D774" s="124"/>
      <c r="E774" s="124"/>
      <c r="F774" s="124"/>
      <c r="I774" s="124"/>
      <c r="K774" s="124"/>
      <c r="L774" s="124"/>
      <c r="M774" s="124"/>
      <c r="O774" s="124"/>
    </row>
    <row r="775" ht="15.75" customHeight="1">
      <c r="D775" s="124"/>
      <c r="E775" s="124"/>
      <c r="F775" s="124"/>
      <c r="I775" s="124"/>
      <c r="K775" s="124"/>
      <c r="L775" s="124"/>
      <c r="M775" s="124"/>
      <c r="O775" s="124"/>
    </row>
    <row r="776" ht="15.75" customHeight="1">
      <c r="D776" s="124"/>
      <c r="E776" s="124"/>
      <c r="F776" s="124"/>
      <c r="I776" s="124"/>
      <c r="K776" s="124"/>
      <c r="L776" s="124"/>
      <c r="M776" s="124"/>
      <c r="O776" s="124"/>
    </row>
    <row r="777" ht="15.75" customHeight="1">
      <c r="D777" s="124"/>
      <c r="E777" s="124"/>
      <c r="F777" s="124"/>
      <c r="I777" s="124"/>
      <c r="K777" s="124"/>
      <c r="L777" s="124"/>
      <c r="M777" s="124"/>
      <c r="O777" s="124"/>
    </row>
    <row r="778" ht="15.75" customHeight="1">
      <c r="D778" s="124"/>
      <c r="E778" s="124"/>
      <c r="F778" s="124"/>
      <c r="I778" s="124"/>
      <c r="K778" s="124"/>
      <c r="L778" s="124"/>
      <c r="M778" s="124"/>
      <c r="O778" s="124"/>
    </row>
    <row r="779" ht="15.75" customHeight="1">
      <c r="D779" s="124"/>
      <c r="E779" s="124"/>
      <c r="F779" s="124"/>
      <c r="I779" s="124"/>
      <c r="K779" s="124"/>
      <c r="L779" s="124"/>
      <c r="M779" s="124"/>
      <c r="O779" s="124"/>
    </row>
    <row r="780" ht="15.75" customHeight="1">
      <c r="D780" s="124"/>
      <c r="E780" s="124"/>
      <c r="F780" s="124"/>
      <c r="I780" s="124"/>
      <c r="K780" s="124"/>
      <c r="L780" s="124"/>
      <c r="M780" s="124"/>
      <c r="O780" s="124"/>
    </row>
    <row r="781" ht="15.75" customHeight="1">
      <c r="D781" s="124"/>
      <c r="E781" s="124"/>
      <c r="F781" s="124"/>
      <c r="I781" s="124"/>
      <c r="K781" s="124"/>
      <c r="L781" s="124"/>
      <c r="M781" s="124"/>
      <c r="O781" s="124"/>
    </row>
    <row r="782" ht="15.75" customHeight="1">
      <c r="D782" s="124"/>
      <c r="E782" s="124"/>
      <c r="F782" s="124"/>
      <c r="I782" s="124"/>
      <c r="K782" s="124"/>
      <c r="L782" s="124"/>
      <c r="M782" s="124"/>
      <c r="O782" s="124"/>
    </row>
    <row r="783" ht="15.75" customHeight="1">
      <c r="D783" s="124"/>
      <c r="E783" s="124"/>
      <c r="F783" s="124"/>
      <c r="I783" s="124"/>
      <c r="K783" s="124"/>
      <c r="L783" s="124"/>
      <c r="M783" s="124"/>
      <c r="O783" s="124"/>
    </row>
    <row r="784" ht="15.75" customHeight="1">
      <c r="D784" s="124"/>
      <c r="E784" s="124"/>
      <c r="F784" s="124"/>
      <c r="I784" s="124"/>
      <c r="K784" s="124"/>
      <c r="L784" s="124"/>
      <c r="M784" s="124"/>
      <c r="O784" s="124"/>
    </row>
    <row r="785" ht="15.75" customHeight="1">
      <c r="D785" s="124"/>
      <c r="E785" s="124"/>
      <c r="F785" s="124"/>
      <c r="I785" s="124"/>
      <c r="K785" s="124"/>
      <c r="L785" s="124"/>
      <c r="M785" s="124"/>
      <c r="O785" s="124"/>
    </row>
    <row r="786" ht="15.75" customHeight="1">
      <c r="D786" s="124"/>
      <c r="E786" s="124"/>
      <c r="F786" s="124"/>
      <c r="I786" s="124"/>
      <c r="K786" s="124"/>
      <c r="L786" s="124"/>
      <c r="M786" s="124"/>
      <c r="O786" s="124"/>
    </row>
    <row r="787" ht="15.75" customHeight="1">
      <c r="D787" s="124"/>
      <c r="E787" s="124"/>
      <c r="F787" s="124"/>
      <c r="I787" s="124"/>
      <c r="K787" s="124"/>
      <c r="L787" s="124"/>
      <c r="M787" s="124"/>
      <c r="O787" s="124"/>
    </row>
    <row r="788" ht="15.75" customHeight="1">
      <c r="D788" s="124"/>
      <c r="E788" s="124"/>
      <c r="F788" s="124"/>
      <c r="I788" s="124"/>
      <c r="K788" s="124"/>
      <c r="L788" s="124"/>
      <c r="M788" s="124"/>
      <c r="O788" s="124"/>
    </row>
    <row r="789" ht="15.75" customHeight="1">
      <c r="D789" s="124"/>
      <c r="E789" s="124"/>
      <c r="F789" s="124"/>
      <c r="I789" s="124"/>
      <c r="K789" s="124"/>
      <c r="L789" s="124"/>
      <c r="M789" s="124"/>
      <c r="O789" s="124"/>
    </row>
    <row r="790" ht="15.75" customHeight="1">
      <c r="D790" s="124"/>
      <c r="E790" s="124"/>
      <c r="F790" s="124"/>
      <c r="I790" s="124"/>
      <c r="K790" s="124"/>
      <c r="L790" s="124"/>
      <c r="M790" s="124"/>
      <c r="O790" s="124"/>
    </row>
    <row r="791" ht="15.75" customHeight="1">
      <c r="D791" s="124"/>
      <c r="E791" s="124"/>
      <c r="F791" s="124"/>
      <c r="I791" s="124"/>
      <c r="K791" s="124"/>
      <c r="L791" s="124"/>
      <c r="M791" s="124"/>
      <c r="O791" s="124"/>
    </row>
    <row r="792" ht="15.75" customHeight="1">
      <c r="D792" s="124"/>
      <c r="E792" s="124"/>
      <c r="F792" s="124"/>
      <c r="I792" s="124"/>
      <c r="K792" s="124"/>
      <c r="L792" s="124"/>
      <c r="M792" s="124"/>
      <c r="O792" s="124"/>
    </row>
    <row r="793" ht="15.75" customHeight="1">
      <c r="D793" s="124"/>
      <c r="E793" s="124"/>
      <c r="F793" s="124"/>
      <c r="I793" s="124"/>
      <c r="K793" s="124"/>
      <c r="L793" s="124"/>
      <c r="M793" s="124"/>
      <c r="O793" s="124"/>
    </row>
    <row r="794" ht="15.75" customHeight="1">
      <c r="D794" s="124"/>
      <c r="E794" s="124"/>
      <c r="F794" s="124"/>
      <c r="I794" s="124"/>
      <c r="K794" s="124"/>
      <c r="L794" s="124"/>
      <c r="M794" s="124"/>
      <c r="O794" s="124"/>
    </row>
    <row r="795" ht="15.75" customHeight="1">
      <c r="D795" s="124"/>
      <c r="E795" s="124"/>
      <c r="F795" s="124"/>
      <c r="I795" s="124"/>
      <c r="K795" s="124"/>
      <c r="L795" s="124"/>
      <c r="M795" s="124"/>
      <c r="O795" s="124"/>
    </row>
    <row r="796" ht="15.75" customHeight="1">
      <c r="D796" s="124"/>
      <c r="E796" s="124"/>
      <c r="F796" s="124"/>
      <c r="I796" s="124"/>
      <c r="K796" s="124"/>
      <c r="L796" s="124"/>
      <c r="M796" s="124"/>
      <c r="O796" s="124"/>
    </row>
    <row r="797" ht="15.75" customHeight="1">
      <c r="D797" s="124"/>
      <c r="E797" s="124"/>
      <c r="F797" s="124"/>
      <c r="I797" s="124"/>
      <c r="K797" s="124"/>
      <c r="L797" s="124"/>
      <c r="M797" s="124"/>
      <c r="O797" s="124"/>
    </row>
    <row r="798" ht="15.75" customHeight="1">
      <c r="D798" s="124"/>
      <c r="E798" s="124"/>
      <c r="F798" s="124"/>
      <c r="I798" s="124"/>
      <c r="K798" s="124"/>
      <c r="L798" s="124"/>
      <c r="M798" s="124"/>
      <c r="O798" s="124"/>
    </row>
    <row r="799" ht="15.75" customHeight="1">
      <c r="D799" s="124"/>
      <c r="E799" s="124"/>
      <c r="F799" s="124"/>
      <c r="I799" s="124"/>
      <c r="K799" s="124"/>
      <c r="L799" s="124"/>
      <c r="M799" s="124"/>
      <c r="O799" s="124"/>
    </row>
    <row r="800" ht="15.75" customHeight="1">
      <c r="D800" s="124"/>
      <c r="E800" s="124"/>
      <c r="F800" s="124"/>
      <c r="I800" s="124"/>
      <c r="K800" s="124"/>
      <c r="L800" s="124"/>
      <c r="M800" s="124"/>
      <c r="O800" s="124"/>
    </row>
    <row r="801" ht="15.75" customHeight="1">
      <c r="D801" s="124"/>
      <c r="E801" s="124"/>
      <c r="F801" s="124"/>
      <c r="I801" s="124"/>
      <c r="K801" s="124"/>
      <c r="L801" s="124"/>
      <c r="M801" s="124"/>
      <c r="O801" s="124"/>
    </row>
    <row r="802" ht="15.75" customHeight="1">
      <c r="D802" s="124"/>
      <c r="E802" s="124"/>
      <c r="F802" s="124"/>
      <c r="I802" s="124"/>
      <c r="K802" s="124"/>
      <c r="L802" s="124"/>
      <c r="M802" s="124"/>
      <c r="O802" s="124"/>
    </row>
    <row r="803" ht="15.75" customHeight="1">
      <c r="D803" s="124"/>
      <c r="E803" s="124"/>
      <c r="F803" s="124"/>
      <c r="I803" s="124"/>
      <c r="K803" s="124"/>
      <c r="L803" s="124"/>
      <c r="M803" s="124"/>
      <c r="O803" s="124"/>
    </row>
    <row r="804" ht="15.75" customHeight="1">
      <c r="D804" s="124"/>
      <c r="E804" s="124"/>
      <c r="F804" s="124"/>
      <c r="I804" s="124"/>
      <c r="K804" s="124"/>
      <c r="L804" s="124"/>
      <c r="M804" s="124"/>
      <c r="O804" s="124"/>
    </row>
    <row r="805" ht="15.75" customHeight="1">
      <c r="D805" s="124"/>
      <c r="E805" s="124"/>
      <c r="F805" s="124"/>
      <c r="I805" s="124"/>
      <c r="K805" s="124"/>
      <c r="L805" s="124"/>
      <c r="M805" s="124"/>
      <c r="O805" s="124"/>
    </row>
    <row r="806" ht="15.75" customHeight="1">
      <c r="D806" s="124"/>
      <c r="E806" s="124"/>
      <c r="F806" s="124"/>
      <c r="I806" s="124"/>
      <c r="K806" s="124"/>
      <c r="L806" s="124"/>
      <c r="M806" s="124"/>
      <c r="O806" s="124"/>
    </row>
    <row r="807" ht="15.75" customHeight="1">
      <c r="D807" s="124"/>
      <c r="E807" s="124"/>
      <c r="F807" s="124"/>
      <c r="I807" s="124"/>
      <c r="K807" s="124"/>
      <c r="L807" s="124"/>
      <c r="M807" s="124"/>
      <c r="O807" s="124"/>
    </row>
    <row r="808" ht="15.75" customHeight="1">
      <c r="D808" s="124"/>
      <c r="E808" s="124"/>
      <c r="F808" s="124"/>
      <c r="I808" s="124"/>
      <c r="K808" s="124"/>
      <c r="L808" s="124"/>
      <c r="M808" s="124"/>
      <c r="O808" s="124"/>
    </row>
    <row r="809" ht="15.75" customHeight="1">
      <c r="D809" s="124"/>
      <c r="E809" s="124"/>
      <c r="F809" s="124"/>
      <c r="I809" s="124"/>
      <c r="K809" s="124"/>
      <c r="L809" s="124"/>
      <c r="M809" s="124"/>
      <c r="O809" s="124"/>
    </row>
    <row r="810" ht="15.75" customHeight="1">
      <c r="D810" s="124"/>
      <c r="E810" s="124"/>
      <c r="F810" s="124"/>
      <c r="I810" s="124"/>
      <c r="K810" s="124"/>
      <c r="L810" s="124"/>
      <c r="M810" s="124"/>
      <c r="O810" s="124"/>
    </row>
    <row r="811" ht="15.75" customHeight="1">
      <c r="D811" s="124"/>
      <c r="E811" s="124"/>
      <c r="F811" s="124"/>
      <c r="I811" s="124"/>
      <c r="K811" s="124"/>
      <c r="L811" s="124"/>
      <c r="M811" s="124"/>
      <c r="O811" s="124"/>
    </row>
    <row r="812" ht="15.75" customHeight="1">
      <c r="D812" s="124"/>
      <c r="E812" s="124"/>
      <c r="F812" s="124"/>
      <c r="I812" s="124"/>
      <c r="K812" s="124"/>
      <c r="L812" s="124"/>
      <c r="M812" s="124"/>
      <c r="O812" s="124"/>
    </row>
    <row r="813" ht="15.75" customHeight="1">
      <c r="D813" s="124"/>
      <c r="E813" s="124"/>
      <c r="F813" s="124"/>
      <c r="I813" s="124"/>
      <c r="K813" s="124"/>
      <c r="L813" s="124"/>
      <c r="M813" s="124"/>
      <c r="O813" s="124"/>
    </row>
    <row r="814" ht="15.75" customHeight="1">
      <c r="D814" s="124"/>
      <c r="E814" s="124"/>
      <c r="F814" s="124"/>
      <c r="I814" s="124"/>
      <c r="K814" s="124"/>
      <c r="L814" s="124"/>
      <c r="M814" s="124"/>
      <c r="O814" s="124"/>
    </row>
    <row r="815" ht="15.75" customHeight="1">
      <c r="D815" s="124"/>
      <c r="E815" s="124"/>
      <c r="F815" s="124"/>
      <c r="I815" s="124"/>
      <c r="K815" s="124"/>
      <c r="L815" s="124"/>
      <c r="M815" s="124"/>
      <c r="O815" s="124"/>
    </row>
    <row r="816" ht="15.75" customHeight="1">
      <c r="D816" s="124"/>
      <c r="E816" s="124"/>
      <c r="F816" s="124"/>
      <c r="I816" s="124"/>
      <c r="K816" s="124"/>
      <c r="L816" s="124"/>
      <c r="M816" s="124"/>
      <c r="O816" s="124"/>
    </row>
    <row r="817" ht="15.75" customHeight="1">
      <c r="D817" s="124"/>
      <c r="E817" s="124"/>
      <c r="F817" s="124"/>
      <c r="I817" s="124"/>
      <c r="K817" s="124"/>
      <c r="L817" s="124"/>
      <c r="M817" s="124"/>
      <c r="O817" s="124"/>
    </row>
    <row r="818" ht="15.75" customHeight="1">
      <c r="D818" s="124"/>
      <c r="E818" s="124"/>
      <c r="F818" s="124"/>
      <c r="I818" s="124"/>
      <c r="K818" s="124"/>
      <c r="L818" s="124"/>
      <c r="M818" s="124"/>
      <c r="O818" s="124"/>
    </row>
    <row r="819" ht="15.75" customHeight="1">
      <c r="D819" s="124"/>
      <c r="E819" s="124"/>
      <c r="F819" s="124"/>
      <c r="I819" s="124"/>
      <c r="K819" s="124"/>
      <c r="L819" s="124"/>
      <c r="M819" s="124"/>
      <c r="O819" s="124"/>
    </row>
    <row r="820" ht="15.75" customHeight="1">
      <c r="D820" s="124"/>
      <c r="E820" s="124"/>
      <c r="F820" s="124"/>
      <c r="I820" s="124"/>
      <c r="K820" s="124"/>
      <c r="L820" s="124"/>
      <c r="M820" s="124"/>
      <c r="O820" s="124"/>
    </row>
    <row r="821" ht="15.75" customHeight="1">
      <c r="D821" s="124"/>
      <c r="E821" s="124"/>
      <c r="F821" s="124"/>
      <c r="I821" s="124"/>
      <c r="K821" s="124"/>
      <c r="L821" s="124"/>
      <c r="M821" s="124"/>
      <c r="O821" s="124"/>
    </row>
    <row r="822" ht="15.75" customHeight="1">
      <c r="D822" s="124"/>
      <c r="E822" s="124"/>
      <c r="F822" s="124"/>
      <c r="I822" s="124"/>
      <c r="K822" s="124"/>
      <c r="L822" s="124"/>
      <c r="M822" s="124"/>
      <c r="O822" s="124"/>
    </row>
    <row r="823" ht="15.75" customHeight="1">
      <c r="D823" s="124"/>
      <c r="E823" s="124"/>
      <c r="F823" s="124"/>
      <c r="I823" s="124"/>
      <c r="K823" s="124"/>
      <c r="L823" s="124"/>
      <c r="M823" s="124"/>
      <c r="O823" s="124"/>
    </row>
    <row r="824" ht="15.75" customHeight="1">
      <c r="D824" s="124"/>
      <c r="E824" s="124"/>
      <c r="F824" s="124"/>
      <c r="I824" s="124"/>
      <c r="K824" s="124"/>
      <c r="L824" s="124"/>
      <c r="M824" s="124"/>
      <c r="O824" s="124"/>
    </row>
    <row r="825" ht="15.75" customHeight="1">
      <c r="D825" s="124"/>
      <c r="E825" s="124"/>
      <c r="F825" s="124"/>
      <c r="I825" s="124"/>
      <c r="K825" s="124"/>
      <c r="L825" s="124"/>
      <c r="M825" s="124"/>
      <c r="O825" s="124"/>
    </row>
    <row r="826" ht="15.75" customHeight="1">
      <c r="D826" s="124"/>
      <c r="E826" s="124"/>
      <c r="F826" s="124"/>
      <c r="I826" s="124"/>
      <c r="K826" s="124"/>
      <c r="L826" s="124"/>
      <c r="M826" s="124"/>
      <c r="O826" s="124"/>
    </row>
    <row r="827" ht="15.75" customHeight="1">
      <c r="D827" s="124"/>
      <c r="E827" s="124"/>
      <c r="F827" s="124"/>
      <c r="I827" s="124"/>
      <c r="K827" s="124"/>
      <c r="L827" s="124"/>
      <c r="M827" s="124"/>
      <c r="O827" s="124"/>
    </row>
    <row r="828" ht="15.75" customHeight="1">
      <c r="D828" s="124"/>
      <c r="E828" s="124"/>
      <c r="F828" s="124"/>
      <c r="I828" s="124"/>
      <c r="K828" s="124"/>
      <c r="L828" s="124"/>
      <c r="M828" s="124"/>
      <c r="O828" s="124"/>
    </row>
    <row r="829" ht="15.75" customHeight="1">
      <c r="D829" s="124"/>
      <c r="E829" s="124"/>
      <c r="F829" s="124"/>
      <c r="I829" s="124"/>
      <c r="K829" s="124"/>
      <c r="L829" s="124"/>
      <c r="M829" s="124"/>
      <c r="O829" s="124"/>
    </row>
    <row r="830" ht="15.75" customHeight="1">
      <c r="D830" s="124"/>
      <c r="E830" s="124"/>
      <c r="F830" s="124"/>
      <c r="I830" s="124"/>
      <c r="K830" s="124"/>
      <c r="L830" s="124"/>
      <c r="M830" s="124"/>
      <c r="O830" s="124"/>
    </row>
    <row r="831" ht="15.75" customHeight="1">
      <c r="D831" s="124"/>
      <c r="E831" s="124"/>
      <c r="F831" s="124"/>
      <c r="I831" s="124"/>
      <c r="K831" s="124"/>
      <c r="L831" s="124"/>
      <c r="M831" s="124"/>
      <c r="O831" s="124"/>
    </row>
    <row r="832" ht="15.75" customHeight="1">
      <c r="D832" s="124"/>
      <c r="E832" s="124"/>
      <c r="F832" s="124"/>
      <c r="I832" s="124"/>
      <c r="K832" s="124"/>
      <c r="L832" s="124"/>
      <c r="M832" s="124"/>
      <c r="O832" s="124"/>
    </row>
    <row r="833" ht="15.75" customHeight="1">
      <c r="D833" s="124"/>
      <c r="E833" s="124"/>
      <c r="F833" s="124"/>
      <c r="I833" s="124"/>
      <c r="K833" s="124"/>
      <c r="L833" s="124"/>
      <c r="M833" s="124"/>
      <c r="O833" s="124"/>
    </row>
    <row r="834" ht="15.75" customHeight="1">
      <c r="D834" s="124"/>
      <c r="E834" s="124"/>
      <c r="F834" s="124"/>
      <c r="I834" s="124"/>
      <c r="K834" s="124"/>
      <c r="L834" s="124"/>
      <c r="M834" s="124"/>
      <c r="O834" s="124"/>
    </row>
    <row r="835" ht="15.75" customHeight="1">
      <c r="D835" s="124"/>
      <c r="E835" s="124"/>
      <c r="F835" s="124"/>
      <c r="I835" s="124"/>
      <c r="K835" s="124"/>
      <c r="L835" s="124"/>
      <c r="M835" s="124"/>
      <c r="O835" s="124"/>
    </row>
    <row r="836" ht="15.75" customHeight="1">
      <c r="D836" s="124"/>
      <c r="E836" s="124"/>
      <c r="F836" s="124"/>
      <c r="I836" s="124"/>
      <c r="K836" s="124"/>
      <c r="L836" s="124"/>
      <c r="M836" s="124"/>
      <c r="O836" s="124"/>
    </row>
    <row r="837" ht="15.75" customHeight="1">
      <c r="D837" s="124"/>
      <c r="E837" s="124"/>
      <c r="F837" s="124"/>
      <c r="I837" s="124"/>
      <c r="K837" s="124"/>
      <c r="L837" s="124"/>
      <c r="M837" s="124"/>
      <c r="O837" s="124"/>
    </row>
    <row r="838" ht="15.75" customHeight="1">
      <c r="D838" s="124"/>
      <c r="E838" s="124"/>
      <c r="F838" s="124"/>
      <c r="I838" s="124"/>
      <c r="K838" s="124"/>
      <c r="L838" s="124"/>
      <c r="M838" s="124"/>
      <c r="O838" s="124"/>
    </row>
    <row r="839" ht="15.75" customHeight="1">
      <c r="D839" s="124"/>
      <c r="E839" s="124"/>
      <c r="F839" s="124"/>
      <c r="I839" s="124"/>
      <c r="K839" s="124"/>
      <c r="L839" s="124"/>
      <c r="M839" s="124"/>
      <c r="O839" s="124"/>
    </row>
    <row r="840" ht="15.75" customHeight="1">
      <c r="D840" s="124"/>
      <c r="E840" s="124"/>
      <c r="F840" s="124"/>
      <c r="I840" s="124"/>
      <c r="K840" s="124"/>
      <c r="L840" s="124"/>
      <c r="M840" s="124"/>
      <c r="O840" s="124"/>
    </row>
    <row r="841" ht="15.75" customHeight="1">
      <c r="D841" s="124"/>
      <c r="E841" s="124"/>
      <c r="F841" s="124"/>
      <c r="I841" s="124"/>
      <c r="K841" s="124"/>
      <c r="L841" s="124"/>
      <c r="M841" s="124"/>
      <c r="O841" s="124"/>
    </row>
    <row r="842" ht="15.75" customHeight="1">
      <c r="D842" s="124"/>
      <c r="E842" s="124"/>
      <c r="F842" s="124"/>
      <c r="I842" s="124"/>
      <c r="K842" s="124"/>
      <c r="L842" s="124"/>
      <c r="M842" s="124"/>
      <c r="O842" s="124"/>
    </row>
    <row r="843" ht="15.75" customHeight="1">
      <c r="D843" s="124"/>
      <c r="E843" s="124"/>
      <c r="F843" s="124"/>
      <c r="I843" s="124"/>
      <c r="K843" s="124"/>
      <c r="L843" s="124"/>
      <c r="M843" s="124"/>
      <c r="O843" s="124"/>
    </row>
    <row r="844" ht="15.75" customHeight="1">
      <c r="D844" s="124"/>
      <c r="E844" s="124"/>
      <c r="F844" s="124"/>
      <c r="I844" s="124"/>
      <c r="K844" s="124"/>
      <c r="L844" s="124"/>
      <c r="M844" s="124"/>
      <c r="O844" s="124"/>
    </row>
    <row r="845" ht="15.75" customHeight="1">
      <c r="D845" s="124"/>
      <c r="E845" s="124"/>
      <c r="F845" s="124"/>
      <c r="I845" s="124"/>
      <c r="K845" s="124"/>
      <c r="L845" s="124"/>
      <c r="M845" s="124"/>
      <c r="O845" s="124"/>
    </row>
    <row r="846" ht="15.75" customHeight="1">
      <c r="D846" s="124"/>
      <c r="E846" s="124"/>
      <c r="F846" s="124"/>
      <c r="I846" s="124"/>
      <c r="K846" s="124"/>
      <c r="L846" s="124"/>
      <c r="M846" s="124"/>
      <c r="O846" s="124"/>
    </row>
    <row r="847" ht="15.75" customHeight="1">
      <c r="D847" s="124"/>
      <c r="E847" s="124"/>
      <c r="F847" s="124"/>
      <c r="I847" s="124"/>
      <c r="K847" s="124"/>
      <c r="L847" s="124"/>
      <c r="M847" s="124"/>
      <c r="O847" s="124"/>
    </row>
    <row r="848" ht="15.75" customHeight="1">
      <c r="D848" s="124"/>
      <c r="E848" s="124"/>
      <c r="F848" s="124"/>
      <c r="I848" s="124"/>
      <c r="K848" s="124"/>
      <c r="L848" s="124"/>
      <c r="M848" s="124"/>
      <c r="O848" s="124"/>
    </row>
    <row r="849" ht="15.75" customHeight="1">
      <c r="D849" s="124"/>
      <c r="E849" s="124"/>
      <c r="F849" s="124"/>
      <c r="I849" s="124"/>
      <c r="K849" s="124"/>
      <c r="L849" s="124"/>
      <c r="M849" s="124"/>
      <c r="O849" s="124"/>
    </row>
    <row r="850" ht="15.75" customHeight="1">
      <c r="D850" s="124"/>
      <c r="E850" s="124"/>
      <c r="F850" s="124"/>
      <c r="I850" s="124"/>
      <c r="K850" s="124"/>
      <c r="L850" s="124"/>
      <c r="M850" s="124"/>
      <c r="O850" s="124"/>
    </row>
    <row r="851" ht="15.75" customHeight="1">
      <c r="D851" s="124"/>
      <c r="E851" s="124"/>
      <c r="F851" s="124"/>
      <c r="I851" s="124"/>
      <c r="K851" s="124"/>
      <c r="L851" s="124"/>
      <c r="M851" s="124"/>
      <c r="O851" s="124"/>
    </row>
    <row r="852" ht="15.75" customHeight="1">
      <c r="D852" s="124"/>
      <c r="E852" s="124"/>
      <c r="F852" s="124"/>
      <c r="I852" s="124"/>
      <c r="K852" s="124"/>
      <c r="L852" s="124"/>
      <c r="M852" s="124"/>
      <c r="O852" s="124"/>
    </row>
    <row r="853" ht="15.75" customHeight="1">
      <c r="D853" s="124"/>
      <c r="E853" s="124"/>
      <c r="F853" s="124"/>
      <c r="I853" s="124"/>
      <c r="K853" s="124"/>
      <c r="L853" s="124"/>
      <c r="M853" s="124"/>
      <c r="O853" s="124"/>
    </row>
    <row r="854" ht="15.75" customHeight="1">
      <c r="D854" s="124"/>
      <c r="E854" s="124"/>
      <c r="F854" s="124"/>
      <c r="I854" s="124"/>
      <c r="K854" s="124"/>
      <c r="L854" s="124"/>
      <c r="M854" s="124"/>
      <c r="O854" s="124"/>
    </row>
    <row r="855" ht="15.75" customHeight="1">
      <c r="D855" s="124"/>
      <c r="E855" s="124"/>
      <c r="F855" s="124"/>
      <c r="I855" s="124"/>
      <c r="K855" s="124"/>
      <c r="L855" s="124"/>
      <c r="M855" s="124"/>
      <c r="O855" s="124"/>
    </row>
    <row r="856" ht="15.75" customHeight="1">
      <c r="D856" s="124"/>
      <c r="E856" s="124"/>
      <c r="F856" s="124"/>
      <c r="I856" s="124"/>
      <c r="K856" s="124"/>
      <c r="L856" s="124"/>
      <c r="M856" s="124"/>
      <c r="O856" s="124"/>
    </row>
    <row r="857" ht="15.75" customHeight="1">
      <c r="D857" s="124"/>
      <c r="E857" s="124"/>
      <c r="F857" s="124"/>
      <c r="I857" s="124"/>
      <c r="K857" s="124"/>
      <c r="L857" s="124"/>
      <c r="M857" s="124"/>
      <c r="O857" s="124"/>
    </row>
    <row r="858" ht="15.75" customHeight="1">
      <c r="D858" s="124"/>
      <c r="E858" s="124"/>
      <c r="F858" s="124"/>
      <c r="I858" s="124"/>
      <c r="K858" s="124"/>
      <c r="L858" s="124"/>
      <c r="M858" s="124"/>
      <c r="O858" s="124"/>
    </row>
    <row r="859" ht="15.75" customHeight="1">
      <c r="D859" s="124"/>
      <c r="E859" s="124"/>
      <c r="F859" s="124"/>
      <c r="I859" s="124"/>
      <c r="K859" s="124"/>
      <c r="L859" s="124"/>
      <c r="M859" s="124"/>
      <c r="O859" s="124"/>
    </row>
    <row r="860" ht="15.75" customHeight="1">
      <c r="D860" s="124"/>
      <c r="E860" s="124"/>
      <c r="F860" s="124"/>
      <c r="I860" s="124"/>
      <c r="K860" s="124"/>
      <c r="L860" s="124"/>
      <c r="M860" s="124"/>
      <c r="O860" s="124"/>
    </row>
    <row r="861" ht="15.75" customHeight="1">
      <c r="D861" s="124"/>
      <c r="E861" s="124"/>
      <c r="F861" s="124"/>
      <c r="I861" s="124"/>
      <c r="K861" s="124"/>
      <c r="L861" s="124"/>
      <c r="M861" s="124"/>
      <c r="O861" s="124"/>
    </row>
    <row r="862" ht="15.75" customHeight="1">
      <c r="D862" s="124"/>
      <c r="E862" s="124"/>
      <c r="F862" s="124"/>
      <c r="I862" s="124"/>
      <c r="K862" s="124"/>
      <c r="L862" s="124"/>
      <c r="M862" s="124"/>
      <c r="O862" s="124"/>
    </row>
    <row r="863" ht="15.75" customHeight="1">
      <c r="D863" s="124"/>
      <c r="E863" s="124"/>
      <c r="F863" s="124"/>
      <c r="I863" s="124"/>
      <c r="K863" s="124"/>
      <c r="L863" s="124"/>
      <c r="M863" s="124"/>
      <c r="O863" s="124"/>
    </row>
    <row r="864" ht="15.75" customHeight="1">
      <c r="D864" s="124"/>
      <c r="E864" s="124"/>
      <c r="F864" s="124"/>
      <c r="I864" s="124"/>
      <c r="K864" s="124"/>
      <c r="L864" s="124"/>
      <c r="M864" s="124"/>
      <c r="O864" s="124"/>
    </row>
    <row r="865" ht="15.75" customHeight="1">
      <c r="D865" s="124"/>
      <c r="E865" s="124"/>
      <c r="F865" s="124"/>
      <c r="I865" s="124"/>
      <c r="K865" s="124"/>
      <c r="L865" s="124"/>
      <c r="M865" s="124"/>
      <c r="O865" s="124"/>
    </row>
    <row r="866" ht="15.75" customHeight="1">
      <c r="D866" s="124"/>
      <c r="E866" s="124"/>
      <c r="F866" s="124"/>
      <c r="I866" s="124"/>
      <c r="K866" s="124"/>
      <c r="L866" s="124"/>
      <c r="M866" s="124"/>
      <c r="O866" s="124"/>
    </row>
    <row r="867" ht="15.75" customHeight="1">
      <c r="D867" s="124"/>
      <c r="E867" s="124"/>
      <c r="F867" s="124"/>
      <c r="I867" s="124"/>
      <c r="K867" s="124"/>
      <c r="L867" s="124"/>
      <c r="M867" s="124"/>
      <c r="O867" s="124"/>
    </row>
    <row r="868" ht="15.75" customHeight="1">
      <c r="D868" s="124"/>
      <c r="E868" s="124"/>
      <c r="F868" s="124"/>
      <c r="I868" s="124"/>
      <c r="K868" s="124"/>
      <c r="L868" s="124"/>
      <c r="M868" s="124"/>
      <c r="O868" s="124"/>
    </row>
    <row r="869" ht="15.75" customHeight="1">
      <c r="D869" s="124"/>
      <c r="E869" s="124"/>
      <c r="F869" s="124"/>
      <c r="I869" s="124"/>
      <c r="K869" s="124"/>
      <c r="L869" s="124"/>
      <c r="M869" s="124"/>
      <c r="O869" s="124"/>
    </row>
    <row r="870" ht="15.75" customHeight="1">
      <c r="D870" s="124"/>
      <c r="E870" s="124"/>
      <c r="F870" s="124"/>
      <c r="I870" s="124"/>
      <c r="K870" s="124"/>
      <c r="L870" s="124"/>
      <c r="M870" s="124"/>
      <c r="O870" s="124"/>
    </row>
    <row r="871" ht="15.75" customHeight="1">
      <c r="D871" s="124"/>
      <c r="E871" s="124"/>
      <c r="F871" s="124"/>
      <c r="I871" s="124"/>
      <c r="K871" s="124"/>
      <c r="L871" s="124"/>
      <c r="M871" s="124"/>
      <c r="O871" s="124"/>
    </row>
    <row r="872" ht="15.75" customHeight="1">
      <c r="D872" s="124"/>
      <c r="E872" s="124"/>
      <c r="F872" s="124"/>
      <c r="I872" s="124"/>
      <c r="K872" s="124"/>
      <c r="L872" s="124"/>
      <c r="M872" s="124"/>
      <c r="O872" s="124"/>
    </row>
    <row r="873" ht="15.75" customHeight="1">
      <c r="D873" s="124"/>
      <c r="E873" s="124"/>
      <c r="F873" s="124"/>
      <c r="I873" s="124"/>
      <c r="K873" s="124"/>
      <c r="L873" s="124"/>
      <c r="M873" s="124"/>
      <c r="O873" s="124"/>
    </row>
    <row r="874" ht="15.75" customHeight="1">
      <c r="D874" s="124"/>
      <c r="E874" s="124"/>
      <c r="F874" s="124"/>
      <c r="I874" s="124"/>
      <c r="K874" s="124"/>
      <c r="L874" s="124"/>
      <c r="M874" s="124"/>
      <c r="O874" s="124"/>
    </row>
    <row r="875" ht="15.75" customHeight="1">
      <c r="D875" s="124"/>
      <c r="E875" s="124"/>
      <c r="F875" s="124"/>
      <c r="I875" s="124"/>
      <c r="K875" s="124"/>
      <c r="L875" s="124"/>
      <c r="M875" s="124"/>
      <c r="O875" s="124"/>
    </row>
    <row r="876" ht="15.75" customHeight="1">
      <c r="D876" s="124"/>
      <c r="E876" s="124"/>
      <c r="F876" s="124"/>
      <c r="I876" s="124"/>
      <c r="K876" s="124"/>
      <c r="L876" s="124"/>
      <c r="M876" s="124"/>
      <c r="O876" s="124"/>
    </row>
    <row r="877" ht="15.75" customHeight="1">
      <c r="D877" s="124"/>
      <c r="E877" s="124"/>
      <c r="F877" s="124"/>
      <c r="I877" s="124"/>
      <c r="K877" s="124"/>
      <c r="L877" s="124"/>
      <c r="M877" s="124"/>
      <c r="O877" s="124"/>
    </row>
    <row r="878" ht="15.75" customHeight="1">
      <c r="D878" s="124"/>
      <c r="E878" s="124"/>
      <c r="F878" s="124"/>
      <c r="I878" s="124"/>
      <c r="K878" s="124"/>
      <c r="L878" s="124"/>
      <c r="M878" s="124"/>
      <c r="O878" s="124"/>
    </row>
    <row r="879" ht="15.75" customHeight="1">
      <c r="D879" s="124"/>
      <c r="E879" s="124"/>
      <c r="F879" s="124"/>
      <c r="I879" s="124"/>
      <c r="K879" s="124"/>
      <c r="L879" s="124"/>
      <c r="M879" s="124"/>
      <c r="O879" s="124"/>
    </row>
    <row r="880" ht="15.75" customHeight="1">
      <c r="D880" s="124"/>
      <c r="E880" s="124"/>
      <c r="F880" s="124"/>
      <c r="I880" s="124"/>
      <c r="K880" s="124"/>
      <c r="L880" s="124"/>
      <c r="M880" s="124"/>
      <c r="O880" s="124"/>
    </row>
    <row r="881" ht="15.75" customHeight="1">
      <c r="D881" s="124"/>
      <c r="E881" s="124"/>
      <c r="F881" s="124"/>
      <c r="I881" s="124"/>
      <c r="K881" s="124"/>
      <c r="L881" s="124"/>
      <c r="M881" s="124"/>
      <c r="O881" s="124"/>
    </row>
    <row r="882" ht="15.75" customHeight="1">
      <c r="D882" s="124"/>
      <c r="E882" s="124"/>
      <c r="F882" s="124"/>
      <c r="I882" s="124"/>
      <c r="K882" s="124"/>
      <c r="L882" s="124"/>
      <c r="M882" s="124"/>
      <c r="O882" s="124"/>
    </row>
    <row r="883" ht="15.75" customHeight="1">
      <c r="D883" s="124"/>
      <c r="E883" s="124"/>
      <c r="F883" s="124"/>
      <c r="I883" s="124"/>
      <c r="K883" s="124"/>
      <c r="L883" s="124"/>
      <c r="M883" s="124"/>
      <c r="O883" s="124"/>
    </row>
    <row r="884" ht="15.75" customHeight="1">
      <c r="D884" s="124"/>
      <c r="E884" s="124"/>
      <c r="F884" s="124"/>
      <c r="I884" s="124"/>
      <c r="K884" s="124"/>
      <c r="L884" s="124"/>
      <c r="M884" s="124"/>
      <c r="O884" s="124"/>
    </row>
    <row r="885" ht="15.75" customHeight="1">
      <c r="D885" s="124"/>
      <c r="E885" s="124"/>
      <c r="F885" s="124"/>
      <c r="I885" s="124"/>
      <c r="K885" s="124"/>
      <c r="L885" s="124"/>
      <c r="M885" s="124"/>
      <c r="O885" s="124"/>
    </row>
    <row r="886" ht="15.75" customHeight="1">
      <c r="D886" s="124"/>
      <c r="E886" s="124"/>
      <c r="F886" s="124"/>
      <c r="I886" s="124"/>
      <c r="K886" s="124"/>
      <c r="L886" s="124"/>
      <c r="M886" s="124"/>
      <c r="O886" s="124"/>
    </row>
    <row r="887" ht="15.75" customHeight="1">
      <c r="D887" s="124"/>
      <c r="E887" s="124"/>
      <c r="F887" s="124"/>
      <c r="I887" s="124"/>
      <c r="K887" s="124"/>
      <c r="L887" s="124"/>
      <c r="M887" s="124"/>
      <c r="O887" s="124"/>
    </row>
    <row r="888" ht="15.75" customHeight="1">
      <c r="D888" s="124"/>
      <c r="E888" s="124"/>
      <c r="F888" s="124"/>
      <c r="I888" s="124"/>
      <c r="K888" s="124"/>
      <c r="L888" s="124"/>
      <c r="M888" s="124"/>
      <c r="O888" s="124"/>
    </row>
    <row r="889" ht="15.75" customHeight="1">
      <c r="D889" s="124"/>
      <c r="E889" s="124"/>
      <c r="F889" s="124"/>
      <c r="I889" s="124"/>
      <c r="K889" s="124"/>
      <c r="L889" s="124"/>
      <c r="M889" s="124"/>
      <c r="O889" s="124"/>
    </row>
    <row r="890" ht="15.75" customHeight="1">
      <c r="D890" s="124"/>
      <c r="E890" s="124"/>
      <c r="F890" s="124"/>
      <c r="I890" s="124"/>
      <c r="K890" s="124"/>
      <c r="L890" s="124"/>
      <c r="M890" s="124"/>
      <c r="O890" s="124"/>
    </row>
    <row r="891" ht="15.75" customHeight="1">
      <c r="D891" s="124"/>
      <c r="E891" s="124"/>
      <c r="F891" s="124"/>
      <c r="I891" s="124"/>
      <c r="K891" s="124"/>
      <c r="L891" s="124"/>
      <c r="M891" s="124"/>
      <c r="O891" s="124"/>
    </row>
    <row r="892" ht="15.75" customHeight="1">
      <c r="D892" s="124"/>
      <c r="E892" s="124"/>
      <c r="F892" s="124"/>
      <c r="I892" s="124"/>
      <c r="K892" s="124"/>
      <c r="L892" s="124"/>
      <c r="M892" s="124"/>
      <c r="O892" s="124"/>
    </row>
    <row r="893" ht="15.75" customHeight="1">
      <c r="D893" s="124"/>
      <c r="E893" s="124"/>
      <c r="F893" s="124"/>
      <c r="I893" s="124"/>
      <c r="K893" s="124"/>
      <c r="L893" s="124"/>
      <c r="M893" s="124"/>
      <c r="O893" s="124"/>
    </row>
    <row r="894" ht="15.75" customHeight="1">
      <c r="D894" s="124"/>
      <c r="E894" s="124"/>
      <c r="F894" s="124"/>
      <c r="I894" s="124"/>
      <c r="K894" s="124"/>
      <c r="L894" s="124"/>
      <c r="M894" s="124"/>
      <c r="O894" s="124"/>
    </row>
    <row r="895" ht="15.75" customHeight="1">
      <c r="D895" s="124"/>
      <c r="E895" s="124"/>
      <c r="F895" s="124"/>
      <c r="I895" s="124"/>
      <c r="K895" s="124"/>
      <c r="L895" s="124"/>
      <c r="M895" s="124"/>
      <c r="O895" s="124"/>
    </row>
    <row r="896" ht="15.75" customHeight="1">
      <c r="D896" s="124"/>
      <c r="E896" s="124"/>
      <c r="F896" s="124"/>
      <c r="I896" s="124"/>
      <c r="K896" s="124"/>
      <c r="L896" s="124"/>
      <c r="M896" s="124"/>
      <c r="O896" s="124"/>
    </row>
    <row r="897" ht="15.75" customHeight="1">
      <c r="D897" s="124"/>
      <c r="E897" s="124"/>
      <c r="F897" s="124"/>
      <c r="I897" s="124"/>
      <c r="K897" s="124"/>
      <c r="L897" s="124"/>
      <c r="M897" s="124"/>
      <c r="O897" s="124"/>
    </row>
    <row r="898" ht="15.75" customHeight="1">
      <c r="D898" s="124"/>
      <c r="E898" s="124"/>
      <c r="F898" s="124"/>
      <c r="I898" s="124"/>
      <c r="K898" s="124"/>
      <c r="L898" s="124"/>
      <c r="M898" s="124"/>
      <c r="O898" s="124"/>
    </row>
    <row r="899" ht="15.75" customHeight="1">
      <c r="D899" s="124"/>
      <c r="E899" s="124"/>
      <c r="F899" s="124"/>
      <c r="I899" s="124"/>
      <c r="K899" s="124"/>
      <c r="L899" s="124"/>
      <c r="M899" s="124"/>
      <c r="O899" s="124"/>
    </row>
    <row r="900" ht="15.75" customHeight="1">
      <c r="D900" s="124"/>
      <c r="E900" s="124"/>
      <c r="F900" s="124"/>
      <c r="I900" s="124"/>
      <c r="K900" s="124"/>
      <c r="L900" s="124"/>
      <c r="M900" s="124"/>
      <c r="O900" s="124"/>
    </row>
    <row r="901" ht="15.75" customHeight="1">
      <c r="D901" s="124"/>
      <c r="E901" s="124"/>
      <c r="F901" s="124"/>
      <c r="I901" s="124"/>
      <c r="K901" s="124"/>
      <c r="L901" s="124"/>
      <c r="M901" s="124"/>
      <c r="O901" s="124"/>
    </row>
    <row r="902" ht="15.75" customHeight="1">
      <c r="D902" s="124"/>
      <c r="E902" s="124"/>
      <c r="F902" s="124"/>
      <c r="I902" s="124"/>
      <c r="K902" s="124"/>
      <c r="L902" s="124"/>
      <c r="M902" s="124"/>
      <c r="O902" s="124"/>
    </row>
    <row r="903" ht="15.75" customHeight="1">
      <c r="D903" s="124"/>
      <c r="E903" s="124"/>
      <c r="F903" s="124"/>
      <c r="I903" s="124"/>
      <c r="K903" s="124"/>
      <c r="L903" s="124"/>
      <c r="M903" s="124"/>
      <c r="O903" s="124"/>
    </row>
    <row r="904" ht="15.75" customHeight="1">
      <c r="D904" s="124"/>
      <c r="E904" s="124"/>
      <c r="F904" s="124"/>
      <c r="I904" s="124"/>
      <c r="K904" s="124"/>
      <c r="L904" s="124"/>
      <c r="M904" s="124"/>
      <c r="O904" s="124"/>
    </row>
    <row r="905" ht="15.75" customHeight="1">
      <c r="D905" s="124"/>
      <c r="E905" s="124"/>
      <c r="F905" s="124"/>
      <c r="I905" s="124"/>
      <c r="K905" s="124"/>
      <c r="L905" s="124"/>
      <c r="M905" s="124"/>
      <c r="O905" s="124"/>
    </row>
    <row r="906" ht="15.75" customHeight="1">
      <c r="D906" s="124"/>
      <c r="E906" s="124"/>
      <c r="F906" s="124"/>
      <c r="I906" s="124"/>
      <c r="K906" s="124"/>
      <c r="L906" s="124"/>
      <c r="M906" s="124"/>
      <c r="O906" s="124"/>
    </row>
    <row r="907" ht="15.75" customHeight="1">
      <c r="D907" s="124"/>
      <c r="E907" s="124"/>
      <c r="F907" s="124"/>
      <c r="I907" s="124"/>
      <c r="K907" s="124"/>
      <c r="L907" s="124"/>
      <c r="M907" s="124"/>
      <c r="O907" s="124"/>
    </row>
    <row r="908" ht="15.75" customHeight="1">
      <c r="D908" s="124"/>
      <c r="E908" s="124"/>
      <c r="F908" s="124"/>
      <c r="I908" s="124"/>
      <c r="K908" s="124"/>
      <c r="L908" s="124"/>
      <c r="M908" s="124"/>
      <c r="O908" s="124"/>
    </row>
    <row r="909" ht="15.75" customHeight="1">
      <c r="D909" s="124"/>
      <c r="E909" s="124"/>
      <c r="F909" s="124"/>
      <c r="I909" s="124"/>
      <c r="K909" s="124"/>
      <c r="L909" s="124"/>
      <c r="M909" s="124"/>
      <c r="O909" s="124"/>
    </row>
    <row r="910" ht="15.75" customHeight="1">
      <c r="D910" s="124"/>
      <c r="E910" s="124"/>
      <c r="F910" s="124"/>
      <c r="I910" s="124"/>
      <c r="K910" s="124"/>
      <c r="L910" s="124"/>
      <c r="M910" s="124"/>
      <c r="O910" s="124"/>
    </row>
    <row r="911" ht="15.75" customHeight="1">
      <c r="D911" s="124"/>
      <c r="E911" s="124"/>
      <c r="F911" s="124"/>
      <c r="I911" s="124"/>
      <c r="K911" s="124"/>
      <c r="L911" s="124"/>
      <c r="M911" s="124"/>
      <c r="O911" s="124"/>
    </row>
    <row r="912" ht="15.75" customHeight="1">
      <c r="D912" s="124"/>
      <c r="E912" s="124"/>
      <c r="F912" s="124"/>
      <c r="I912" s="124"/>
      <c r="K912" s="124"/>
      <c r="L912" s="124"/>
      <c r="M912" s="124"/>
      <c r="O912" s="124"/>
    </row>
    <row r="913" ht="15.75" customHeight="1">
      <c r="D913" s="124"/>
      <c r="E913" s="124"/>
      <c r="F913" s="124"/>
      <c r="I913" s="124"/>
      <c r="K913" s="124"/>
      <c r="L913" s="124"/>
      <c r="M913" s="124"/>
      <c r="O913" s="124"/>
    </row>
    <row r="914" ht="15.75" customHeight="1">
      <c r="D914" s="124"/>
      <c r="E914" s="124"/>
      <c r="F914" s="124"/>
      <c r="I914" s="124"/>
      <c r="K914" s="124"/>
      <c r="L914" s="124"/>
      <c r="M914" s="124"/>
      <c r="O914" s="124"/>
    </row>
    <row r="915" ht="15.75" customHeight="1">
      <c r="D915" s="124"/>
      <c r="E915" s="124"/>
      <c r="F915" s="124"/>
      <c r="I915" s="124"/>
      <c r="K915" s="124"/>
      <c r="L915" s="124"/>
      <c r="M915" s="124"/>
      <c r="O915" s="124"/>
    </row>
    <row r="916" ht="15.75" customHeight="1">
      <c r="D916" s="124"/>
      <c r="E916" s="124"/>
      <c r="F916" s="124"/>
      <c r="I916" s="124"/>
      <c r="K916" s="124"/>
      <c r="L916" s="124"/>
      <c r="M916" s="124"/>
      <c r="O916" s="124"/>
    </row>
    <row r="917" ht="15.75" customHeight="1">
      <c r="D917" s="124"/>
      <c r="E917" s="124"/>
      <c r="F917" s="124"/>
      <c r="I917" s="124"/>
      <c r="K917" s="124"/>
      <c r="L917" s="124"/>
      <c r="M917" s="124"/>
      <c r="O917" s="124"/>
    </row>
    <row r="918" ht="15.75" customHeight="1">
      <c r="D918" s="124"/>
      <c r="E918" s="124"/>
      <c r="F918" s="124"/>
      <c r="I918" s="124"/>
      <c r="K918" s="124"/>
      <c r="L918" s="124"/>
      <c r="M918" s="124"/>
      <c r="O918" s="124"/>
    </row>
    <row r="919" ht="15.75" customHeight="1">
      <c r="D919" s="124"/>
      <c r="E919" s="124"/>
      <c r="F919" s="124"/>
      <c r="I919" s="124"/>
      <c r="K919" s="124"/>
      <c r="L919" s="124"/>
      <c r="M919" s="124"/>
      <c r="O919" s="124"/>
    </row>
    <row r="920" ht="15.75" customHeight="1">
      <c r="D920" s="124"/>
      <c r="E920" s="124"/>
      <c r="F920" s="124"/>
      <c r="I920" s="124"/>
      <c r="K920" s="124"/>
      <c r="L920" s="124"/>
      <c r="M920" s="124"/>
      <c r="O920" s="124"/>
    </row>
    <row r="921" ht="15.75" customHeight="1">
      <c r="D921" s="124"/>
      <c r="E921" s="124"/>
      <c r="F921" s="124"/>
      <c r="I921" s="124"/>
      <c r="K921" s="124"/>
      <c r="L921" s="124"/>
      <c r="M921" s="124"/>
      <c r="O921" s="124"/>
    </row>
    <row r="922" ht="15.75" customHeight="1">
      <c r="D922" s="124"/>
      <c r="E922" s="124"/>
      <c r="F922" s="124"/>
      <c r="I922" s="124"/>
      <c r="K922" s="124"/>
      <c r="L922" s="124"/>
      <c r="M922" s="124"/>
      <c r="O922" s="124"/>
    </row>
    <row r="923" ht="15.75" customHeight="1">
      <c r="D923" s="124"/>
      <c r="E923" s="124"/>
      <c r="F923" s="124"/>
      <c r="I923" s="124"/>
      <c r="K923" s="124"/>
      <c r="L923" s="124"/>
      <c r="M923" s="124"/>
      <c r="O923" s="124"/>
    </row>
    <row r="924" ht="15.75" customHeight="1">
      <c r="D924" s="124"/>
      <c r="E924" s="124"/>
      <c r="F924" s="124"/>
      <c r="I924" s="124"/>
      <c r="K924" s="124"/>
      <c r="L924" s="124"/>
      <c r="M924" s="124"/>
      <c r="O924" s="124"/>
    </row>
    <row r="925" ht="15.75" customHeight="1">
      <c r="D925" s="124"/>
      <c r="E925" s="124"/>
      <c r="F925" s="124"/>
      <c r="I925" s="124"/>
      <c r="K925" s="124"/>
      <c r="L925" s="124"/>
      <c r="M925" s="124"/>
      <c r="O925" s="124"/>
    </row>
    <row r="926" ht="15.75" customHeight="1">
      <c r="D926" s="124"/>
      <c r="E926" s="124"/>
      <c r="F926" s="124"/>
      <c r="I926" s="124"/>
      <c r="K926" s="124"/>
      <c r="L926" s="124"/>
      <c r="M926" s="124"/>
      <c r="O926" s="124"/>
    </row>
    <row r="927" ht="15.75" customHeight="1">
      <c r="D927" s="124"/>
      <c r="E927" s="124"/>
      <c r="F927" s="124"/>
      <c r="I927" s="124"/>
      <c r="K927" s="124"/>
      <c r="L927" s="124"/>
      <c r="M927" s="124"/>
      <c r="O927" s="124"/>
    </row>
    <row r="928" ht="15.75" customHeight="1">
      <c r="D928" s="124"/>
      <c r="E928" s="124"/>
      <c r="F928" s="124"/>
      <c r="I928" s="124"/>
      <c r="K928" s="124"/>
      <c r="L928" s="124"/>
      <c r="M928" s="124"/>
      <c r="O928" s="124"/>
    </row>
    <row r="929" ht="15.75" customHeight="1">
      <c r="D929" s="124"/>
      <c r="E929" s="124"/>
      <c r="F929" s="124"/>
      <c r="I929" s="124"/>
      <c r="K929" s="124"/>
      <c r="L929" s="124"/>
      <c r="M929" s="124"/>
      <c r="O929" s="124"/>
    </row>
    <row r="930" ht="15.75" customHeight="1">
      <c r="D930" s="124"/>
      <c r="E930" s="124"/>
      <c r="F930" s="124"/>
      <c r="I930" s="124"/>
      <c r="K930" s="124"/>
      <c r="L930" s="124"/>
      <c r="M930" s="124"/>
      <c r="O930" s="124"/>
    </row>
    <row r="931" ht="15.75" customHeight="1">
      <c r="D931" s="124"/>
      <c r="E931" s="124"/>
      <c r="F931" s="124"/>
      <c r="I931" s="124"/>
      <c r="K931" s="124"/>
      <c r="L931" s="124"/>
      <c r="M931" s="124"/>
      <c r="O931" s="124"/>
    </row>
    <row r="932" ht="15.75" customHeight="1">
      <c r="D932" s="124"/>
      <c r="E932" s="124"/>
      <c r="F932" s="124"/>
      <c r="I932" s="124"/>
      <c r="K932" s="124"/>
      <c r="L932" s="124"/>
      <c r="M932" s="124"/>
      <c r="O932" s="124"/>
    </row>
    <row r="933" ht="15.75" customHeight="1">
      <c r="D933" s="124"/>
      <c r="E933" s="124"/>
      <c r="F933" s="124"/>
      <c r="I933" s="124"/>
      <c r="K933" s="124"/>
      <c r="L933" s="124"/>
      <c r="M933" s="124"/>
      <c r="O933" s="124"/>
    </row>
    <row r="934" ht="15.75" customHeight="1">
      <c r="D934" s="124"/>
      <c r="E934" s="124"/>
      <c r="F934" s="124"/>
      <c r="I934" s="124"/>
      <c r="K934" s="124"/>
      <c r="L934" s="124"/>
      <c r="M934" s="124"/>
      <c r="O934" s="124"/>
    </row>
    <row r="935" ht="15.75" customHeight="1">
      <c r="D935" s="124"/>
      <c r="E935" s="124"/>
      <c r="F935" s="124"/>
      <c r="I935" s="124"/>
      <c r="K935" s="124"/>
      <c r="L935" s="124"/>
      <c r="M935" s="124"/>
      <c r="O935" s="124"/>
    </row>
    <row r="936" ht="15.75" customHeight="1">
      <c r="D936" s="124"/>
      <c r="E936" s="124"/>
      <c r="F936" s="124"/>
      <c r="I936" s="124"/>
      <c r="K936" s="124"/>
      <c r="L936" s="124"/>
      <c r="M936" s="124"/>
      <c r="O936" s="124"/>
    </row>
    <row r="937" ht="15.75" customHeight="1">
      <c r="D937" s="124"/>
      <c r="E937" s="124"/>
      <c r="F937" s="124"/>
      <c r="I937" s="124"/>
      <c r="K937" s="124"/>
      <c r="L937" s="124"/>
      <c r="M937" s="124"/>
      <c r="O937" s="124"/>
    </row>
    <row r="938" ht="15.75" customHeight="1">
      <c r="D938" s="124"/>
      <c r="E938" s="124"/>
      <c r="F938" s="124"/>
      <c r="I938" s="124"/>
      <c r="K938" s="124"/>
      <c r="L938" s="124"/>
      <c r="M938" s="124"/>
      <c r="O938" s="124"/>
    </row>
    <row r="939" ht="15.75" customHeight="1">
      <c r="D939" s="124"/>
      <c r="E939" s="124"/>
      <c r="F939" s="124"/>
      <c r="I939" s="124"/>
      <c r="K939" s="124"/>
      <c r="L939" s="124"/>
      <c r="M939" s="124"/>
      <c r="O939" s="124"/>
    </row>
    <row r="940" ht="15.75" customHeight="1">
      <c r="D940" s="124"/>
      <c r="E940" s="124"/>
      <c r="F940" s="124"/>
      <c r="I940" s="124"/>
      <c r="K940" s="124"/>
      <c r="L940" s="124"/>
      <c r="M940" s="124"/>
      <c r="O940" s="124"/>
    </row>
    <row r="941" ht="15.75" customHeight="1">
      <c r="D941" s="124"/>
      <c r="E941" s="124"/>
      <c r="F941" s="124"/>
      <c r="I941" s="124"/>
      <c r="K941" s="124"/>
      <c r="L941" s="124"/>
      <c r="M941" s="124"/>
      <c r="O941" s="124"/>
    </row>
    <row r="942" ht="15.75" customHeight="1">
      <c r="D942" s="124"/>
      <c r="E942" s="124"/>
      <c r="F942" s="124"/>
      <c r="I942" s="124"/>
      <c r="K942" s="124"/>
      <c r="L942" s="124"/>
      <c r="M942" s="124"/>
      <c r="O942" s="124"/>
    </row>
    <row r="943" ht="15.75" customHeight="1">
      <c r="D943" s="124"/>
      <c r="E943" s="124"/>
      <c r="F943" s="124"/>
      <c r="I943" s="124"/>
      <c r="K943" s="124"/>
      <c r="L943" s="124"/>
      <c r="M943" s="124"/>
      <c r="O943" s="124"/>
    </row>
    <row r="944" ht="15.75" customHeight="1">
      <c r="D944" s="124"/>
      <c r="E944" s="124"/>
      <c r="F944" s="124"/>
      <c r="I944" s="124"/>
      <c r="K944" s="124"/>
      <c r="L944" s="124"/>
      <c r="M944" s="124"/>
      <c r="O944" s="124"/>
    </row>
    <row r="945" ht="15.75" customHeight="1">
      <c r="D945" s="124"/>
      <c r="E945" s="124"/>
      <c r="F945" s="124"/>
      <c r="I945" s="124"/>
      <c r="K945" s="124"/>
      <c r="L945" s="124"/>
      <c r="M945" s="124"/>
      <c r="O945" s="124"/>
    </row>
    <row r="946" ht="15.75" customHeight="1">
      <c r="D946" s="124"/>
      <c r="E946" s="124"/>
      <c r="F946" s="124"/>
      <c r="I946" s="124"/>
      <c r="K946" s="124"/>
      <c r="L946" s="124"/>
      <c r="M946" s="124"/>
      <c r="O946" s="124"/>
    </row>
    <row r="947" ht="15.75" customHeight="1">
      <c r="D947" s="124"/>
      <c r="E947" s="124"/>
      <c r="F947" s="124"/>
      <c r="I947" s="124"/>
      <c r="K947" s="124"/>
      <c r="L947" s="124"/>
      <c r="M947" s="124"/>
      <c r="O947" s="124"/>
    </row>
    <row r="948" ht="15.75" customHeight="1">
      <c r="D948" s="124"/>
      <c r="E948" s="124"/>
      <c r="F948" s="124"/>
      <c r="I948" s="124"/>
      <c r="K948" s="124"/>
      <c r="L948" s="124"/>
      <c r="M948" s="124"/>
      <c r="O948" s="124"/>
    </row>
    <row r="949" ht="15.75" customHeight="1">
      <c r="D949" s="124"/>
      <c r="E949" s="124"/>
      <c r="F949" s="124"/>
      <c r="I949" s="124"/>
      <c r="K949" s="124"/>
      <c r="L949" s="124"/>
      <c r="M949" s="124"/>
      <c r="O949" s="124"/>
    </row>
    <row r="950" ht="15.75" customHeight="1">
      <c r="D950" s="124"/>
      <c r="E950" s="124"/>
      <c r="F950" s="124"/>
      <c r="I950" s="124"/>
      <c r="K950" s="124"/>
      <c r="L950" s="124"/>
      <c r="M950" s="124"/>
      <c r="O950" s="124"/>
    </row>
    <row r="951" ht="15.75" customHeight="1">
      <c r="D951" s="124"/>
      <c r="E951" s="124"/>
      <c r="F951" s="124"/>
      <c r="I951" s="124"/>
      <c r="K951" s="124"/>
      <c r="L951" s="124"/>
      <c r="M951" s="124"/>
      <c r="O951" s="124"/>
    </row>
    <row r="952" ht="15.75" customHeight="1">
      <c r="D952" s="124"/>
      <c r="E952" s="124"/>
      <c r="F952" s="124"/>
      <c r="I952" s="124"/>
      <c r="K952" s="124"/>
      <c r="L952" s="124"/>
      <c r="M952" s="124"/>
      <c r="O952" s="124"/>
    </row>
    <row r="953" ht="15.75" customHeight="1">
      <c r="D953" s="124"/>
      <c r="E953" s="124"/>
      <c r="F953" s="124"/>
      <c r="I953" s="124"/>
      <c r="K953" s="124"/>
      <c r="L953" s="124"/>
      <c r="M953" s="124"/>
      <c r="O953" s="124"/>
    </row>
    <row r="954" ht="15.75" customHeight="1">
      <c r="D954" s="124"/>
      <c r="E954" s="124"/>
      <c r="F954" s="124"/>
      <c r="I954" s="124"/>
      <c r="K954" s="124"/>
      <c r="L954" s="124"/>
      <c r="M954" s="124"/>
      <c r="O954" s="124"/>
    </row>
    <row r="955" ht="15.75" customHeight="1">
      <c r="D955" s="124"/>
      <c r="E955" s="124"/>
      <c r="F955" s="124"/>
      <c r="I955" s="124"/>
      <c r="K955" s="124"/>
      <c r="L955" s="124"/>
      <c r="M955" s="124"/>
      <c r="O955" s="124"/>
    </row>
    <row r="956" ht="15.75" customHeight="1">
      <c r="D956" s="124"/>
      <c r="E956" s="124"/>
      <c r="F956" s="124"/>
      <c r="I956" s="124"/>
      <c r="K956" s="124"/>
      <c r="L956" s="124"/>
      <c r="M956" s="124"/>
      <c r="O956" s="124"/>
    </row>
    <row r="957" ht="15.75" customHeight="1">
      <c r="D957" s="124"/>
      <c r="E957" s="124"/>
      <c r="F957" s="124"/>
      <c r="I957" s="124"/>
      <c r="K957" s="124"/>
      <c r="L957" s="124"/>
      <c r="M957" s="124"/>
      <c r="O957" s="124"/>
    </row>
    <row r="958" ht="15.75" customHeight="1">
      <c r="D958" s="124"/>
      <c r="E958" s="124"/>
      <c r="F958" s="124"/>
      <c r="I958" s="124"/>
      <c r="K958" s="124"/>
      <c r="L958" s="124"/>
      <c r="M958" s="124"/>
      <c r="O958" s="124"/>
    </row>
    <row r="959" ht="15.75" customHeight="1">
      <c r="D959" s="124"/>
      <c r="E959" s="124"/>
      <c r="F959" s="124"/>
      <c r="I959" s="124"/>
      <c r="K959" s="124"/>
      <c r="L959" s="124"/>
      <c r="M959" s="124"/>
      <c r="O959" s="124"/>
    </row>
    <row r="960" ht="15.75" customHeight="1">
      <c r="D960" s="124"/>
      <c r="E960" s="124"/>
      <c r="F960" s="124"/>
      <c r="I960" s="124"/>
      <c r="K960" s="124"/>
      <c r="L960" s="124"/>
      <c r="M960" s="124"/>
      <c r="O960" s="124"/>
    </row>
    <row r="961" ht="15.75" customHeight="1">
      <c r="D961" s="124"/>
      <c r="E961" s="124"/>
      <c r="F961" s="124"/>
      <c r="I961" s="124"/>
      <c r="K961" s="124"/>
      <c r="L961" s="124"/>
      <c r="M961" s="124"/>
      <c r="O961" s="124"/>
    </row>
    <row r="962" ht="15.75" customHeight="1">
      <c r="D962" s="124"/>
      <c r="E962" s="124"/>
      <c r="F962" s="124"/>
      <c r="I962" s="124"/>
      <c r="K962" s="124"/>
      <c r="L962" s="124"/>
      <c r="M962" s="124"/>
      <c r="O962" s="124"/>
    </row>
    <row r="963" ht="15.75" customHeight="1">
      <c r="D963" s="124"/>
      <c r="E963" s="124"/>
      <c r="F963" s="124"/>
      <c r="I963" s="124"/>
      <c r="K963" s="124"/>
      <c r="L963" s="124"/>
      <c r="M963" s="124"/>
      <c r="O963" s="124"/>
    </row>
    <row r="964" ht="15.75" customHeight="1">
      <c r="D964" s="124"/>
      <c r="E964" s="124"/>
      <c r="F964" s="124"/>
      <c r="I964" s="124"/>
      <c r="K964" s="124"/>
      <c r="L964" s="124"/>
      <c r="M964" s="124"/>
      <c r="O964" s="124"/>
    </row>
    <row r="965" ht="15.75" customHeight="1">
      <c r="D965" s="124"/>
      <c r="E965" s="124"/>
      <c r="F965" s="124"/>
      <c r="I965" s="124"/>
      <c r="K965" s="124"/>
      <c r="L965" s="124"/>
      <c r="M965" s="124"/>
      <c r="O965" s="124"/>
    </row>
    <row r="966" ht="15.75" customHeight="1">
      <c r="D966" s="124"/>
      <c r="E966" s="124"/>
      <c r="F966" s="124"/>
      <c r="I966" s="124"/>
      <c r="K966" s="124"/>
      <c r="L966" s="124"/>
      <c r="M966" s="124"/>
      <c r="O966" s="124"/>
    </row>
    <row r="967" ht="15.75" customHeight="1">
      <c r="D967" s="124"/>
      <c r="E967" s="124"/>
      <c r="F967" s="124"/>
      <c r="I967" s="124"/>
      <c r="K967" s="124"/>
      <c r="L967" s="124"/>
      <c r="M967" s="124"/>
      <c r="O967" s="124"/>
    </row>
    <row r="968" ht="15.75" customHeight="1">
      <c r="D968" s="124"/>
      <c r="E968" s="124"/>
      <c r="F968" s="124"/>
      <c r="I968" s="124"/>
      <c r="K968" s="124"/>
      <c r="L968" s="124"/>
      <c r="M968" s="124"/>
      <c r="O968" s="124"/>
    </row>
    <row r="969" ht="15.75" customHeight="1">
      <c r="D969" s="124"/>
      <c r="E969" s="124"/>
      <c r="F969" s="124"/>
      <c r="I969" s="124"/>
      <c r="K969" s="124"/>
      <c r="L969" s="124"/>
      <c r="M969" s="124"/>
      <c r="O969" s="124"/>
    </row>
    <row r="970" ht="15.75" customHeight="1">
      <c r="D970" s="124"/>
      <c r="E970" s="124"/>
      <c r="F970" s="124"/>
      <c r="I970" s="124"/>
      <c r="K970" s="124"/>
      <c r="L970" s="124"/>
      <c r="M970" s="124"/>
      <c r="O970" s="124"/>
    </row>
    <row r="971" ht="15.75" customHeight="1">
      <c r="D971" s="124"/>
      <c r="E971" s="124"/>
      <c r="F971" s="124"/>
      <c r="I971" s="124"/>
      <c r="K971" s="124"/>
      <c r="L971" s="124"/>
      <c r="M971" s="124"/>
      <c r="O971" s="124"/>
    </row>
    <row r="972" ht="15.75" customHeight="1">
      <c r="D972" s="124"/>
      <c r="E972" s="124"/>
      <c r="F972" s="124"/>
      <c r="I972" s="124"/>
      <c r="K972" s="124"/>
      <c r="L972" s="124"/>
      <c r="M972" s="124"/>
      <c r="O972" s="124"/>
    </row>
    <row r="973" ht="15.75" customHeight="1">
      <c r="D973" s="124"/>
      <c r="E973" s="124"/>
      <c r="F973" s="124"/>
      <c r="I973" s="124"/>
      <c r="K973" s="124"/>
      <c r="L973" s="124"/>
      <c r="M973" s="124"/>
      <c r="O973" s="124"/>
    </row>
    <row r="974" ht="15.75" customHeight="1">
      <c r="D974" s="124"/>
      <c r="E974" s="124"/>
      <c r="F974" s="124"/>
      <c r="I974" s="124"/>
      <c r="K974" s="124"/>
      <c r="L974" s="124"/>
      <c r="M974" s="124"/>
      <c r="O974" s="124"/>
    </row>
    <row r="975" ht="15.75" customHeight="1">
      <c r="D975" s="124"/>
      <c r="E975" s="124"/>
      <c r="F975" s="124"/>
      <c r="I975" s="124"/>
      <c r="K975" s="124"/>
      <c r="L975" s="124"/>
      <c r="M975" s="124"/>
      <c r="O975" s="124"/>
    </row>
    <row r="976" ht="15.75" customHeight="1">
      <c r="D976" s="124"/>
      <c r="E976" s="124"/>
      <c r="F976" s="124"/>
      <c r="I976" s="124"/>
      <c r="K976" s="124"/>
      <c r="L976" s="124"/>
      <c r="M976" s="124"/>
      <c r="O976" s="124"/>
    </row>
    <row r="977" ht="15.75" customHeight="1">
      <c r="D977" s="124"/>
      <c r="E977" s="124"/>
      <c r="F977" s="124"/>
      <c r="I977" s="124"/>
      <c r="K977" s="124"/>
      <c r="L977" s="124"/>
      <c r="M977" s="124"/>
      <c r="O977" s="124"/>
    </row>
    <row r="978" ht="15.75" customHeight="1">
      <c r="D978" s="124"/>
      <c r="E978" s="124"/>
      <c r="F978" s="124"/>
      <c r="I978" s="124"/>
      <c r="K978" s="124"/>
      <c r="L978" s="124"/>
      <c r="M978" s="124"/>
      <c r="O978" s="124"/>
    </row>
    <row r="979" ht="15.75" customHeight="1">
      <c r="D979" s="124"/>
      <c r="E979" s="124"/>
      <c r="F979" s="124"/>
      <c r="I979" s="124"/>
      <c r="K979" s="124"/>
      <c r="L979" s="124"/>
      <c r="M979" s="124"/>
      <c r="O979" s="124"/>
    </row>
    <row r="980" ht="15.75" customHeight="1">
      <c r="D980" s="124"/>
      <c r="E980" s="124"/>
      <c r="F980" s="124"/>
      <c r="I980" s="124"/>
      <c r="K980" s="124"/>
      <c r="L980" s="124"/>
      <c r="M980" s="124"/>
      <c r="O980" s="124"/>
    </row>
    <row r="981" ht="15.75" customHeight="1">
      <c r="D981" s="124"/>
      <c r="E981" s="124"/>
      <c r="F981" s="124"/>
      <c r="I981" s="124"/>
      <c r="K981" s="124"/>
      <c r="L981" s="124"/>
      <c r="M981" s="124"/>
      <c r="O981" s="124"/>
    </row>
    <row r="982" ht="15.75" customHeight="1">
      <c r="D982" s="124"/>
      <c r="E982" s="124"/>
      <c r="F982" s="124"/>
      <c r="I982" s="124"/>
      <c r="K982" s="124"/>
      <c r="L982" s="124"/>
      <c r="M982" s="124"/>
      <c r="O982" s="124"/>
    </row>
    <row r="983" ht="15.75" customHeight="1">
      <c r="D983" s="124"/>
      <c r="E983" s="124"/>
      <c r="F983" s="124"/>
      <c r="I983" s="124"/>
      <c r="K983" s="124"/>
      <c r="L983" s="124"/>
      <c r="M983" s="124"/>
      <c r="O983" s="124"/>
    </row>
    <row r="984" ht="15.75" customHeight="1">
      <c r="D984" s="124"/>
      <c r="E984" s="124"/>
      <c r="F984" s="124"/>
      <c r="I984" s="124"/>
      <c r="K984" s="124"/>
      <c r="L984" s="124"/>
      <c r="M984" s="124"/>
      <c r="O984" s="124"/>
    </row>
    <row r="985" ht="15.75" customHeight="1">
      <c r="D985" s="124"/>
      <c r="E985" s="124"/>
      <c r="F985" s="124"/>
      <c r="I985" s="124"/>
      <c r="K985" s="124"/>
      <c r="L985" s="124"/>
      <c r="M985" s="124"/>
      <c r="O985" s="124"/>
    </row>
    <row r="986" ht="15.75" customHeight="1">
      <c r="D986" s="124"/>
      <c r="E986" s="124"/>
      <c r="F986" s="124"/>
      <c r="I986" s="124"/>
      <c r="K986" s="124"/>
      <c r="L986" s="124"/>
      <c r="M986" s="124"/>
      <c r="O986" s="124"/>
    </row>
    <row r="987" ht="15.75" customHeight="1">
      <c r="D987" s="124"/>
      <c r="E987" s="124"/>
      <c r="F987" s="124"/>
      <c r="I987" s="124"/>
      <c r="K987" s="124"/>
      <c r="L987" s="124"/>
      <c r="M987" s="124"/>
      <c r="O987" s="124"/>
    </row>
    <row r="988" ht="15.75" customHeight="1">
      <c r="D988" s="124"/>
      <c r="E988" s="124"/>
      <c r="F988" s="124"/>
      <c r="I988" s="124"/>
      <c r="K988" s="124"/>
      <c r="L988" s="124"/>
      <c r="M988" s="124"/>
      <c r="O988" s="124"/>
    </row>
    <row r="989" ht="15.75" customHeight="1">
      <c r="D989" s="124"/>
      <c r="E989" s="124"/>
      <c r="F989" s="124"/>
      <c r="I989" s="124"/>
      <c r="K989" s="124"/>
      <c r="L989" s="124"/>
      <c r="M989" s="124"/>
      <c r="O989" s="124"/>
    </row>
    <row r="990" ht="15.75" customHeight="1">
      <c r="D990" s="124"/>
      <c r="E990" s="124"/>
      <c r="F990" s="124"/>
      <c r="I990" s="124"/>
      <c r="K990" s="124"/>
      <c r="L990" s="124"/>
      <c r="M990" s="124"/>
      <c r="O990" s="124"/>
    </row>
    <row r="991" ht="15.75" customHeight="1">
      <c r="D991" s="124"/>
      <c r="E991" s="124"/>
      <c r="F991" s="124"/>
      <c r="I991" s="124"/>
      <c r="K991" s="124"/>
      <c r="L991" s="124"/>
      <c r="M991" s="124"/>
      <c r="O991" s="124"/>
    </row>
    <row r="992" ht="15.75" customHeight="1">
      <c r="D992" s="124"/>
      <c r="E992" s="124"/>
      <c r="F992" s="124"/>
      <c r="I992" s="124"/>
      <c r="K992" s="124"/>
      <c r="L992" s="124"/>
      <c r="M992" s="124"/>
      <c r="O992" s="124"/>
    </row>
    <row r="993" ht="15.75" customHeight="1">
      <c r="D993" s="124"/>
      <c r="E993" s="124"/>
      <c r="F993" s="124"/>
      <c r="I993" s="124"/>
      <c r="K993" s="124"/>
      <c r="L993" s="124"/>
      <c r="M993" s="124"/>
      <c r="O993" s="124"/>
    </row>
    <row r="994" ht="15.75" customHeight="1">
      <c r="D994" s="124"/>
      <c r="E994" s="124"/>
      <c r="F994" s="124"/>
      <c r="I994" s="124"/>
      <c r="K994" s="124"/>
      <c r="L994" s="124"/>
      <c r="M994" s="124"/>
      <c r="O994" s="124"/>
    </row>
    <row r="995" ht="15.75" customHeight="1">
      <c r="D995" s="124"/>
      <c r="E995" s="124"/>
      <c r="F995" s="124"/>
      <c r="I995" s="124"/>
      <c r="K995" s="124"/>
      <c r="L995" s="124"/>
      <c r="M995" s="124"/>
      <c r="O995" s="124"/>
    </row>
    <row r="996" ht="15.75" customHeight="1">
      <c r="D996" s="124"/>
      <c r="E996" s="124"/>
      <c r="F996" s="124"/>
      <c r="I996" s="124"/>
      <c r="K996" s="124"/>
      <c r="L996" s="124"/>
      <c r="M996" s="124"/>
      <c r="O996" s="124"/>
    </row>
    <row r="997" ht="15.75" customHeight="1">
      <c r="D997" s="124"/>
      <c r="E997" s="124"/>
      <c r="F997" s="124"/>
      <c r="I997" s="124"/>
      <c r="K997" s="124"/>
      <c r="L997" s="124"/>
      <c r="M997" s="124"/>
      <c r="O997" s="124"/>
    </row>
    <row r="998" ht="15.75" customHeight="1">
      <c r="D998" s="124"/>
      <c r="E998" s="124"/>
      <c r="F998" s="124"/>
      <c r="I998" s="124"/>
      <c r="K998" s="124"/>
      <c r="L998" s="124"/>
      <c r="M998" s="124"/>
      <c r="O998" s="124"/>
    </row>
    <row r="999" ht="15.75" customHeight="1">
      <c r="D999" s="124"/>
      <c r="E999" s="124"/>
      <c r="F999" s="124"/>
      <c r="I999" s="124"/>
      <c r="K999" s="124"/>
      <c r="L999" s="124"/>
      <c r="M999" s="124"/>
      <c r="O999" s="124"/>
    </row>
    <row r="1000" ht="15.75" customHeight="1">
      <c r="D1000" s="124"/>
      <c r="E1000" s="124"/>
      <c r="F1000" s="124"/>
      <c r="I1000" s="124"/>
      <c r="K1000" s="124"/>
      <c r="L1000" s="124"/>
      <c r="M1000" s="124"/>
      <c r="O1000" s="124"/>
    </row>
    <row r="1001" ht="15.75" customHeight="1">
      <c r="D1001" s="124"/>
      <c r="E1001" s="124"/>
      <c r="F1001" s="124"/>
      <c r="I1001" s="124"/>
      <c r="K1001" s="124"/>
      <c r="L1001" s="124"/>
      <c r="M1001" s="124"/>
      <c r="O1001" s="124"/>
    </row>
    <row r="1002" ht="15.75" customHeight="1">
      <c r="D1002" s="124"/>
      <c r="E1002" s="124"/>
      <c r="F1002" s="124"/>
      <c r="I1002" s="124"/>
      <c r="K1002" s="124"/>
      <c r="L1002" s="124"/>
      <c r="M1002" s="124"/>
      <c r="O1002" s="124"/>
    </row>
    <row r="1003" ht="15.75" customHeight="1">
      <c r="D1003" s="124"/>
      <c r="E1003" s="124"/>
      <c r="F1003" s="124"/>
      <c r="I1003" s="124"/>
      <c r="K1003" s="124"/>
      <c r="L1003" s="124"/>
      <c r="M1003" s="124"/>
      <c r="O1003" s="124"/>
    </row>
    <row r="1004" ht="15.75" customHeight="1">
      <c r="D1004" s="124"/>
      <c r="E1004" s="124"/>
      <c r="F1004" s="124"/>
      <c r="I1004" s="124"/>
      <c r="K1004" s="124"/>
      <c r="L1004" s="124"/>
      <c r="M1004" s="124"/>
      <c r="O1004" s="124"/>
    </row>
    <row r="1005" ht="15.75" customHeight="1">
      <c r="D1005" s="124"/>
      <c r="E1005" s="124"/>
      <c r="F1005" s="124"/>
      <c r="I1005" s="124"/>
      <c r="K1005" s="124"/>
      <c r="L1005" s="124"/>
      <c r="M1005" s="124"/>
      <c r="O1005" s="124"/>
    </row>
    <row r="1006" ht="15.75" customHeight="1">
      <c r="D1006" s="124"/>
      <c r="E1006" s="124"/>
      <c r="F1006" s="124"/>
      <c r="I1006" s="124"/>
      <c r="K1006" s="124"/>
      <c r="L1006" s="124"/>
      <c r="M1006" s="124"/>
      <c r="O1006" s="124"/>
    </row>
  </sheetData>
  <mergeCells count="84">
    <mergeCell ref="G3:G4"/>
    <mergeCell ref="H3:H4"/>
    <mergeCell ref="J3:J4"/>
    <mergeCell ref="K3:K4"/>
    <mergeCell ref="L3:L4"/>
    <mergeCell ref="N3:N4"/>
    <mergeCell ref="P3:P4"/>
    <mergeCell ref="Q3:Q4"/>
    <mergeCell ref="R3:R4"/>
    <mergeCell ref="S3:S4"/>
    <mergeCell ref="T3:T4"/>
    <mergeCell ref="U3:U4"/>
    <mergeCell ref="Z3:Z4"/>
    <mergeCell ref="AA3:AA4"/>
    <mergeCell ref="A61:B61"/>
    <mergeCell ref="A63:A64"/>
    <mergeCell ref="B63:B64"/>
    <mergeCell ref="C63:C64"/>
    <mergeCell ref="D63:D64"/>
    <mergeCell ref="E63:E64"/>
    <mergeCell ref="F63:F64"/>
    <mergeCell ref="A82:B82"/>
    <mergeCell ref="G63:G64"/>
    <mergeCell ref="H63:H64"/>
    <mergeCell ref="I63:I64"/>
    <mergeCell ref="J63:J64"/>
    <mergeCell ref="K63:K64"/>
    <mergeCell ref="L63:L64"/>
    <mergeCell ref="M63:M64"/>
    <mergeCell ref="U63:U64"/>
    <mergeCell ref="V63:V64"/>
    <mergeCell ref="W63:W64"/>
    <mergeCell ref="X63:X64"/>
    <mergeCell ref="Y63:Y64"/>
    <mergeCell ref="Z63:Z64"/>
    <mergeCell ref="AA63:AA64"/>
    <mergeCell ref="AB63:AB64"/>
    <mergeCell ref="N63:N64"/>
    <mergeCell ref="O63:O64"/>
    <mergeCell ref="P63:P64"/>
    <mergeCell ref="Q63:Q64"/>
    <mergeCell ref="R63:R64"/>
    <mergeCell ref="S63:S64"/>
    <mergeCell ref="T63:T64"/>
    <mergeCell ref="V3:V4"/>
    <mergeCell ref="X3:X4"/>
    <mergeCell ref="A1:AA2"/>
    <mergeCell ref="A3:A4"/>
    <mergeCell ref="B3:B4"/>
    <mergeCell ref="C3:C4"/>
    <mergeCell ref="D3:D4"/>
    <mergeCell ref="E3:E4"/>
    <mergeCell ref="F3:F4"/>
    <mergeCell ref="D47:D48"/>
    <mergeCell ref="E47:E48"/>
    <mergeCell ref="F47:F48"/>
    <mergeCell ref="G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Y47:Y48"/>
    <mergeCell ref="Z47:Z48"/>
    <mergeCell ref="AA47:AA48"/>
    <mergeCell ref="R47:R48"/>
    <mergeCell ref="S47:S48"/>
    <mergeCell ref="T47:T48"/>
    <mergeCell ref="U47:U48"/>
    <mergeCell ref="V47:V48"/>
    <mergeCell ref="W47:W48"/>
    <mergeCell ref="X47:X48"/>
    <mergeCell ref="A12:B12"/>
    <mergeCell ref="A21:B21"/>
    <mergeCell ref="A41:B41"/>
    <mergeCell ref="A45:B45"/>
    <mergeCell ref="A47:A48"/>
    <mergeCell ref="B47:B48"/>
    <mergeCell ref="C47:C48"/>
  </mergeCells>
  <printOptions/>
  <pageMargins bottom="0.75" footer="0.0" header="0.0" left="0.7" right="0.7" top="0.75"/>
  <pageSetup paperSize="9" scale="26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1.89"/>
    <col customWidth="1" min="3" max="4" width="9.11"/>
    <col customWidth="1" min="5" max="5" width="16.44"/>
    <col customWidth="1" min="6" max="6" width="11.33"/>
    <col customWidth="1" min="7" max="7" width="10.78"/>
    <col customWidth="1" min="8" max="8" width="15.44"/>
    <col customWidth="1" min="9" max="9" width="12.22"/>
    <col customWidth="1" min="10" max="10" width="14.44"/>
    <col customWidth="1" min="11" max="11" width="17.11"/>
    <col customWidth="1" min="12" max="12" width="13.22"/>
    <col customWidth="1" min="13" max="13" width="17.67"/>
    <col customWidth="1" min="14" max="26" width="8.56"/>
  </cols>
  <sheetData>
    <row r="1" ht="15.75" customHeight="1">
      <c r="A1" s="179" t="s">
        <v>99</v>
      </c>
    </row>
    <row r="2" ht="15.75" customHeight="1">
      <c r="A2" s="180" t="s">
        <v>64</v>
      </c>
      <c r="B2" s="318"/>
      <c r="E2" s="182"/>
      <c r="F2" s="182"/>
      <c r="G2" s="182"/>
      <c r="H2" s="182"/>
      <c r="I2" s="171"/>
      <c r="J2" s="185"/>
      <c r="K2" s="186" t="s">
        <v>65</v>
      </c>
    </row>
    <row r="3" ht="15.75" customHeight="1">
      <c r="A3" s="260" t="s">
        <v>2</v>
      </c>
      <c r="B3" s="319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261" t="s">
        <v>69</v>
      </c>
      <c r="J4" s="198" t="s">
        <v>70</v>
      </c>
      <c r="K4" s="198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'Yakin Pasifik Tuna'!B5</f>
        <v>45137</v>
      </c>
      <c r="C5" s="320">
        <f>SUM('Yakin Pasifik Tuna'!E5:G5)+'Yakin Pasifik Tuna'!K5</f>
        <v>5015</v>
      </c>
      <c r="D5" s="237">
        <f>'Yakin Pasifik Tuna'!V5</f>
        <v>16442.54944</v>
      </c>
      <c r="E5" s="239">
        <f t="shared" ref="E5:E8" si="2">D5*C5</f>
        <v>82459385.45</v>
      </c>
      <c r="F5" s="239"/>
      <c r="G5" s="239"/>
      <c r="H5" s="239"/>
      <c r="I5" s="320">
        <f t="shared" ref="I5:J5" si="1">C5</f>
        <v>5015</v>
      </c>
      <c r="J5" s="247">
        <f t="shared" si="1"/>
        <v>16442.54944</v>
      </c>
      <c r="K5" s="246">
        <f>I5*J5</f>
        <v>82459385.45</v>
      </c>
      <c r="L5" s="183"/>
      <c r="M5" s="207" t="str">
        <f>K6+#REF!</f>
        <v>#REF!</v>
      </c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'Yakin Pasifik Tuna'!B6</f>
        <v>45138</v>
      </c>
      <c r="C6" s="320">
        <f>SUM('Yakin Pasifik Tuna'!E6:G6)+'Yakin Pasifik Tuna'!K6</f>
        <v>9613</v>
      </c>
      <c r="D6" s="237">
        <f>'Yakin Pasifik Tuna'!V6</f>
        <v>16137.87264</v>
      </c>
      <c r="E6" s="239">
        <f t="shared" si="2"/>
        <v>155133369.7</v>
      </c>
      <c r="F6" s="239"/>
      <c r="G6" s="239"/>
      <c r="H6" s="239"/>
      <c r="I6" s="320">
        <f t="shared" ref="I6:I8" si="3">I5+C6</f>
        <v>14628</v>
      </c>
      <c r="J6" s="246">
        <f t="shared" ref="J6:J8" si="4">K6/I6</f>
        <v>16242.32671</v>
      </c>
      <c r="K6" s="246">
        <f t="shared" ref="K6:K8" si="5">K5+E6</f>
        <v>237592755.1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'Yakin Pasifik Tuna'!B7</f>
        <v>45139</v>
      </c>
      <c r="C7" s="320">
        <f>SUM('Yakin Pasifik Tuna'!E7:G7)+'Yakin Pasifik Tuna'!K7</f>
        <v>1784</v>
      </c>
      <c r="D7" s="237">
        <f>'Yakin Pasifik Tuna'!V7</f>
        <v>16444.96644</v>
      </c>
      <c r="E7" s="239">
        <f t="shared" si="2"/>
        <v>29337820.13</v>
      </c>
      <c r="F7" s="239"/>
      <c r="G7" s="239"/>
      <c r="H7" s="239"/>
      <c r="I7" s="320">
        <f t="shared" si="3"/>
        <v>16412</v>
      </c>
      <c r="J7" s="246">
        <f t="shared" si="4"/>
        <v>16264.35384</v>
      </c>
      <c r="K7" s="246">
        <f t="shared" si="5"/>
        <v>266930575.3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'Yakin Pasifik Tuna'!B8</f>
        <v>45149</v>
      </c>
      <c r="C8" s="320">
        <f>SUM('Yakin Pasifik Tuna'!E8:G8)+'Yakin Pasifik Tuna'!K8</f>
        <v>4803</v>
      </c>
      <c r="D8" s="237">
        <f>'Yakin Pasifik Tuna'!V8</f>
        <v>16325.95761</v>
      </c>
      <c r="E8" s="239">
        <f t="shared" si="2"/>
        <v>78413574.4</v>
      </c>
      <c r="F8" s="239"/>
      <c r="G8" s="239"/>
      <c r="H8" s="239"/>
      <c r="I8" s="320">
        <f t="shared" si="3"/>
        <v>21215</v>
      </c>
      <c r="J8" s="246">
        <f t="shared" si="4"/>
        <v>16278.30071</v>
      </c>
      <c r="K8" s="246">
        <f t="shared" si="5"/>
        <v>345344149.7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199">
        <v>5.0</v>
      </c>
      <c r="B9" s="209">
        <v>45154.0</v>
      </c>
      <c r="C9" s="321"/>
      <c r="D9" s="240"/>
      <c r="E9" s="240"/>
      <c r="F9" s="240">
        <v>19059.5</v>
      </c>
      <c r="G9" s="240">
        <f>J8</f>
        <v>16278.30071</v>
      </c>
      <c r="H9" s="240">
        <f>F9*G9</f>
        <v>310256272.5</v>
      </c>
      <c r="I9" s="321">
        <f>I8-F9</f>
        <v>2155.5</v>
      </c>
      <c r="J9" s="243">
        <f>J8</f>
        <v>16278.30071</v>
      </c>
      <c r="K9" s="243">
        <f>K8-H9</f>
        <v>35087877.19</v>
      </c>
      <c r="L9" s="322"/>
      <c r="M9" s="323">
        <v>2.477735E8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199">
        <v>6.0</v>
      </c>
      <c r="B10" s="200">
        <f>'Yakin Pasifik Tuna'!B9</f>
        <v>45165</v>
      </c>
      <c r="C10" s="320">
        <f>SUM('Yakin Pasifik Tuna'!E9:G9)+'Yakin Pasifik Tuna'!K9</f>
        <v>3462</v>
      </c>
      <c r="D10" s="239">
        <f>'Yakin Pasifik Tuna'!V9</f>
        <v>16442.79048</v>
      </c>
      <c r="E10" s="239">
        <f t="shared" ref="E10:E11" si="6">D10*C10</f>
        <v>56924940.64</v>
      </c>
      <c r="F10" s="239"/>
      <c r="G10" s="239"/>
      <c r="H10" s="239"/>
      <c r="I10" s="324">
        <f t="shared" ref="I10:I16" si="7">I9+C10</f>
        <v>5617.5</v>
      </c>
      <c r="J10" s="246">
        <f t="shared" ref="J10:J45" si="8">K10/I10</f>
        <v>16379.67385</v>
      </c>
      <c r="K10" s="246">
        <f t="shared" ref="K10:K16" si="9">K9+E10</f>
        <v>92012817.84</v>
      </c>
      <c r="L10" s="183"/>
      <c r="M10" s="182" t="str">
        <f>M9+'[3]Persediaan &amp; HPP Cakalang PP'!L8</f>
        <v>#REF!</v>
      </c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200">
        <f>'Yakin Pasifik Tuna'!B10</f>
        <v>45167</v>
      </c>
      <c r="C11" s="320">
        <f>SUM('Yakin Pasifik Tuna'!E10:G10)+'Yakin Pasifik Tuna'!K10</f>
        <v>495</v>
      </c>
      <c r="D11" s="239">
        <f>'Yakin Pasifik Tuna'!V10</f>
        <v>16441.59292</v>
      </c>
      <c r="E11" s="239">
        <f t="shared" si="6"/>
        <v>8138588.496</v>
      </c>
      <c r="F11" s="239"/>
      <c r="G11" s="239"/>
      <c r="H11" s="239"/>
      <c r="I11" s="324">
        <f t="shared" si="7"/>
        <v>6112.5</v>
      </c>
      <c r="J11" s="246">
        <f t="shared" si="8"/>
        <v>16384.68815</v>
      </c>
      <c r="K11" s="246">
        <f t="shared" si="9"/>
        <v>100151406.3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200">
        <f>'Yakin Pasifik Tuna'!B11</f>
        <v>45169</v>
      </c>
      <c r="C12" s="320">
        <f>SUM('Yakin Pasifik Tuna'!E11:G11)+'Yakin Pasifik Tuna'!K11</f>
        <v>1774</v>
      </c>
      <c r="D12" s="239">
        <f>'Yakin Pasifik Tuna'!V11</f>
        <v>16501.26716</v>
      </c>
      <c r="E12" s="239">
        <f t="shared" ref="E12:E16" si="10">C12*D12</f>
        <v>29273247.94</v>
      </c>
      <c r="F12" s="239"/>
      <c r="G12" s="239"/>
      <c r="H12" s="239"/>
      <c r="I12" s="324">
        <f t="shared" si="7"/>
        <v>7886.5</v>
      </c>
      <c r="J12" s="246">
        <f t="shared" si="8"/>
        <v>16410.91159</v>
      </c>
      <c r="K12" s="246">
        <f t="shared" si="9"/>
        <v>129424654.3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325">
        <f>'Yakin Pasifik Tuna'!B14</f>
        <v>45170</v>
      </c>
      <c r="C13" s="320">
        <f>SUM('Yakin Pasifik Tuna'!D14:G14)</f>
        <v>6597</v>
      </c>
      <c r="D13" s="237">
        <f>'Yakin Pasifik Tuna'!V14</f>
        <v>16522.8217</v>
      </c>
      <c r="E13" s="239">
        <f t="shared" si="10"/>
        <v>109001054.8</v>
      </c>
      <c r="F13" s="239"/>
      <c r="G13" s="239"/>
      <c r="H13" s="239"/>
      <c r="I13" s="324">
        <f t="shared" si="7"/>
        <v>14483.5</v>
      </c>
      <c r="J13" s="246">
        <f t="shared" si="8"/>
        <v>16461.88484</v>
      </c>
      <c r="K13" s="246">
        <f t="shared" si="9"/>
        <v>238425709</v>
      </c>
    </row>
    <row r="14" ht="15.75" customHeight="1">
      <c r="A14" s="199">
        <v>10.0</v>
      </c>
      <c r="B14" s="325">
        <f>'Yakin Pasifik Tuna'!B15</f>
        <v>45171</v>
      </c>
      <c r="C14" s="320">
        <f>SUM('Yakin Pasifik Tuna'!D15:G15)</f>
        <v>2467</v>
      </c>
      <c r="D14" s="237">
        <f>'Yakin Pasifik Tuna'!V15</f>
        <v>16442.8081</v>
      </c>
      <c r="E14" s="239">
        <f t="shared" si="10"/>
        <v>40564407.59</v>
      </c>
      <c r="F14" s="237"/>
      <c r="G14" s="237"/>
      <c r="H14" s="237"/>
      <c r="I14" s="324">
        <f t="shared" si="7"/>
        <v>16950.5</v>
      </c>
      <c r="J14" s="246">
        <f t="shared" si="8"/>
        <v>16459.10838</v>
      </c>
      <c r="K14" s="246">
        <f t="shared" si="9"/>
        <v>278990116.6</v>
      </c>
    </row>
    <row r="15" ht="15.75" customHeight="1">
      <c r="A15" s="199">
        <v>11.0</v>
      </c>
      <c r="B15" s="325">
        <f>'Yakin Pasifik Tuna'!B16</f>
        <v>45172</v>
      </c>
      <c r="C15" s="320">
        <f>SUM('Yakin Pasifik Tuna'!D16:G16)</f>
        <v>235</v>
      </c>
      <c r="D15" s="237">
        <f>'Yakin Pasifik Tuna'!V16</f>
        <v>16444.92754</v>
      </c>
      <c r="E15" s="239">
        <f t="shared" si="10"/>
        <v>3864557.971</v>
      </c>
      <c r="F15" s="237"/>
      <c r="G15" s="237"/>
      <c r="H15" s="237"/>
      <c r="I15" s="324">
        <f t="shared" si="7"/>
        <v>17185.5</v>
      </c>
      <c r="J15" s="246">
        <f t="shared" si="8"/>
        <v>16458.91447</v>
      </c>
      <c r="K15" s="246">
        <f t="shared" si="9"/>
        <v>282854674.6</v>
      </c>
    </row>
    <row r="16" ht="15.75" customHeight="1">
      <c r="A16" s="199">
        <v>12.0</v>
      </c>
      <c r="B16" s="325">
        <f>'Yakin Pasifik Tuna'!B17</f>
        <v>45173</v>
      </c>
      <c r="C16" s="320">
        <f>SUM('Yakin Pasifik Tuna'!D17:G17)</f>
        <v>3751</v>
      </c>
      <c r="D16" s="237">
        <f>'Yakin Pasifik Tuna'!V17</f>
        <v>16500.48663</v>
      </c>
      <c r="E16" s="239">
        <f t="shared" si="10"/>
        <v>61893325.34</v>
      </c>
      <c r="F16" s="237"/>
      <c r="G16" s="237"/>
      <c r="H16" s="237"/>
      <c r="I16" s="324">
        <f t="shared" si="7"/>
        <v>20936.5</v>
      </c>
      <c r="J16" s="246">
        <f t="shared" si="8"/>
        <v>16466.36257</v>
      </c>
      <c r="K16" s="246">
        <f t="shared" si="9"/>
        <v>344747999.9</v>
      </c>
    </row>
    <row r="17" ht="15.75" customHeight="1">
      <c r="A17" s="199">
        <v>13.0</v>
      </c>
      <c r="B17" s="326">
        <v>45178.0</v>
      </c>
      <c r="C17" s="228"/>
      <c r="D17" s="228"/>
      <c r="E17" s="248"/>
      <c r="F17" s="248">
        <v>16720.0</v>
      </c>
      <c r="G17" s="248">
        <f t="shared" ref="G17:G18" si="11">J16</f>
        <v>16466.36257</v>
      </c>
      <c r="H17" s="240">
        <f t="shared" ref="H17:H18" si="12">F17*G17</f>
        <v>275317582.1</v>
      </c>
      <c r="I17" s="327">
        <f t="shared" ref="I17:I18" si="13">I16-F17</f>
        <v>4216.5</v>
      </c>
      <c r="J17" s="248">
        <f t="shared" si="8"/>
        <v>16466.36257</v>
      </c>
      <c r="K17" s="248">
        <f t="shared" ref="K17:K18" si="14">K16-H17</f>
        <v>69430417.77</v>
      </c>
      <c r="L17" s="220">
        <f>H17+'Persediaan &amp; HPP Ca PP YPT '!H17</f>
        <v>307905249.9</v>
      </c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ht="15.75" customHeight="1">
      <c r="A18" s="199">
        <v>14.0</v>
      </c>
      <c r="B18" s="326">
        <v>45191.0</v>
      </c>
      <c r="C18" s="228"/>
      <c r="D18" s="228"/>
      <c r="E18" s="248"/>
      <c r="F18" s="248">
        <v>3775.8</v>
      </c>
      <c r="G18" s="248">
        <f t="shared" si="11"/>
        <v>16466.36257</v>
      </c>
      <c r="H18" s="240">
        <f t="shared" si="12"/>
        <v>62173691.79</v>
      </c>
      <c r="I18" s="327">
        <f t="shared" si="13"/>
        <v>440.7</v>
      </c>
      <c r="J18" s="248">
        <f t="shared" si="8"/>
        <v>16466.36257</v>
      </c>
      <c r="K18" s="248">
        <f t="shared" si="14"/>
        <v>7256725.984</v>
      </c>
      <c r="L18" s="220">
        <f>H18+'Persediaan &amp; HPP Ca PP YPT '!H18</f>
        <v>74309464.6</v>
      </c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199">
        <v>15.0</v>
      </c>
      <c r="B19" s="325">
        <f>'Yakin Pasifik Tuna'!B18</f>
        <v>45195</v>
      </c>
      <c r="C19" s="237">
        <f>SUM('Yakin Pasifik Tuna'!D18:G18)</f>
        <v>818</v>
      </c>
      <c r="D19" s="237">
        <f>'Yakin Pasifik Tuna'!V18</f>
        <v>16442.71357</v>
      </c>
      <c r="E19" s="237">
        <f t="shared" ref="E19:E30" si="15">C19*D19</f>
        <v>13450139.7</v>
      </c>
      <c r="F19" s="237"/>
      <c r="G19" s="237"/>
      <c r="H19" s="237"/>
      <c r="I19" s="328">
        <f t="shared" ref="I19:I30" si="16">I18+C19</f>
        <v>1258.7</v>
      </c>
      <c r="J19" s="237">
        <f t="shared" si="8"/>
        <v>16450.99363</v>
      </c>
      <c r="K19" s="237">
        <f t="shared" ref="K19:K30" si="17">K18+E19</f>
        <v>20706865.68</v>
      </c>
    </row>
    <row r="20" ht="15.75" customHeight="1">
      <c r="A20" s="199">
        <v>16.0</v>
      </c>
      <c r="B20" s="325">
        <f>'Yakin Pasifik Tuna'!B19</f>
        <v>45197</v>
      </c>
      <c r="C20" s="237">
        <f>SUM('Yakin Pasifik Tuna'!D19:G19)</f>
        <v>1309</v>
      </c>
      <c r="D20" s="237">
        <f>'Yakin Pasifik Tuna'!V19</f>
        <v>16442.11886</v>
      </c>
      <c r="E20" s="237">
        <f t="shared" si="15"/>
        <v>21522733.59</v>
      </c>
      <c r="F20" s="237"/>
      <c r="G20" s="237"/>
      <c r="H20" s="237"/>
      <c r="I20" s="328">
        <f t="shared" si="16"/>
        <v>2567.7</v>
      </c>
      <c r="J20" s="237">
        <f t="shared" si="8"/>
        <v>16446.46932</v>
      </c>
      <c r="K20" s="237">
        <f t="shared" si="17"/>
        <v>42229599.27</v>
      </c>
    </row>
    <row r="21" ht="15.75" customHeight="1">
      <c r="A21" s="199">
        <v>17.0</v>
      </c>
      <c r="B21" s="325">
        <f>'Yakin Pasifik Tuna'!B20</f>
        <v>45199</v>
      </c>
      <c r="C21" s="237">
        <f>SUM('Yakin Pasifik Tuna'!D20:G20)</f>
        <v>2250</v>
      </c>
      <c r="D21" s="237">
        <f>'Yakin Pasifik Tuna'!V20</f>
        <v>16443.16305</v>
      </c>
      <c r="E21" s="237">
        <f t="shared" si="15"/>
        <v>36997116.86</v>
      </c>
      <c r="F21" s="237"/>
      <c r="G21" s="237"/>
      <c r="H21" s="237"/>
      <c r="I21" s="328">
        <f t="shared" si="16"/>
        <v>4817.7</v>
      </c>
      <c r="J21" s="237">
        <f t="shared" si="8"/>
        <v>16444.9252</v>
      </c>
      <c r="K21" s="237">
        <f t="shared" si="17"/>
        <v>79226716.13</v>
      </c>
      <c r="L21" s="124">
        <f>SUM(H17:H18)</f>
        <v>337491273.9</v>
      </c>
    </row>
    <row r="22" ht="15.75" customHeight="1">
      <c r="A22" s="199">
        <v>18.0</v>
      </c>
      <c r="B22" s="126">
        <v>45200.0</v>
      </c>
      <c r="C22" s="237">
        <f>SUM('Yakin Pasifik Tuna'!D23:G23)</f>
        <v>855</v>
      </c>
      <c r="D22" s="237">
        <f>'Yakin Pasifik Tuna'!V23</f>
        <v>16441.53328</v>
      </c>
      <c r="E22" s="237">
        <f t="shared" si="15"/>
        <v>14057510.95</v>
      </c>
      <c r="F22" s="237"/>
      <c r="G22" s="237"/>
      <c r="H22" s="237"/>
      <c r="I22" s="328">
        <f t="shared" si="16"/>
        <v>5672.7</v>
      </c>
      <c r="J22" s="237">
        <f t="shared" si="8"/>
        <v>16444.41396</v>
      </c>
      <c r="K22" s="237">
        <f t="shared" si="17"/>
        <v>93284227.08</v>
      </c>
    </row>
    <row r="23" ht="15.75" customHeight="1">
      <c r="A23" s="199">
        <v>19.0</v>
      </c>
      <c r="B23" s="126">
        <v>45202.0</v>
      </c>
      <c r="C23" s="237">
        <f>SUM('Yakin Pasifik Tuna'!D24:G24)</f>
        <v>4470</v>
      </c>
      <c r="D23" s="237">
        <f>'Yakin Pasifik Tuna'!V24</f>
        <v>16442.18972</v>
      </c>
      <c r="E23" s="237">
        <f t="shared" si="15"/>
        <v>73496588.06</v>
      </c>
      <c r="F23" s="237"/>
      <c r="G23" s="237"/>
      <c r="H23" s="237"/>
      <c r="I23" s="328">
        <f t="shared" si="16"/>
        <v>10142.7</v>
      </c>
      <c r="J23" s="237">
        <f t="shared" si="8"/>
        <v>16443.43371</v>
      </c>
      <c r="K23" s="237">
        <f t="shared" si="17"/>
        <v>166780815.1</v>
      </c>
    </row>
    <row r="24" ht="15.75" customHeight="1">
      <c r="A24" s="199">
        <v>20.0</v>
      </c>
      <c r="B24" s="126">
        <v>45203.0</v>
      </c>
      <c r="C24" s="237">
        <f>SUM('Yakin Pasifik Tuna'!D25:G25)</f>
        <v>2975</v>
      </c>
      <c r="D24" s="237">
        <f>'Yakin Pasifik Tuna'!V25</f>
        <v>16444.45828</v>
      </c>
      <c r="E24" s="237">
        <f t="shared" si="15"/>
        <v>48922263.39</v>
      </c>
      <c r="F24" s="237"/>
      <c r="G24" s="237"/>
      <c r="H24" s="237"/>
      <c r="I24" s="328">
        <f t="shared" si="16"/>
        <v>13117.7</v>
      </c>
      <c r="J24" s="237">
        <f t="shared" si="8"/>
        <v>16443.66608</v>
      </c>
      <c r="K24" s="237">
        <f t="shared" si="17"/>
        <v>215703078.5</v>
      </c>
    </row>
    <row r="25" ht="15.75" customHeight="1">
      <c r="A25" s="199">
        <v>21.0</v>
      </c>
      <c r="B25" s="126">
        <v>45204.0</v>
      </c>
      <c r="C25" s="237">
        <f>SUM('Yakin Pasifik Tuna'!D26:G26)</f>
        <v>419</v>
      </c>
      <c r="D25" s="237">
        <f>'Yakin Pasifik Tuna'!V26</f>
        <v>16446.66667</v>
      </c>
      <c r="E25" s="237">
        <f t="shared" si="15"/>
        <v>6891153.333</v>
      </c>
      <c r="F25" s="237"/>
      <c r="G25" s="237"/>
      <c r="H25" s="237"/>
      <c r="I25" s="328">
        <f t="shared" si="16"/>
        <v>13536.7</v>
      </c>
      <c r="J25" s="237">
        <f t="shared" si="8"/>
        <v>16443.75896</v>
      </c>
      <c r="K25" s="237">
        <f t="shared" si="17"/>
        <v>222594231.9</v>
      </c>
    </row>
    <row r="26" ht="15.75" customHeight="1">
      <c r="A26" s="199">
        <v>22.0</v>
      </c>
      <c r="B26" s="126">
        <v>45207.0</v>
      </c>
      <c r="C26" s="237">
        <f>SUM('Yakin Pasifik Tuna'!D27:G27)</f>
        <v>4315</v>
      </c>
      <c r="D26" s="237">
        <f>'Yakin Pasifik Tuna'!V27</f>
        <v>16294.68513</v>
      </c>
      <c r="E26" s="237">
        <f t="shared" si="15"/>
        <v>70311566.36</v>
      </c>
      <c r="F26" s="237"/>
      <c r="G26" s="237"/>
      <c r="H26" s="237"/>
      <c r="I26" s="328">
        <f t="shared" si="16"/>
        <v>17851.7</v>
      </c>
      <c r="J26" s="237">
        <f t="shared" si="8"/>
        <v>16407.72577</v>
      </c>
      <c r="K26" s="237">
        <f t="shared" si="17"/>
        <v>292905798.2</v>
      </c>
    </row>
    <row r="27" ht="15.75" customHeight="1">
      <c r="A27" s="199">
        <v>23.0</v>
      </c>
      <c r="B27" s="126">
        <v>45208.0</v>
      </c>
      <c r="C27" s="237">
        <f>SUM('Yakin Pasifik Tuna'!D28:G28)</f>
        <v>4502</v>
      </c>
      <c r="D27" s="237">
        <f>'Yakin Pasifik Tuna'!V28</f>
        <v>16285.4025</v>
      </c>
      <c r="E27" s="237">
        <f t="shared" si="15"/>
        <v>73316882.04</v>
      </c>
      <c r="F27" s="237"/>
      <c r="G27" s="237"/>
      <c r="H27" s="237"/>
      <c r="I27" s="328">
        <f t="shared" si="16"/>
        <v>22353.7</v>
      </c>
      <c r="J27" s="237">
        <f t="shared" si="8"/>
        <v>16383.09006</v>
      </c>
      <c r="K27" s="237">
        <f t="shared" si="17"/>
        <v>366222680.3</v>
      </c>
    </row>
    <row r="28" ht="15.75" customHeight="1">
      <c r="A28" s="199">
        <v>24.0</v>
      </c>
      <c r="B28" s="126">
        <v>45209.0</v>
      </c>
      <c r="C28" s="237">
        <f>SUM('Yakin Pasifik Tuna'!D29:G29)</f>
        <v>5257</v>
      </c>
      <c r="D28" s="237">
        <f>'Yakin Pasifik Tuna'!V29</f>
        <v>16281.14937</v>
      </c>
      <c r="E28" s="237">
        <f t="shared" si="15"/>
        <v>85590002.25</v>
      </c>
      <c r="F28" s="237"/>
      <c r="G28" s="237"/>
      <c r="H28" s="237"/>
      <c r="I28" s="328">
        <f t="shared" si="16"/>
        <v>27610.7</v>
      </c>
      <c r="J28" s="237">
        <f t="shared" si="8"/>
        <v>16363.68084</v>
      </c>
      <c r="K28" s="237">
        <f t="shared" si="17"/>
        <v>451812682.5</v>
      </c>
    </row>
    <row r="29" ht="15.75" customHeight="1">
      <c r="A29" s="199">
        <v>25.0</v>
      </c>
      <c r="B29" s="126">
        <v>45210.0</v>
      </c>
      <c r="C29" s="237">
        <f>SUM('Yakin Pasifik Tuna'!D30:G30)</f>
        <v>5804</v>
      </c>
      <c r="D29" s="237">
        <f>'Yakin Pasifik Tuna'!V30</f>
        <v>16279.43689</v>
      </c>
      <c r="E29" s="237">
        <f t="shared" si="15"/>
        <v>94485851.73</v>
      </c>
      <c r="F29" s="237"/>
      <c r="G29" s="237"/>
      <c r="H29" s="237"/>
      <c r="I29" s="328">
        <f t="shared" si="16"/>
        <v>33414.7</v>
      </c>
      <c r="J29" s="237">
        <f t="shared" si="8"/>
        <v>16349.048</v>
      </c>
      <c r="K29" s="237">
        <f t="shared" si="17"/>
        <v>546298534.2</v>
      </c>
    </row>
    <row r="30" ht="15.75" customHeight="1">
      <c r="A30" s="199">
        <v>26.0</v>
      </c>
      <c r="B30" s="126">
        <v>45211.0</v>
      </c>
      <c r="C30" s="237">
        <f>SUM('Yakin Pasifik Tuna'!D31:G31)</f>
        <v>5390</v>
      </c>
      <c r="D30" s="237">
        <f>'Yakin Pasifik Tuna'!V31</f>
        <v>15780.79796</v>
      </c>
      <c r="E30" s="237">
        <f t="shared" si="15"/>
        <v>85058500.99</v>
      </c>
      <c r="F30" s="237"/>
      <c r="G30" s="237"/>
      <c r="H30" s="237"/>
      <c r="I30" s="328">
        <f t="shared" si="16"/>
        <v>38804.7</v>
      </c>
      <c r="J30" s="237">
        <f t="shared" si="8"/>
        <v>16270.11767</v>
      </c>
      <c r="K30" s="237">
        <f t="shared" si="17"/>
        <v>631357035.2</v>
      </c>
    </row>
    <row r="31" ht="15.75" customHeight="1">
      <c r="A31" s="199">
        <v>27.0</v>
      </c>
      <c r="B31" s="329">
        <v>45212.0</v>
      </c>
      <c r="C31" s="228"/>
      <c r="D31" s="228"/>
      <c r="E31" s="248"/>
      <c r="F31" s="248">
        <v>9550.0</v>
      </c>
      <c r="G31" s="248">
        <f>J30</f>
        <v>16270.11767</v>
      </c>
      <c r="H31" s="248">
        <f>F31*G31</f>
        <v>155379623.8</v>
      </c>
      <c r="I31" s="327">
        <f>I30-F31</f>
        <v>29254.7</v>
      </c>
      <c r="J31" s="248">
        <f t="shared" si="8"/>
        <v>16270.11767</v>
      </c>
      <c r="K31" s="248">
        <f>K30-H31</f>
        <v>475977411.5</v>
      </c>
      <c r="L31" s="220">
        <f>H31+'Persediaan &amp; HPP Ca PP YPT '!H31</f>
        <v>263430258.1</v>
      </c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ht="15.75" customHeight="1">
      <c r="A32" s="199">
        <v>28.0</v>
      </c>
      <c r="B32" s="143">
        <v>45212.0</v>
      </c>
      <c r="C32" s="237">
        <f>SUM('Yakin Pasifik Tuna'!D32:G32)</f>
        <v>5479</v>
      </c>
      <c r="D32" s="237">
        <f>'Yakin Pasifik Tuna'!V32</f>
        <v>15784.48487</v>
      </c>
      <c r="E32" s="237">
        <f t="shared" ref="E32:E42" si="18">C32*D32</f>
        <v>86483192.63</v>
      </c>
      <c r="F32" s="237"/>
      <c r="G32" s="237"/>
      <c r="H32" s="237"/>
      <c r="I32" s="328">
        <f t="shared" ref="I32:I35" si="19">I31+C32</f>
        <v>34733.7</v>
      </c>
      <c r="J32" s="237">
        <f t="shared" si="8"/>
        <v>16193.51247</v>
      </c>
      <c r="K32" s="237">
        <f t="shared" ref="K32:K35" si="20">K31+E32</f>
        <v>562460604.1</v>
      </c>
    </row>
    <row r="33" ht="15.75" customHeight="1">
      <c r="A33" s="199">
        <v>29.0</v>
      </c>
      <c r="B33" s="126">
        <v>45213.0</v>
      </c>
      <c r="C33" s="237">
        <f>SUM('Yakin Pasifik Tuna'!D33:G33)</f>
        <v>4007</v>
      </c>
      <c r="D33" s="237">
        <f>'Yakin Pasifik Tuna'!V33</f>
        <v>15780.38985</v>
      </c>
      <c r="E33" s="237">
        <f t="shared" si="18"/>
        <v>63232022.15</v>
      </c>
      <c r="F33" s="237"/>
      <c r="G33" s="237"/>
      <c r="H33" s="237"/>
      <c r="I33" s="328">
        <f t="shared" si="19"/>
        <v>38740.7</v>
      </c>
      <c r="J33" s="237">
        <f t="shared" si="8"/>
        <v>16150.78267</v>
      </c>
      <c r="K33" s="237">
        <f t="shared" si="20"/>
        <v>625692626.2</v>
      </c>
    </row>
    <row r="34" ht="15.75" customHeight="1">
      <c r="A34" s="199">
        <v>30.0</v>
      </c>
      <c r="B34" s="126">
        <v>45216.0</v>
      </c>
      <c r="C34" s="237">
        <f>SUM('Yakin Pasifik Tuna'!D34:G34)</f>
        <v>2773</v>
      </c>
      <c r="D34" s="237">
        <f>'Yakin Pasifik Tuna'!V34</f>
        <v>15783.38575</v>
      </c>
      <c r="E34" s="237">
        <f t="shared" si="18"/>
        <v>43767328.68</v>
      </c>
      <c r="F34" s="237"/>
      <c r="G34" s="237"/>
      <c r="H34" s="237"/>
      <c r="I34" s="328">
        <f t="shared" si="19"/>
        <v>41513.7</v>
      </c>
      <c r="J34" s="237">
        <f t="shared" si="8"/>
        <v>16126.24158</v>
      </c>
      <c r="K34" s="237">
        <f t="shared" si="20"/>
        <v>669459954.9</v>
      </c>
    </row>
    <row r="35" ht="15.75" customHeight="1">
      <c r="A35" s="199">
        <v>31.0</v>
      </c>
      <c r="B35" s="126">
        <v>45217.0</v>
      </c>
      <c r="C35" s="237">
        <f>SUM('Yakin Pasifik Tuna'!D35:G35)</f>
        <v>1981</v>
      </c>
      <c r="D35" s="237">
        <f>'Yakin Pasifik Tuna'!V35</f>
        <v>15789.93315</v>
      </c>
      <c r="E35" s="237">
        <f t="shared" si="18"/>
        <v>31279857.57</v>
      </c>
      <c r="F35" s="237"/>
      <c r="G35" s="237"/>
      <c r="H35" s="237"/>
      <c r="I35" s="328">
        <f t="shared" si="19"/>
        <v>43494.7</v>
      </c>
      <c r="J35" s="237">
        <f t="shared" si="8"/>
        <v>16110.92415</v>
      </c>
      <c r="K35" s="237">
        <f t="shared" si="20"/>
        <v>700739812.5</v>
      </c>
    </row>
    <row r="36" ht="15.75" customHeight="1">
      <c r="A36" s="199">
        <v>32.0</v>
      </c>
      <c r="B36" s="329">
        <v>45219.0</v>
      </c>
      <c r="C36" s="228"/>
      <c r="D36" s="228"/>
      <c r="E36" s="248">
        <f t="shared" si="18"/>
        <v>0</v>
      </c>
      <c r="F36" s="248">
        <v>17430.0</v>
      </c>
      <c r="G36" s="248">
        <f>J35</f>
        <v>16110.92415</v>
      </c>
      <c r="H36" s="248">
        <f t="shared" ref="H36:H38" si="21">F36*G36</f>
        <v>280813407.9</v>
      </c>
      <c r="I36" s="327">
        <f>I35-F36</f>
        <v>26064.7</v>
      </c>
      <c r="J36" s="248">
        <f t="shared" si="8"/>
        <v>16110.92415</v>
      </c>
      <c r="K36" s="248">
        <f>K35-H36</f>
        <v>419926404.6</v>
      </c>
      <c r="L36" s="220">
        <f>H36+'Persediaan &amp; HPP Ca PP YPT '!H36</f>
        <v>307319566.2</v>
      </c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199">
        <v>33.0</v>
      </c>
      <c r="B37" s="126">
        <v>45220.0</v>
      </c>
      <c r="C37" s="237">
        <f>SUM('Yakin Pasifik Tuna'!D36:G36)</f>
        <v>3258</v>
      </c>
      <c r="D37" s="237">
        <f>'Yakin Pasifik Tuna'!V36</f>
        <v>16290.53207</v>
      </c>
      <c r="E37" s="237">
        <f t="shared" si="18"/>
        <v>53074553.47</v>
      </c>
      <c r="F37" s="237"/>
      <c r="G37" s="237"/>
      <c r="H37" s="330">
        <f t="shared" si="21"/>
        <v>0</v>
      </c>
      <c r="I37" s="328">
        <f>I36+C37</f>
        <v>29322.7</v>
      </c>
      <c r="J37" s="237">
        <f t="shared" si="8"/>
        <v>16130.88011</v>
      </c>
      <c r="K37" s="237">
        <f>K36+E37</f>
        <v>473000958.1</v>
      </c>
    </row>
    <row r="38" ht="15.75" customHeight="1">
      <c r="A38" s="199">
        <v>34.0</v>
      </c>
      <c r="B38" s="329">
        <v>45221.0</v>
      </c>
      <c r="C38" s="228"/>
      <c r="D38" s="228"/>
      <c r="E38" s="248">
        <f t="shared" si="18"/>
        <v>0</v>
      </c>
      <c r="F38" s="248">
        <v>8800.0</v>
      </c>
      <c r="G38" s="248">
        <f>J37</f>
        <v>16130.88011</v>
      </c>
      <c r="H38" s="248">
        <f t="shared" si="21"/>
        <v>141951744.9</v>
      </c>
      <c r="I38" s="327">
        <f>I37-F38</f>
        <v>20522.7</v>
      </c>
      <c r="J38" s="331">
        <f t="shared" si="8"/>
        <v>16130.88011</v>
      </c>
      <c r="K38" s="248">
        <f>K37-H38</f>
        <v>331049213.1</v>
      </c>
      <c r="L38" s="220">
        <f>H38+'Persediaan &amp; HPP Ca PP YPT '!H38+'Persediaan &amp; HPP Ca RC YPT '!H16</f>
        <v>166284619.5</v>
      </c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ht="15.75" customHeight="1">
      <c r="A39" s="199">
        <v>35.0</v>
      </c>
      <c r="B39" s="126">
        <v>45223.0</v>
      </c>
      <c r="C39" s="237">
        <f>SUM('Yakin Pasifik Tuna'!D37:G37)</f>
        <v>9376</v>
      </c>
      <c r="D39" s="237">
        <f>'Yakin Pasifik Tuna'!V37</f>
        <v>16085.48627</v>
      </c>
      <c r="E39" s="237">
        <f t="shared" si="18"/>
        <v>150817519.3</v>
      </c>
      <c r="F39" s="237"/>
      <c r="G39" s="237"/>
      <c r="H39" s="237"/>
      <c r="I39" s="328">
        <f t="shared" ref="I39:I42" si="22">I38+C39</f>
        <v>29898.7</v>
      </c>
      <c r="J39" s="330">
        <f t="shared" si="8"/>
        <v>16116.64495</v>
      </c>
      <c r="K39" s="237">
        <f t="shared" ref="K39:K42" si="23">K38+E39</f>
        <v>481866732.4</v>
      </c>
    </row>
    <row r="40" ht="15.75" customHeight="1">
      <c r="A40" s="199">
        <v>36.0</v>
      </c>
      <c r="B40" s="126">
        <v>45225.0</v>
      </c>
      <c r="C40" s="237">
        <f>SUM('Yakin Pasifik Tuna'!D38:G38)</f>
        <v>2538</v>
      </c>
      <c r="D40" s="237">
        <f>'Yakin Pasifik Tuna'!V38</f>
        <v>16154.04232</v>
      </c>
      <c r="E40" s="237">
        <f t="shared" si="18"/>
        <v>40998959.41</v>
      </c>
      <c r="F40" s="237"/>
      <c r="G40" s="237"/>
      <c r="H40" s="237"/>
      <c r="I40" s="328">
        <f t="shared" si="22"/>
        <v>32436.7</v>
      </c>
      <c r="J40" s="330">
        <f t="shared" si="8"/>
        <v>16119.5711</v>
      </c>
      <c r="K40" s="237">
        <f t="shared" si="23"/>
        <v>522865691.8</v>
      </c>
    </row>
    <row r="41" ht="15.75" customHeight="1">
      <c r="A41" s="199">
        <v>37.0</v>
      </c>
      <c r="B41" s="126">
        <v>45227.0</v>
      </c>
      <c r="C41" s="237">
        <f>SUM('Yakin Pasifik Tuna'!D39:G39)</f>
        <v>2567</v>
      </c>
      <c r="D41" s="237">
        <f>'Yakin Pasifik Tuna'!V39</f>
        <v>15994.53787</v>
      </c>
      <c r="E41" s="237">
        <f t="shared" si="18"/>
        <v>41057978.72</v>
      </c>
      <c r="F41" s="237"/>
      <c r="G41" s="237"/>
      <c r="H41" s="237"/>
      <c r="I41" s="328">
        <f t="shared" si="22"/>
        <v>35003.7</v>
      </c>
      <c r="J41" s="330">
        <f t="shared" si="8"/>
        <v>16110.40177</v>
      </c>
      <c r="K41" s="237">
        <f t="shared" si="23"/>
        <v>563923670.5</v>
      </c>
    </row>
    <row r="42" ht="15.75" customHeight="1">
      <c r="A42" s="199">
        <v>38.0</v>
      </c>
      <c r="B42" s="126">
        <v>45228.0</v>
      </c>
      <c r="C42" s="237">
        <f>SUM('Yakin Pasifik Tuna'!D40:G40)</f>
        <v>5455</v>
      </c>
      <c r="D42" s="237">
        <f>'Yakin Pasifik Tuna'!V40</f>
        <v>15278.68352</v>
      </c>
      <c r="E42" s="237">
        <f t="shared" si="18"/>
        <v>83345218.61</v>
      </c>
      <c r="F42" s="237"/>
      <c r="G42" s="237"/>
      <c r="H42" s="237"/>
      <c r="I42" s="328">
        <f t="shared" si="22"/>
        <v>40458.7</v>
      </c>
      <c r="J42" s="330">
        <f t="shared" si="8"/>
        <v>15998.26216</v>
      </c>
      <c r="K42" s="237">
        <f t="shared" si="23"/>
        <v>647268889.1</v>
      </c>
    </row>
    <row r="43" ht="15.75" customHeight="1">
      <c r="A43" s="208">
        <v>39.0</v>
      </c>
      <c r="B43" s="332">
        <v>45254.0</v>
      </c>
      <c r="C43" s="228"/>
      <c r="D43" s="228"/>
      <c r="E43" s="248"/>
      <c r="F43" s="248">
        <v>18990.0</v>
      </c>
      <c r="G43" s="248">
        <f>J42</f>
        <v>15998.26216</v>
      </c>
      <c r="H43" s="248">
        <f>F43*G43</f>
        <v>303806998.4</v>
      </c>
      <c r="I43" s="327">
        <f>I42-F43</f>
        <v>21468.7</v>
      </c>
      <c r="J43" s="248">
        <f t="shared" si="8"/>
        <v>15998.26216</v>
      </c>
      <c r="K43" s="248">
        <f>K42-H43</f>
        <v>343461890.8</v>
      </c>
      <c r="L43" s="220">
        <f>H43+'Persediaan &amp; HPP Ca PP YPT '!H43</f>
        <v>314213893.6</v>
      </c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199">
        <v>40.0</v>
      </c>
      <c r="B44" s="333">
        <f>'Yakin Pasifik Tuna'!B43</f>
        <v>45259</v>
      </c>
      <c r="C44" s="237">
        <f>SUM('Yakin Pasifik Tuna'!D43:G43)</f>
        <v>1214</v>
      </c>
      <c r="D44" s="237">
        <f>'Yakin Pasifik Tuna'!V43</f>
        <v>14788.35115</v>
      </c>
      <c r="E44" s="237">
        <f t="shared" ref="E44:E45" si="24">C44*D44</f>
        <v>17953058.29</v>
      </c>
      <c r="F44" s="237"/>
      <c r="G44" s="237"/>
      <c r="H44" s="237"/>
      <c r="I44" s="328">
        <f t="shared" ref="I44:I45" si="25">I43+C44</f>
        <v>22682.7</v>
      </c>
      <c r="J44" s="237">
        <f t="shared" si="8"/>
        <v>15933.50655</v>
      </c>
      <c r="K44" s="237">
        <f t="shared" ref="K44:K45" si="26">K43+E44</f>
        <v>361414949.1</v>
      </c>
    </row>
    <row r="45" ht="15.75" customHeight="1">
      <c r="A45" s="199">
        <v>41.0</v>
      </c>
      <c r="B45" s="333">
        <f>'Yakin Pasifik Tuna'!B44</f>
        <v>45260</v>
      </c>
      <c r="C45" s="237">
        <f>SUM('Yakin Pasifik Tuna'!D44:G44)</f>
        <v>1887</v>
      </c>
      <c r="D45" s="237">
        <f>'Yakin Pasifik Tuna'!V44</f>
        <v>15291.77283</v>
      </c>
      <c r="E45" s="237">
        <f t="shared" si="24"/>
        <v>28855575.34</v>
      </c>
      <c r="F45" s="237"/>
      <c r="G45" s="237"/>
      <c r="H45" s="237"/>
      <c r="I45" s="328">
        <f t="shared" si="25"/>
        <v>24569.7</v>
      </c>
      <c r="J45" s="237">
        <f t="shared" si="8"/>
        <v>15884.22017</v>
      </c>
      <c r="K45" s="237">
        <f t="shared" si="26"/>
        <v>390270524.4</v>
      </c>
    </row>
    <row r="46" ht="15.75" customHeight="1">
      <c r="A46" s="199">
        <v>42.0</v>
      </c>
      <c r="B46" s="333">
        <f>'Yakin Pasifik Tuna'!B49</f>
        <v>45266</v>
      </c>
      <c r="C46" s="237">
        <f>'Yakin Pasifik Tuna'!D49+'Yakin Pasifik Tuna'!E49+'Yakin Pasifik Tuna'!F49+'Yakin Pasifik Tuna'!G49</f>
        <v>2502.9</v>
      </c>
      <c r="D46" s="237">
        <f>'Yakin Pasifik Tuna'!V55</f>
        <v>13607.25601</v>
      </c>
      <c r="E46" s="237"/>
      <c r="F46" s="237"/>
      <c r="G46" s="237"/>
      <c r="H46" s="237"/>
      <c r="I46" s="166"/>
      <c r="J46" s="166"/>
      <c r="K46" s="166"/>
    </row>
    <row r="47" ht="15.75" customHeight="1">
      <c r="A47" s="199">
        <v>43.0</v>
      </c>
      <c r="B47" s="333">
        <f>'Yakin Pasifik Tuna'!B50</f>
        <v>45267</v>
      </c>
      <c r="C47" s="237">
        <f>'Yakin Pasifik Tuna'!D50+'Yakin Pasifik Tuna'!E50+'Yakin Pasifik Tuna'!F50+'Yakin Pasifik Tuna'!G50</f>
        <v>405</v>
      </c>
      <c r="D47" s="237">
        <f>'Yakin Pasifik Tuna'!V57</f>
        <v>14062.5969</v>
      </c>
      <c r="E47" s="237"/>
      <c r="F47" s="237"/>
      <c r="G47" s="237"/>
      <c r="H47" s="237"/>
      <c r="I47" s="166"/>
      <c r="J47" s="166"/>
      <c r="K47" s="166"/>
    </row>
    <row r="48" ht="15.75" customHeight="1">
      <c r="A48" s="199">
        <v>44.0</v>
      </c>
      <c r="B48" s="333">
        <f>'Yakin Pasifik Tuna'!B51</f>
        <v>45269</v>
      </c>
      <c r="C48" s="237">
        <f>'Yakin Pasifik Tuna'!D51+'Yakin Pasifik Tuna'!E51+'Yakin Pasifik Tuna'!F51+'Yakin Pasifik Tuna'!G51</f>
        <v>736.4</v>
      </c>
      <c r="D48" s="237"/>
      <c r="E48" s="237"/>
      <c r="F48" s="237"/>
      <c r="G48" s="237"/>
      <c r="H48" s="237"/>
      <c r="I48" s="166"/>
      <c r="J48" s="166"/>
      <c r="K48" s="166"/>
    </row>
    <row r="49" ht="15.75" customHeight="1">
      <c r="A49" s="199">
        <v>45.0</v>
      </c>
      <c r="B49" s="333">
        <f>'Yakin Pasifik Tuna'!B52</f>
        <v>45270</v>
      </c>
      <c r="C49" s="237">
        <f>'Yakin Pasifik Tuna'!D52+'Yakin Pasifik Tuna'!E52+'Yakin Pasifik Tuna'!F52+'Yakin Pasifik Tuna'!G52</f>
        <v>4848</v>
      </c>
      <c r="D49" s="237"/>
      <c r="E49" s="237"/>
      <c r="F49" s="237"/>
      <c r="G49" s="237"/>
      <c r="H49" s="237"/>
      <c r="I49" s="166"/>
      <c r="J49" s="166"/>
      <c r="K49" s="166"/>
    </row>
    <row r="50" ht="15.75" customHeight="1">
      <c r="A50" s="199">
        <v>46.0</v>
      </c>
      <c r="B50" s="333">
        <f>'Yakin Pasifik Tuna'!B53</f>
        <v>45271</v>
      </c>
      <c r="C50" s="237">
        <f>'Yakin Pasifik Tuna'!D53+'Yakin Pasifik Tuna'!E53+'Yakin Pasifik Tuna'!F53+'Yakin Pasifik Tuna'!G53</f>
        <v>3096.7</v>
      </c>
      <c r="D50" s="237"/>
      <c r="E50" s="237"/>
      <c r="F50" s="237"/>
      <c r="G50" s="237"/>
      <c r="H50" s="237"/>
      <c r="I50" s="166"/>
      <c r="J50" s="166"/>
      <c r="K50" s="166"/>
    </row>
    <row r="51" ht="15.75" customHeight="1">
      <c r="A51" s="199">
        <v>47.0</v>
      </c>
      <c r="B51" s="333">
        <f>'Yakin Pasifik Tuna'!B54</f>
        <v>45278</v>
      </c>
      <c r="C51" s="237">
        <f>'Yakin Pasifik Tuna'!D54+'Yakin Pasifik Tuna'!E54+'Yakin Pasifik Tuna'!F54+'Yakin Pasifik Tuna'!G54</f>
        <v>3314</v>
      </c>
      <c r="D51" s="237"/>
      <c r="E51" s="237"/>
      <c r="F51" s="237"/>
      <c r="G51" s="237"/>
      <c r="H51" s="237"/>
      <c r="I51" s="166"/>
      <c r="J51" s="166"/>
      <c r="K51" s="166"/>
    </row>
    <row r="52" ht="15.75" customHeight="1">
      <c r="A52" s="199">
        <v>48.0</v>
      </c>
      <c r="B52" s="333">
        <f>'Yakin Pasifik Tuna'!B55</f>
        <v>45279</v>
      </c>
      <c r="C52" s="237">
        <f>'Yakin Pasifik Tuna'!D55+'Yakin Pasifik Tuna'!E55+'Yakin Pasifik Tuna'!F55+'Yakin Pasifik Tuna'!G55</f>
        <v>2225</v>
      </c>
      <c r="D52" s="237"/>
      <c r="E52" s="237"/>
      <c r="F52" s="237"/>
      <c r="G52" s="237"/>
      <c r="H52" s="237"/>
      <c r="I52" s="166"/>
      <c r="J52" s="166"/>
      <c r="K52" s="166"/>
    </row>
    <row r="53" ht="15.75" customHeight="1">
      <c r="A53" s="199">
        <v>49.0</v>
      </c>
      <c r="B53" s="333">
        <f>'Yakin Pasifik Tuna'!B56</f>
        <v>45280</v>
      </c>
      <c r="C53" s="237">
        <f>'Yakin Pasifik Tuna'!D56+'Yakin Pasifik Tuna'!E56+'Yakin Pasifik Tuna'!F56+'Yakin Pasifik Tuna'!G56</f>
        <v>4014</v>
      </c>
      <c r="D53" s="237"/>
      <c r="E53" s="237"/>
      <c r="F53" s="237"/>
      <c r="G53" s="237"/>
      <c r="H53" s="237"/>
      <c r="I53" s="166"/>
      <c r="J53" s="166"/>
      <c r="K53" s="166"/>
    </row>
    <row r="54" ht="15.75" customHeight="1">
      <c r="A54" s="199">
        <v>50.0</v>
      </c>
      <c r="B54" s="333">
        <f>'Yakin Pasifik Tuna'!B57</f>
        <v>45281</v>
      </c>
      <c r="C54" s="237">
        <f>'Yakin Pasifik Tuna'!D57+'Yakin Pasifik Tuna'!E57+'Yakin Pasifik Tuna'!F57+'Yakin Pasifik Tuna'!G57</f>
        <v>3118</v>
      </c>
      <c r="D54" s="237"/>
      <c r="E54" s="237"/>
      <c r="F54" s="237"/>
      <c r="G54" s="237"/>
      <c r="H54" s="237"/>
      <c r="I54" s="166"/>
      <c r="J54" s="166"/>
      <c r="K54" s="166"/>
    </row>
    <row r="55" ht="15.75" customHeight="1">
      <c r="A55" s="199">
        <v>51.0</v>
      </c>
      <c r="B55" s="333">
        <f>'Yakin Pasifik Tuna'!B58</f>
        <v>45282</v>
      </c>
      <c r="C55" s="237">
        <f>'Yakin Pasifik Tuna'!D58+'Yakin Pasifik Tuna'!E58+'Yakin Pasifik Tuna'!F58+'Yakin Pasifik Tuna'!G58</f>
        <v>2877</v>
      </c>
      <c r="D55" s="237"/>
      <c r="E55" s="237"/>
      <c r="F55" s="237"/>
      <c r="G55" s="237"/>
      <c r="H55" s="237"/>
      <c r="I55" s="166"/>
      <c r="J55" s="166"/>
      <c r="K55" s="166"/>
    </row>
    <row r="56" ht="15.75" customHeight="1">
      <c r="A56" s="199">
        <v>52.0</v>
      </c>
      <c r="B56" s="333">
        <f>'Yakin Pasifik Tuna'!B59</f>
        <v>45283</v>
      </c>
      <c r="C56" s="237">
        <f>'Yakin Pasifik Tuna'!D59+'Yakin Pasifik Tuna'!E59+'Yakin Pasifik Tuna'!F59+'Yakin Pasifik Tuna'!G59</f>
        <v>1201</v>
      </c>
      <c r="D56" s="237"/>
      <c r="E56" s="237"/>
      <c r="F56" s="237"/>
      <c r="G56" s="237"/>
      <c r="H56" s="237"/>
      <c r="I56" s="166"/>
      <c r="J56" s="166"/>
      <c r="K56" s="166"/>
    </row>
    <row r="57" ht="15.75" customHeight="1">
      <c r="A57" s="199">
        <v>53.0</v>
      </c>
      <c r="B57" s="333">
        <f>'Yakin Pasifik Tuna'!B60</f>
        <v>45284</v>
      </c>
      <c r="C57" s="237">
        <f>'Yakin Pasifik Tuna'!D60+'Yakin Pasifik Tuna'!E60+'Yakin Pasifik Tuna'!F60+'Yakin Pasifik Tuna'!G60</f>
        <v>5522</v>
      </c>
      <c r="D57" s="237"/>
      <c r="E57" s="237"/>
      <c r="F57" s="237"/>
      <c r="G57" s="237"/>
      <c r="H57" s="237"/>
      <c r="I57" s="166"/>
      <c r="J57" s="166"/>
      <c r="K57" s="166"/>
    </row>
    <row r="58" ht="15.75" customHeight="1">
      <c r="A58" s="166"/>
      <c r="B58" s="333"/>
      <c r="C58" s="166"/>
      <c r="D58" s="166"/>
      <c r="E58" s="237"/>
      <c r="F58" s="237"/>
      <c r="G58" s="237"/>
      <c r="H58" s="237"/>
      <c r="I58" s="166"/>
      <c r="J58" s="166"/>
      <c r="K58" s="166"/>
    </row>
    <row r="59" ht="15.75" customHeight="1">
      <c r="A59" s="166"/>
      <c r="B59" s="333"/>
      <c r="C59" s="166"/>
      <c r="D59" s="166"/>
      <c r="E59" s="237"/>
      <c r="F59" s="237"/>
      <c r="G59" s="237"/>
      <c r="H59" s="237"/>
      <c r="I59" s="166"/>
      <c r="J59" s="166"/>
      <c r="K59" s="166"/>
    </row>
    <row r="60" ht="15.75" customHeight="1">
      <c r="A60" s="166"/>
      <c r="B60" s="333"/>
      <c r="C60" s="166"/>
      <c r="D60" s="166"/>
      <c r="E60" s="237"/>
      <c r="F60" s="237"/>
      <c r="G60" s="237"/>
      <c r="H60" s="237"/>
      <c r="I60" s="166"/>
      <c r="J60" s="166"/>
      <c r="K60" s="166"/>
    </row>
    <row r="61" ht="15.75" customHeight="1">
      <c r="A61" s="166"/>
      <c r="B61" s="333"/>
      <c r="C61" s="166"/>
      <c r="D61" s="166"/>
      <c r="E61" s="237"/>
      <c r="F61" s="237"/>
      <c r="G61" s="237"/>
      <c r="H61" s="237"/>
      <c r="I61" s="166"/>
      <c r="J61" s="166"/>
      <c r="K61" s="166"/>
    </row>
    <row r="62" ht="15.75" customHeight="1">
      <c r="A62" s="166"/>
      <c r="B62" s="333"/>
      <c r="C62" s="166"/>
      <c r="D62" s="166"/>
      <c r="E62" s="237"/>
      <c r="F62" s="237"/>
      <c r="G62" s="237"/>
      <c r="H62" s="237"/>
      <c r="I62" s="166"/>
      <c r="J62" s="166"/>
      <c r="K62" s="166"/>
    </row>
    <row r="63" ht="15.75" customHeight="1">
      <c r="A63" s="166"/>
      <c r="B63" s="333"/>
      <c r="C63" s="166"/>
      <c r="D63" s="166"/>
      <c r="E63" s="237"/>
      <c r="F63" s="237"/>
      <c r="G63" s="237"/>
      <c r="H63" s="237"/>
      <c r="I63" s="166"/>
      <c r="J63" s="166"/>
      <c r="K63" s="166"/>
    </row>
    <row r="64" ht="15.75" customHeight="1">
      <c r="B64" s="334"/>
      <c r="E64" s="124"/>
      <c r="F64" s="124"/>
      <c r="G64" s="124"/>
      <c r="H64" s="124"/>
    </row>
    <row r="65" ht="15.75" customHeight="1">
      <c r="B65" s="334"/>
      <c r="E65" s="124"/>
      <c r="F65" s="124"/>
      <c r="G65" s="124"/>
      <c r="H65" s="124"/>
    </row>
    <row r="66" ht="15.75" customHeight="1">
      <c r="B66" s="334"/>
      <c r="E66" s="124"/>
      <c r="F66" s="124"/>
      <c r="G66" s="124"/>
      <c r="H66" s="124"/>
    </row>
    <row r="67" ht="15.75" customHeight="1">
      <c r="B67" s="334"/>
      <c r="E67" s="124"/>
      <c r="F67" s="124"/>
      <c r="G67" s="124"/>
      <c r="H67" s="124"/>
    </row>
    <row r="68" ht="15.75" customHeight="1">
      <c r="B68" s="334"/>
      <c r="E68" s="124"/>
      <c r="F68" s="124"/>
      <c r="G68" s="124"/>
      <c r="H68" s="124"/>
    </row>
    <row r="69" ht="15.75" customHeight="1">
      <c r="B69" s="334"/>
      <c r="E69" s="124"/>
      <c r="F69" s="124"/>
      <c r="G69" s="124"/>
      <c r="H69" s="124"/>
    </row>
    <row r="70" ht="15.75" customHeight="1">
      <c r="B70" s="334"/>
      <c r="E70" s="124"/>
      <c r="F70" s="124"/>
      <c r="G70" s="124"/>
      <c r="H70" s="124"/>
    </row>
    <row r="71" ht="15.75" customHeight="1">
      <c r="B71" s="334"/>
      <c r="E71" s="124"/>
      <c r="F71" s="124"/>
      <c r="G71" s="124"/>
      <c r="H71" s="124"/>
    </row>
    <row r="72" ht="15.75" customHeight="1">
      <c r="B72" s="334"/>
      <c r="E72" s="124"/>
      <c r="F72" s="124"/>
      <c r="G72" s="124"/>
      <c r="H72" s="124"/>
    </row>
    <row r="73" ht="15.75" customHeight="1">
      <c r="B73" s="334"/>
      <c r="E73" s="124"/>
      <c r="F73" s="124"/>
      <c r="G73" s="124"/>
      <c r="H73" s="124"/>
    </row>
    <row r="74" ht="15.75" customHeight="1">
      <c r="B74" s="334"/>
      <c r="E74" s="124"/>
      <c r="F74" s="124"/>
      <c r="G74" s="124"/>
      <c r="H74" s="124"/>
    </row>
    <row r="75" ht="15.75" customHeight="1">
      <c r="B75" s="334"/>
      <c r="E75" s="124"/>
      <c r="F75" s="124"/>
      <c r="G75" s="124"/>
      <c r="H75" s="124"/>
    </row>
    <row r="76" ht="15.75" customHeight="1">
      <c r="B76" s="334"/>
      <c r="E76" s="124"/>
      <c r="F76" s="124"/>
      <c r="G76" s="124"/>
      <c r="H76" s="124"/>
    </row>
    <row r="77" ht="15.75" customHeight="1">
      <c r="B77" s="334"/>
      <c r="E77" s="124"/>
      <c r="F77" s="124"/>
      <c r="G77" s="124"/>
      <c r="H77" s="124"/>
    </row>
    <row r="78" ht="15.75" customHeight="1">
      <c r="B78" s="334"/>
      <c r="E78" s="124"/>
      <c r="F78" s="124"/>
      <c r="G78" s="124"/>
      <c r="H78" s="124"/>
    </row>
    <row r="79" ht="15.75" customHeight="1">
      <c r="B79" s="334"/>
      <c r="E79" s="124"/>
      <c r="F79" s="124"/>
      <c r="G79" s="124"/>
      <c r="H79" s="124"/>
    </row>
    <row r="80" ht="15.75" customHeight="1">
      <c r="B80" s="334"/>
      <c r="E80" s="124"/>
      <c r="F80" s="124"/>
      <c r="G80" s="124"/>
      <c r="H80" s="124"/>
    </row>
    <row r="81" ht="15.75" customHeight="1">
      <c r="B81" s="334"/>
      <c r="E81" s="124"/>
      <c r="F81" s="124"/>
      <c r="G81" s="124"/>
      <c r="H81" s="124"/>
    </row>
    <row r="82" ht="15.75" customHeight="1">
      <c r="B82" s="334"/>
      <c r="E82" s="124"/>
      <c r="F82" s="124"/>
      <c r="G82" s="124"/>
      <c r="H82" s="124"/>
    </row>
    <row r="83" ht="15.75" customHeight="1">
      <c r="B83" s="334"/>
      <c r="E83" s="124"/>
      <c r="F83" s="124"/>
      <c r="G83" s="124"/>
      <c r="H83" s="124"/>
    </row>
    <row r="84" ht="15.75" customHeight="1">
      <c r="B84" s="334"/>
      <c r="E84" s="124"/>
      <c r="F84" s="124"/>
      <c r="G84" s="124"/>
      <c r="H84" s="124"/>
    </row>
    <row r="85" ht="15.75" customHeight="1">
      <c r="B85" s="334"/>
      <c r="E85" s="124"/>
      <c r="F85" s="124"/>
      <c r="G85" s="124"/>
      <c r="H85" s="124"/>
    </row>
    <row r="86" ht="15.75" customHeight="1">
      <c r="B86" s="334"/>
      <c r="E86" s="124"/>
      <c r="F86" s="124"/>
      <c r="G86" s="124"/>
      <c r="H86" s="124"/>
    </row>
    <row r="87" ht="15.75" customHeight="1">
      <c r="B87" s="334"/>
      <c r="E87" s="124"/>
      <c r="F87" s="124"/>
      <c r="G87" s="124"/>
      <c r="H87" s="124"/>
    </row>
    <row r="88" ht="15.75" customHeight="1">
      <c r="B88" s="334"/>
      <c r="E88" s="124"/>
      <c r="F88" s="124"/>
      <c r="G88" s="124"/>
      <c r="H88" s="124"/>
    </row>
    <row r="89" ht="15.75" customHeight="1">
      <c r="B89" s="334"/>
      <c r="E89" s="124"/>
      <c r="F89" s="124"/>
      <c r="G89" s="124"/>
      <c r="H89" s="124"/>
    </row>
    <row r="90" ht="15.75" customHeight="1">
      <c r="B90" s="334"/>
      <c r="E90" s="124"/>
      <c r="F90" s="124"/>
      <c r="G90" s="124"/>
      <c r="H90" s="124"/>
    </row>
    <row r="91" ht="15.75" customHeight="1">
      <c r="B91" s="334"/>
      <c r="E91" s="124"/>
      <c r="F91" s="124"/>
      <c r="G91" s="124"/>
      <c r="H91" s="124"/>
    </row>
    <row r="92" ht="15.75" customHeight="1">
      <c r="B92" s="334"/>
      <c r="E92" s="124"/>
      <c r="F92" s="124"/>
      <c r="G92" s="124"/>
      <c r="H92" s="124"/>
    </row>
    <row r="93" ht="15.75" customHeight="1">
      <c r="B93" s="334"/>
      <c r="E93" s="124"/>
      <c r="F93" s="124"/>
      <c r="G93" s="124"/>
      <c r="H93" s="124"/>
    </row>
    <row r="94" ht="15.75" customHeight="1">
      <c r="B94" s="334"/>
      <c r="E94" s="124"/>
      <c r="F94" s="124"/>
      <c r="G94" s="124"/>
      <c r="H94" s="124"/>
    </row>
    <row r="95" ht="15.75" customHeight="1">
      <c r="B95" s="334"/>
      <c r="E95" s="124"/>
      <c r="F95" s="124"/>
      <c r="G95" s="124"/>
      <c r="H95" s="124"/>
    </row>
    <row r="96" ht="15.75" customHeight="1">
      <c r="B96" s="334"/>
      <c r="E96" s="124"/>
      <c r="F96" s="124"/>
      <c r="G96" s="124"/>
      <c r="H96" s="124"/>
    </row>
    <row r="97" ht="15.75" customHeight="1">
      <c r="B97" s="334"/>
      <c r="E97" s="124"/>
      <c r="F97" s="124"/>
      <c r="G97" s="124"/>
      <c r="H97" s="124"/>
    </row>
    <row r="98" ht="15.75" customHeight="1">
      <c r="B98" s="334"/>
      <c r="E98" s="124"/>
      <c r="F98" s="124"/>
      <c r="G98" s="124"/>
      <c r="H98" s="124"/>
    </row>
    <row r="99" ht="15.75" customHeight="1">
      <c r="B99" s="334"/>
      <c r="E99" s="124"/>
      <c r="F99" s="124"/>
      <c r="G99" s="124"/>
      <c r="H99" s="124"/>
    </row>
    <row r="100" ht="15.75" customHeight="1">
      <c r="B100" s="334"/>
      <c r="E100" s="124"/>
      <c r="F100" s="124"/>
      <c r="G100" s="124"/>
      <c r="H100" s="124"/>
    </row>
    <row r="101" ht="15.75" customHeight="1">
      <c r="B101" s="334"/>
      <c r="E101" s="124"/>
      <c r="F101" s="124"/>
      <c r="G101" s="124"/>
      <c r="H101" s="124"/>
    </row>
    <row r="102" ht="15.75" customHeight="1">
      <c r="B102" s="334"/>
      <c r="E102" s="124"/>
      <c r="F102" s="124"/>
      <c r="G102" s="124"/>
      <c r="H102" s="124"/>
    </row>
    <row r="103" ht="15.75" customHeight="1">
      <c r="B103" s="334"/>
      <c r="E103" s="124"/>
      <c r="F103" s="124"/>
      <c r="G103" s="124"/>
      <c r="H103" s="124"/>
    </row>
    <row r="104" ht="15.75" customHeight="1">
      <c r="B104" s="334"/>
      <c r="E104" s="124"/>
      <c r="F104" s="124"/>
      <c r="G104" s="124"/>
      <c r="H104" s="124"/>
    </row>
    <row r="105" ht="15.75" customHeight="1">
      <c r="B105" s="334"/>
      <c r="E105" s="124"/>
      <c r="F105" s="124"/>
      <c r="G105" s="124"/>
      <c r="H105" s="124"/>
    </row>
    <row r="106" ht="15.75" customHeight="1">
      <c r="B106" s="334"/>
      <c r="E106" s="124"/>
      <c r="F106" s="124"/>
      <c r="G106" s="124"/>
      <c r="H106" s="124"/>
    </row>
    <row r="107" ht="15.75" customHeight="1">
      <c r="B107" s="334"/>
      <c r="E107" s="124"/>
      <c r="F107" s="124"/>
      <c r="G107" s="124"/>
      <c r="H107" s="124"/>
    </row>
    <row r="108" ht="15.75" customHeight="1">
      <c r="B108" s="334"/>
      <c r="E108" s="124"/>
      <c r="F108" s="124"/>
      <c r="G108" s="124"/>
      <c r="H108" s="124"/>
    </row>
    <row r="109" ht="15.75" customHeight="1">
      <c r="B109" s="334"/>
      <c r="E109" s="124"/>
      <c r="F109" s="124"/>
      <c r="G109" s="124"/>
      <c r="H109" s="124"/>
    </row>
    <row r="110" ht="15.75" customHeight="1">
      <c r="B110" s="334"/>
      <c r="E110" s="124"/>
      <c r="F110" s="124"/>
      <c r="G110" s="124"/>
      <c r="H110" s="124"/>
    </row>
    <row r="111" ht="15.75" customHeight="1">
      <c r="B111" s="334"/>
      <c r="E111" s="124"/>
      <c r="F111" s="124"/>
      <c r="G111" s="124"/>
      <c r="H111" s="124"/>
    </row>
    <row r="112" ht="15.75" customHeight="1">
      <c r="B112" s="334"/>
      <c r="E112" s="124"/>
      <c r="F112" s="124"/>
      <c r="G112" s="124"/>
      <c r="H112" s="124"/>
    </row>
    <row r="113" ht="15.75" customHeight="1">
      <c r="B113" s="334"/>
      <c r="E113" s="124"/>
      <c r="F113" s="124"/>
      <c r="G113" s="124"/>
      <c r="H113" s="124"/>
    </row>
    <row r="114" ht="15.75" customHeight="1">
      <c r="B114" s="334"/>
      <c r="E114" s="124"/>
      <c r="F114" s="124"/>
      <c r="G114" s="124"/>
      <c r="H114" s="124"/>
    </row>
    <row r="115" ht="15.75" customHeight="1">
      <c r="B115" s="334"/>
      <c r="E115" s="124"/>
      <c r="F115" s="124"/>
      <c r="G115" s="124"/>
      <c r="H115" s="124"/>
    </row>
    <row r="116" ht="15.75" customHeight="1">
      <c r="B116" s="334"/>
      <c r="E116" s="124"/>
      <c r="F116" s="124"/>
      <c r="G116" s="124"/>
      <c r="H116" s="124"/>
    </row>
    <row r="117" ht="15.75" customHeight="1">
      <c r="B117" s="334"/>
      <c r="E117" s="124"/>
      <c r="F117" s="124"/>
      <c r="G117" s="124"/>
      <c r="H117" s="124"/>
    </row>
    <row r="118" ht="15.75" customHeight="1">
      <c r="B118" s="334"/>
      <c r="E118" s="124"/>
      <c r="F118" s="124"/>
      <c r="G118" s="124"/>
      <c r="H118" s="124"/>
    </row>
    <row r="119" ht="15.75" customHeight="1">
      <c r="B119" s="334"/>
      <c r="E119" s="124"/>
      <c r="F119" s="124"/>
      <c r="G119" s="124"/>
      <c r="H119" s="124"/>
    </row>
    <row r="120" ht="15.75" customHeight="1">
      <c r="B120" s="334"/>
      <c r="E120" s="124"/>
      <c r="F120" s="124"/>
      <c r="G120" s="124"/>
      <c r="H120" s="124"/>
    </row>
    <row r="121" ht="15.75" customHeight="1">
      <c r="B121" s="334"/>
      <c r="E121" s="124"/>
      <c r="F121" s="124"/>
      <c r="G121" s="124"/>
      <c r="H121" s="124"/>
    </row>
    <row r="122" ht="15.75" customHeight="1">
      <c r="B122" s="334"/>
      <c r="E122" s="124"/>
      <c r="F122" s="124"/>
      <c r="G122" s="124"/>
      <c r="H122" s="124"/>
    </row>
    <row r="123" ht="15.75" customHeight="1">
      <c r="B123" s="334"/>
      <c r="E123" s="124"/>
      <c r="F123" s="124"/>
      <c r="G123" s="124"/>
      <c r="H123" s="124"/>
    </row>
    <row r="124" ht="15.75" customHeight="1">
      <c r="B124" s="334"/>
      <c r="E124" s="124"/>
      <c r="F124" s="124"/>
      <c r="G124" s="124"/>
      <c r="H124" s="124"/>
    </row>
    <row r="125" ht="15.75" customHeight="1">
      <c r="B125" s="334"/>
      <c r="E125" s="124"/>
      <c r="F125" s="124"/>
      <c r="G125" s="124"/>
      <c r="H125" s="124"/>
    </row>
    <row r="126" ht="15.75" customHeight="1">
      <c r="B126" s="334"/>
      <c r="E126" s="124"/>
      <c r="F126" s="124"/>
      <c r="G126" s="124"/>
      <c r="H126" s="124"/>
    </row>
    <row r="127" ht="15.75" customHeight="1">
      <c r="B127" s="334"/>
      <c r="E127" s="124"/>
      <c r="F127" s="124"/>
      <c r="G127" s="124"/>
      <c r="H127" s="124"/>
    </row>
    <row r="128" ht="15.75" customHeight="1">
      <c r="B128" s="334"/>
      <c r="E128" s="124"/>
      <c r="F128" s="124"/>
      <c r="G128" s="124"/>
      <c r="H128" s="124"/>
    </row>
    <row r="129" ht="15.75" customHeight="1">
      <c r="B129" s="334"/>
      <c r="E129" s="124"/>
      <c r="F129" s="124"/>
      <c r="G129" s="124"/>
      <c r="H129" s="124"/>
    </row>
    <row r="130" ht="15.75" customHeight="1">
      <c r="B130" s="334"/>
      <c r="E130" s="124"/>
      <c r="F130" s="124"/>
      <c r="G130" s="124"/>
      <c r="H130" s="124"/>
    </row>
    <row r="131" ht="15.75" customHeight="1">
      <c r="B131" s="334"/>
      <c r="E131" s="124"/>
      <c r="F131" s="124"/>
      <c r="G131" s="124"/>
      <c r="H131" s="124"/>
    </row>
    <row r="132" ht="15.75" customHeight="1">
      <c r="B132" s="334"/>
      <c r="E132" s="124"/>
      <c r="F132" s="124"/>
      <c r="G132" s="124"/>
      <c r="H132" s="124"/>
    </row>
    <row r="133" ht="15.75" customHeight="1">
      <c r="B133" s="334"/>
      <c r="E133" s="124"/>
      <c r="F133" s="124"/>
      <c r="G133" s="124"/>
      <c r="H133" s="124"/>
    </row>
    <row r="134" ht="15.75" customHeight="1">
      <c r="B134" s="334"/>
      <c r="E134" s="124"/>
      <c r="F134" s="124"/>
      <c r="G134" s="124"/>
      <c r="H134" s="124"/>
    </row>
    <row r="135" ht="15.75" customHeight="1">
      <c r="B135" s="334"/>
      <c r="E135" s="124"/>
      <c r="F135" s="124"/>
      <c r="G135" s="124"/>
      <c r="H135" s="124"/>
    </row>
    <row r="136" ht="15.75" customHeight="1">
      <c r="B136" s="334"/>
      <c r="E136" s="124"/>
      <c r="F136" s="124"/>
      <c r="G136" s="124"/>
      <c r="H136" s="124"/>
    </row>
    <row r="137" ht="15.75" customHeight="1">
      <c r="B137" s="334"/>
      <c r="E137" s="124"/>
      <c r="F137" s="124"/>
      <c r="G137" s="124"/>
      <c r="H137" s="124"/>
    </row>
    <row r="138" ht="15.75" customHeight="1">
      <c r="B138" s="334"/>
      <c r="E138" s="124"/>
      <c r="F138" s="124"/>
      <c r="G138" s="124"/>
      <c r="H138" s="124"/>
    </row>
    <row r="139" ht="15.75" customHeight="1">
      <c r="B139" s="334"/>
      <c r="E139" s="124"/>
      <c r="F139" s="124"/>
      <c r="G139" s="124"/>
      <c r="H139" s="124"/>
    </row>
    <row r="140" ht="15.75" customHeight="1">
      <c r="B140" s="334"/>
      <c r="E140" s="124"/>
      <c r="F140" s="124"/>
      <c r="G140" s="124"/>
      <c r="H140" s="124"/>
    </row>
    <row r="141" ht="15.75" customHeight="1">
      <c r="B141" s="334"/>
      <c r="E141" s="124"/>
      <c r="F141" s="124"/>
      <c r="G141" s="124"/>
      <c r="H141" s="124"/>
    </row>
    <row r="142" ht="15.75" customHeight="1">
      <c r="B142" s="334"/>
      <c r="E142" s="124"/>
      <c r="F142" s="124"/>
      <c r="G142" s="124"/>
      <c r="H142" s="124"/>
    </row>
    <row r="143" ht="15.75" customHeight="1">
      <c r="B143" s="334"/>
      <c r="E143" s="124"/>
      <c r="F143" s="124"/>
      <c r="G143" s="124"/>
      <c r="H143" s="124"/>
    </row>
    <row r="144" ht="15.75" customHeight="1">
      <c r="B144" s="334"/>
      <c r="E144" s="124"/>
      <c r="F144" s="124"/>
      <c r="G144" s="124"/>
      <c r="H144" s="124"/>
    </row>
    <row r="145" ht="15.75" customHeight="1">
      <c r="B145" s="334"/>
      <c r="E145" s="124"/>
      <c r="F145" s="124"/>
      <c r="G145" s="124"/>
      <c r="H145" s="124"/>
    </row>
    <row r="146" ht="15.75" customHeight="1">
      <c r="B146" s="334"/>
      <c r="E146" s="124"/>
      <c r="F146" s="124"/>
      <c r="G146" s="124"/>
      <c r="H146" s="124"/>
    </row>
    <row r="147" ht="15.75" customHeight="1">
      <c r="B147" s="334"/>
      <c r="E147" s="124"/>
      <c r="F147" s="124"/>
      <c r="G147" s="124"/>
      <c r="H147" s="124"/>
    </row>
    <row r="148" ht="15.75" customHeight="1">
      <c r="B148" s="334"/>
      <c r="E148" s="124"/>
      <c r="F148" s="124"/>
      <c r="G148" s="124"/>
      <c r="H148" s="124"/>
    </row>
    <row r="149" ht="15.75" customHeight="1">
      <c r="B149" s="334"/>
      <c r="E149" s="124"/>
      <c r="F149" s="124"/>
      <c r="G149" s="124"/>
      <c r="H149" s="124"/>
    </row>
    <row r="150" ht="15.75" customHeight="1">
      <c r="B150" s="334"/>
      <c r="E150" s="124"/>
      <c r="F150" s="124"/>
      <c r="G150" s="124"/>
      <c r="H150" s="124"/>
    </row>
    <row r="151" ht="15.75" customHeight="1">
      <c r="B151" s="334"/>
      <c r="E151" s="124"/>
      <c r="F151" s="124"/>
      <c r="G151" s="124"/>
      <c r="H151" s="124"/>
    </row>
    <row r="152" ht="15.75" customHeight="1">
      <c r="B152" s="334"/>
      <c r="E152" s="124"/>
      <c r="F152" s="124"/>
      <c r="G152" s="124"/>
      <c r="H152" s="124"/>
    </row>
    <row r="153" ht="15.75" customHeight="1">
      <c r="B153" s="334"/>
      <c r="E153" s="124"/>
      <c r="F153" s="124"/>
      <c r="G153" s="124"/>
      <c r="H153" s="124"/>
    </row>
    <row r="154" ht="15.75" customHeight="1">
      <c r="B154" s="334"/>
      <c r="E154" s="124"/>
      <c r="F154" s="124"/>
      <c r="G154" s="124"/>
      <c r="H154" s="124"/>
    </row>
    <row r="155" ht="15.75" customHeight="1">
      <c r="B155" s="334"/>
      <c r="E155" s="124"/>
      <c r="F155" s="124"/>
      <c r="G155" s="124"/>
      <c r="H155" s="124"/>
    </row>
    <row r="156" ht="15.75" customHeight="1">
      <c r="B156" s="334"/>
      <c r="E156" s="124"/>
      <c r="F156" s="124"/>
      <c r="G156" s="124"/>
      <c r="H156" s="124"/>
    </row>
    <row r="157" ht="15.75" customHeight="1">
      <c r="B157" s="334"/>
      <c r="E157" s="124"/>
      <c r="F157" s="124"/>
      <c r="G157" s="124"/>
      <c r="H157" s="124"/>
    </row>
    <row r="158" ht="15.75" customHeight="1">
      <c r="B158" s="334"/>
      <c r="E158" s="124"/>
      <c r="F158" s="124"/>
      <c r="G158" s="124"/>
      <c r="H158" s="124"/>
    </row>
    <row r="159" ht="15.75" customHeight="1">
      <c r="B159" s="334"/>
      <c r="E159" s="124"/>
      <c r="F159" s="124"/>
      <c r="G159" s="124"/>
      <c r="H159" s="124"/>
    </row>
    <row r="160" ht="15.75" customHeight="1">
      <c r="B160" s="334"/>
      <c r="E160" s="124"/>
      <c r="F160" s="124"/>
      <c r="G160" s="124"/>
      <c r="H160" s="124"/>
    </row>
    <row r="161" ht="15.75" customHeight="1">
      <c r="B161" s="334"/>
      <c r="E161" s="124"/>
      <c r="F161" s="124"/>
      <c r="G161" s="124"/>
      <c r="H161" s="124"/>
    </row>
    <row r="162" ht="15.75" customHeight="1">
      <c r="B162" s="334"/>
      <c r="E162" s="124"/>
      <c r="F162" s="124"/>
      <c r="G162" s="124"/>
      <c r="H162" s="124"/>
    </row>
    <row r="163" ht="15.75" customHeight="1">
      <c r="B163" s="334"/>
      <c r="E163" s="124"/>
      <c r="F163" s="124"/>
      <c r="G163" s="124"/>
      <c r="H163" s="124"/>
    </row>
    <row r="164" ht="15.75" customHeight="1">
      <c r="B164" s="334"/>
      <c r="E164" s="124"/>
      <c r="F164" s="124"/>
      <c r="G164" s="124"/>
      <c r="H164" s="124"/>
    </row>
    <row r="165" ht="15.75" customHeight="1">
      <c r="B165" s="334"/>
      <c r="E165" s="124"/>
      <c r="F165" s="124"/>
      <c r="G165" s="124"/>
      <c r="H165" s="124"/>
    </row>
    <row r="166" ht="15.75" customHeight="1">
      <c r="B166" s="334"/>
      <c r="E166" s="124"/>
      <c r="F166" s="124"/>
      <c r="G166" s="124"/>
      <c r="H166" s="124"/>
    </row>
    <row r="167" ht="15.75" customHeight="1">
      <c r="B167" s="334"/>
      <c r="E167" s="124"/>
      <c r="F167" s="124"/>
      <c r="G167" s="124"/>
      <c r="H167" s="124"/>
    </row>
    <row r="168" ht="15.75" customHeight="1">
      <c r="B168" s="334"/>
      <c r="E168" s="124"/>
      <c r="F168" s="124"/>
      <c r="G168" s="124"/>
      <c r="H168" s="124"/>
    </row>
    <row r="169" ht="15.75" customHeight="1">
      <c r="B169" s="334"/>
      <c r="E169" s="124"/>
      <c r="F169" s="124"/>
      <c r="G169" s="124"/>
      <c r="H169" s="124"/>
    </row>
    <row r="170" ht="15.75" customHeight="1">
      <c r="B170" s="334"/>
      <c r="E170" s="124"/>
      <c r="F170" s="124"/>
      <c r="G170" s="124"/>
      <c r="H170" s="124"/>
    </row>
    <row r="171" ht="15.75" customHeight="1">
      <c r="B171" s="334"/>
      <c r="E171" s="124"/>
      <c r="F171" s="124"/>
      <c r="G171" s="124"/>
      <c r="H171" s="124"/>
    </row>
    <row r="172" ht="15.75" customHeight="1">
      <c r="B172" s="334"/>
      <c r="E172" s="124"/>
      <c r="F172" s="124"/>
      <c r="G172" s="124"/>
      <c r="H172" s="124"/>
    </row>
    <row r="173" ht="15.75" customHeight="1">
      <c r="B173" s="334"/>
      <c r="E173" s="124"/>
      <c r="F173" s="124"/>
      <c r="G173" s="124"/>
      <c r="H173" s="124"/>
    </row>
    <row r="174" ht="15.75" customHeight="1">
      <c r="B174" s="334"/>
      <c r="E174" s="124"/>
      <c r="F174" s="124"/>
      <c r="G174" s="124"/>
      <c r="H174" s="124"/>
    </row>
    <row r="175" ht="15.75" customHeight="1">
      <c r="B175" s="334"/>
      <c r="E175" s="124"/>
      <c r="F175" s="124"/>
      <c r="G175" s="124"/>
      <c r="H175" s="124"/>
    </row>
    <row r="176" ht="15.75" customHeight="1">
      <c r="B176" s="334"/>
      <c r="E176" s="124"/>
      <c r="F176" s="124"/>
      <c r="G176" s="124"/>
      <c r="H176" s="124"/>
    </row>
    <row r="177" ht="15.75" customHeight="1">
      <c r="B177" s="334"/>
      <c r="E177" s="124"/>
      <c r="F177" s="124"/>
      <c r="G177" s="124"/>
      <c r="H177" s="124"/>
    </row>
    <row r="178" ht="15.75" customHeight="1">
      <c r="B178" s="334"/>
      <c r="E178" s="124"/>
      <c r="F178" s="124"/>
      <c r="G178" s="124"/>
      <c r="H178" s="124"/>
    </row>
    <row r="179" ht="15.75" customHeight="1">
      <c r="B179" s="334"/>
      <c r="E179" s="124"/>
      <c r="F179" s="124"/>
      <c r="G179" s="124"/>
      <c r="H179" s="124"/>
    </row>
    <row r="180" ht="15.75" customHeight="1">
      <c r="B180" s="334"/>
      <c r="E180" s="124"/>
      <c r="F180" s="124"/>
      <c r="G180" s="124"/>
      <c r="H180" s="124"/>
    </row>
    <row r="181" ht="15.75" customHeight="1">
      <c r="B181" s="334"/>
      <c r="E181" s="124"/>
      <c r="F181" s="124"/>
      <c r="G181" s="124"/>
      <c r="H181" s="124"/>
    </row>
    <row r="182" ht="15.75" customHeight="1">
      <c r="B182" s="334"/>
      <c r="E182" s="124"/>
      <c r="F182" s="124"/>
      <c r="G182" s="124"/>
      <c r="H182" s="124"/>
    </row>
    <row r="183" ht="15.75" customHeight="1">
      <c r="B183" s="334"/>
      <c r="E183" s="124"/>
      <c r="F183" s="124"/>
      <c r="G183" s="124"/>
      <c r="H183" s="124"/>
    </row>
    <row r="184" ht="15.75" customHeight="1">
      <c r="B184" s="334"/>
      <c r="E184" s="124"/>
      <c r="F184" s="124"/>
      <c r="G184" s="124"/>
      <c r="H184" s="124"/>
    </row>
    <row r="185" ht="15.75" customHeight="1">
      <c r="B185" s="334"/>
      <c r="E185" s="124"/>
      <c r="F185" s="124"/>
      <c r="G185" s="124"/>
      <c r="H185" s="124"/>
    </row>
    <row r="186" ht="15.75" customHeight="1">
      <c r="B186" s="334"/>
      <c r="E186" s="124"/>
      <c r="F186" s="124"/>
      <c r="G186" s="124"/>
      <c r="H186" s="124"/>
    </row>
    <row r="187" ht="15.75" customHeight="1">
      <c r="B187" s="334"/>
      <c r="E187" s="124"/>
      <c r="F187" s="124"/>
      <c r="G187" s="124"/>
      <c r="H187" s="124"/>
    </row>
    <row r="188" ht="15.75" customHeight="1">
      <c r="B188" s="334"/>
      <c r="E188" s="124"/>
      <c r="F188" s="124"/>
      <c r="G188" s="124"/>
      <c r="H188" s="124"/>
    </row>
    <row r="189" ht="15.75" customHeight="1">
      <c r="B189" s="334"/>
      <c r="E189" s="124"/>
      <c r="F189" s="124"/>
      <c r="G189" s="124"/>
      <c r="H189" s="124"/>
    </row>
    <row r="190" ht="15.75" customHeight="1">
      <c r="B190" s="334"/>
      <c r="E190" s="124"/>
      <c r="F190" s="124"/>
      <c r="G190" s="124"/>
      <c r="H190" s="124"/>
    </row>
    <row r="191" ht="15.75" customHeight="1">
      <c r="B191" s="334"/>
      <c r="E191" s="124"/>
      <c r="F191" s="124"/>
      <c r="G191" s="124"/>
      <c r="H191" s="124"/>
    </row>
    <row r="192" ht="15.75" customHeight="1">
      <c r="B192" s="334"/>
      <c r="E192" s="124"/>
      <c r="F192" s="124"/>
      <c r="G192" s="124"/>
      <c r="H192" s="124"/>
    </row>
    <row r="193" ht="15.75" customHeight="1">
      <c r="B193" s="334"/>
      <c r="E193" s="124"/>
      <c r="F193" s="124"/>
      <c r="G193" s="124"/>
      <c r="H193" s="124"/>
    </row>
    <row r="194" ht="15.75" customHeight="1">
      <c r="B194" s="334"/>
      <c r="E194" s="124"/>
      <c r="F194" s="124"/>
      <c r="G194" s="124"/>
      <c r="H194" s="124"/>
    </row>
    <row r="195" ht="15.75" customHeight="1">
      <c r="B195" s="334"/>
      <c r="E195" s="124"/>
      <c r="F195" s="124"/>
      <c r="G195" s="124"/>
      <c r="H195" s="124"/>
    </row>
    <row r="196" ht="15.75" customHeight="1">
      <c r="B196" s="334"/>
      <c r="E196" s="124"/>
      <c r="F196" s="124"/>
      <c r="G196" s="124"/>
      <c r="H196" s="124"/>
    </row>
    <row r="197" ht="15.75" customHeight="1">
      <c r="B197" s="334"/>
      <c r="E197" s="124"/>
      <c r="F197" s="124"/>
      <c r="G197" s="124"/>
      <c r="H197" s="124"/>
    </row>
    <row r="198" ht="15.75" customHeight="1">
      <c r="B198" s="334"/>
      <c r="E198" s="124"/>
      <c r="F198" s="124"/>
      <c r="G198" s="124"/>
      <c r="H198" s="124"/>
    </row>
    <row r="199" ht="15.75" customHeight="1">
      <c r="B199" s="334"/>
      <c r="E199" s="124"/>
      <c r="F199" s="124"/>
      <c r="G199" s="124"/>
      <c r="H199" s="124"/>
    </row>
    <row r="200" ht="15.75" customHeight="1">
      <c r="B200" s="334"/>
      <c r="E200" s="124"/>
      <c r="F200" s="124"/>
      <c r="G200" s="124"/>
      <c r="H200" s="124"/>
    </row>
    <row r="201" ht="15.75" customHeight="1">
      <c r="B201" s="334"/>
      <c r="E201" s="124"/>
      <c r="F201" s="124"/>
      <c r="G201" s="124"/>
      <c r="H201" s="124"/>
    </row>
    <row r="202" ht="15.75" customHeight="1">
      <c r="B202" s="334"/>
      <c r="E202" s="124"/>
      <c r="F202" s="124"/>
      <c r="G202" s="124"/>
      <c r="H202" s="124"/>
    </row>
    <row r="203" ht="15.75" customHeight="1">
      <c r="B203" s="334"/>
      <c r="E203" s="124"/>
      <c r="F203" s="124"/>
      <c r="G203" s="124"/>
      <c r="H203" s="124"/>
    </row>
    <row r="204" ht="15.75" customHeight="1">
      <c r="B204" s="334"/>
      <c r="E204" s="124"/>
      <c r="F204" s="124"/>
      <c r="G204" s="124"/>
      <c r="H204" s="124"/>
    </row>
    <row r="205" ht="15.75" customHeight="1">
      <c r="B205" s="334"/>
      <c r="E205" s="124"/>
      <c r="F205" s="124"/>
      <c r="G205" s="124"/>
      <c r="H205" s="124"/>
    </row>
    <row r="206" ht="15.75" customHeight="1">
      <c r="B206" s="334"/>
      <c r="E206" s="124"/>
      <c r="F206" s="124"/>
      <c r="G206" s="124"/>
      <c r="H206" s="124"/>
    </row>
    <row r="207" ht="15.75" customHeight="1">
      <c r="B207" s="334"/>
      <c r="E207" s="124"/>
      <c r="F207" s="124"/>
      <c r="G207" s="124"/>
      <c r="H207" s="124"/>
    </row>
    <row r="208" ht="15.75" customHeight="1">
      <c r="B208" s="334"/>
      <c r="E208" s="124"/>
      <c r="F208" s="124"/>
      <c r="G208" s="124"/>
      <c r="H208" s="124"/>
    </row>
    <row r="209" ht="15.75" customHeight="1">
      <c r="B209" s="334"/>
      <c r="E209" s="124"/>
      <c r="F209" s="124"/>
      <c r="G209" s="124"/>
      <c r="H209" s="124"/>
    </row>
    <row r="210" ht="15.75" customHeight="1">
      <c r="B210" s="334"/>
      <c r="E210" s="124"/>
      <c r="F210" s="124"/>
      <c r="G210" s="124"/>
      <c r="H210" s="124"/>
    </row>
    <row r="211" ht="15.75" customHeight="1">
      <c r="B211" s="334"/>
      <c r="E211" s="124"/>
      <c r="F211" s="124"/>
      <c r="G211" s="124"/>
      <c r="H211" s="124"/>
    </row>
    <row r="212" ht="15.75" customHeight="1">
      <c r="B212" s="334"/>
      <c r="E212" s="124"/>
      <c r="F212" s="124"/>
      <c r="G212" s="124"/>
      <c r="H212" s="124"/>
    </row>
    <row r="213" ht="15.75" customHeight="1">
      <c r="B213" s="334"/>
      <c r="E213" s="124"/>
      <c r="F213" s="124"/>
      <c r="G213" s="124"/>
      <c r="H213" s="124"/>
    </row>
    <row r="214" ht="15.75" customHeight="1">
      <c r="B214" s="334"/>
      <c r="E214" s="124"/>
      <c r="F214" s="124"/>
      <c r="G214" s="124"/>
      <c r="H214" s="124"/>
    </row>
    <row r="215" ht="15.75" customHeight="1">
      <c r="B215" s="334"/>
      <c r="E215" s="124"/>
      <c r="F215" s="124"/>
      <c r="G215" s="124"/>
      <c r="H215" s="124"/>
    </row>
    <row r="216" ht="15.75" customHeight="1">
      <c r="B216" s="334"/>
      <c r="E216" s="124"/>
      <c r="F216" s="124"/>
      <c r="G216" s="124"/>
      <c r="H216" s="124"/>
    </row>
    <row r="217" ht="15.75" customHeight="1">
      <c r="B217" s="334"/>
      <c r="E217" s="124"/>
      <c r="F217" s="124"/>
      <c r="G217" s="124"/>
      <c r="H217" s="124"/>
    </row>
    <row r="218" ht="15.75" customHeight="1">
      <c r="B218" s="334"/>
      <c r="E218" s="124"/>
      <c r="F218" s="124"/>
      <c r="G218" s="124"/>
      <c r="H218" s="124"/>
    </row>
    <row r="219" ht="15.75" customHeight="1">
      <c r="B219" s="334"/>
      <c r="E219" s="124"/>
      <c r="F219" s="124"/>
      <c r="G219" s="124"/>
      <c r="H219" s="124"/>
    </row>
    <row r="220" ht="15.75" customHeight="1">
      <c r="B220" s="334"/>
      <c r="E220" s="124"/>
      <c r="F220" s="124"/>
      <c r="G220" s="124"/>
      <c r="H220" s="124"/>
    </row>
    <row r="221" ht="15.75" customHeight="1">
      <c r="B221" s="334"/>
      <c r="E221" s="124"/>
      <c r="F221" s="124"/>
      <c r="G221" s="124"/>
      <c r="H221" s="124"/>
    </row>
    <row r="222" ht="15.75" customHeight="1">
      <c r="B222" s="334"/>
      <c r="E222" s="124"/>
      <c r="F222" s="124"/>
      <c r="G222" s="124"/>
      <c r="H222" s="124"/>
    </row>
    <row r="223" ht="15.75" customHeight="1">
      <c r="B223" s="334"/>
      <c r="E223" s="124"/>
      <c r="F223" s="124"/>
      <c r="G223" s="124"/>
      <c r="H223" s="124"/>
    </row>
    <row r="224" ht="15.75" customHeight="1">
      <c r="B224" s="334"/>
      <c r="E224" s="124"/>
      <c r="F224" s="124"/>
      <c r="G224" s="124"/>
      <c r="H224" s="124"/>
    </row>
    <row r="225" ht="15.75" customHeight="1">
      <c r="B225" s="334"/>
      <c r="E225" s="124"/>
      <c r="F225" s="124"/>
      <c r="G225" s="124"/>
      <c r="H225" s="124"/>
    </row>
    <row r="226" ht="15.75" customHeight="1">
      <c r="B226" s="334"/>
      <c r="E226" s="124"/>
      <c r="F226" s="124"/>
      <c r="G226" s="124"/>
      <c r="H226" s="124"/>
    </row>
    <row r="227" ht="15.75" customHeight="1">
      <c r="B227" s="334"/>
      <c r="E227" s="124"/>
      <c r="F227" s="124"/>
      <c r="G227" s="124"/>
      <c r="H227" s="124"/>
    </row>
    <row r="228" ht="15.75" customHeight="1">
      <c r="B228" s="334"/>
      <c r="E228" s="124"/>
      <c r="F228" s="124"/>
      <c r="G228" s="124"/>
      <c r="H228" s="124"/>
    </row>
    <row r="229" ht="15.75" customHeight="1">
      <c r="B229" s="334"/>
      <c r="E229" s="124"/>
      <c r="F229" s="124"/>
      <c r="G229" s="124"/>
      <c r="H229" s="124"/>
    </row>
    <row r="230" ht="15.75" customHeight="1">
      <c r="B230" s="334"/>
      <c r="E230" s="124"/>
      <c r="F230" s="124"/>
      <c r="G230" s="124"/>
      <c r="H230" s="124"/>
    </row>
    <row r="231" ht="15.75" customHeight="1">
      <c r="B231" s="334"/>
      <c r="E231" s="124"/>
      <c r="F231" s="124"/>
      <c r="G231" s="124"/>
      <c r="H231" s="124"/>
    </row>
    <row r="232" ht="15.75" customHeight="1">
      <c r="B232" s="334"/>
      <c r="E232" s="124"/>
      <c r="F232" s="124"/>
      <c r="G232" s="124"/>
      <c r="H232" s="124"/>
    </row>
    <row r="233" ht="15.75" customHeight="1">
      <c r="B233" s="334"/>
      <c r="E233" s="124"/>
      <c r="F233" s="124"/>
      <c r="G233" s="124"/>
      <c r="H233" s="124"/>
    </row>
    <row r="234" ht="15.75" customHeight="1">
      <c r="B234" s="334"/>
      <c r="E234" s="124"/>
      <c r="F234" s="124"/>
      <c r="G234" s="124"/>
      <c r="H234" s="124"/>
    </row>
    <row r="235" ht="15.75" customHeight="1">
      <c r="B235" s="334"/>
      <c r="E235" s="124"/>
      <c r="F235" s="124"/>
      <c r="G235" s="124"/>
      <c r="H235" s="124"/>
    </row>
    <row r="236" ht="15.75" customHeight="1">
      <c r="B236" s="334"/>
      <c r="E236" s="124"/>
      <c r="F236" s="124"/>
      <c r="G236" s="124"/>
      <c r="H236" s="124"/>
    </row>
    <row r="237" ht="15.75" customHeight="1">
      <c r="B237" s="334"/>
      <c r="E237" s="124"/>
      <c r="F237" s="124"/>
      <c r="G237" s="124"/>
      <c r="H237" s="124"/>
    </row>
    <row r="238" ht="15.75" customHeight="1">
      <c r="B238" s="334"/>
      <c r="E238" s="124"/>
      <c r="F238" s="124"/>
      <c r="G238" s="124"/>
      <c r="H238" s="124"/>
    </row>
    <row r="239" ht="15.75" customHeight="1">
      <c r="B239" s="334"/>
      <c r="E239" s="124"/>
      <c r="F239" s="124"/>
      <c r="G239" s="124"/>
      <c r="H239" s="124"/>
    </row>
    <row r="240" ht="15.75" customHeight="1">
      <c r="B240" s="334"/>
      <c r="E240" s="124"/>
      <c r="F240" s="124"/>
      <c r="G240" s="124"/>
      <c r="H240" s="124"/>
    </row>
    <row r="241" ht="15.75" customHeight="1">
      <c r="B241" s="334"/>
      <c r="E241" s="124"/>
      <c r="F241" s="124"/>
      <c r="G241" s="124"/>
      <c r="H241" s="124"/>
    </row>
    <row r="242" ht="15.75" customHeight="1">
      <c r="B242" s="334"/>
      <c r="E242" s="124"/>
      <c r="F242" s="124"/>
      <c r="G242" s="124"/>
      <c r="H242" s="124"/>
    </row>
    <row r="243" ht="15.75" customHeight="1">
      <c r="B243" s="334"/>
      <c r="E243" s="124"/>
      <c r="F243" s="124"/>
      <c r="G243" s="124"/>
      <c r="H243" s="124"/>
    </row>
    <row r="244" ht="15.75" customHeight="1">
      <c r="B244" s="334"/>
      <c r="E244" s="124"/>
      <c r="F244" s="124"/>
      <c r="G244" s="124"/>
      <c r="H244" s="124"/>
    </row>
    <row r="245" ht="15.75" customHeight="1">
      <c r="B245" s="334"/>
      <c r="E245" s="124"/>
      <c r="F245" s="124"/>
      <c r="G245" s="124"/>
      <c r="H245" s="124"/>
    </row>
    <row r="246" ht="15.75" customHeight="1">
      <c r="B246" s="334"/>
      <c r="E246" s="124"/>
      <c r="F246" s="124"/>
      <c r="G246" s="124"/>
      <c r="H246" s="124"/>
    </row>
    <row r="247" ht="15.75" customHeight="1">
      <c r="B247" s="334"/>
      <c r="E247" s="124"/>
      <c r="F247" s="124"/>
      <c r="G247" s="124"/>
      <c r="H247" s="124"/>
    </row>
    <row r="248" ht="15.75" customHeight="1">
      <c r="B248" s="334"/>
      <c r="E248" s="124"/>
      <c r="F248" s="124"/>
      <c r="G248" s="124"/>
      <c r="H248" s="124"/>
    </row>
    <row r="249" ht="15.75" customHeight="1">
      <c r="B249" s="334"/>
      <c r="E249" s="124"/>
      <c r="F249" s="124"/>
      <c r="G249" s="124"/>
      <c r="H249" s="124"/>
    </row>
    <row r="250" ht="15.75" customHeight="1">
      <c r="B250" s="334"/>
      <c r="E250" s="124"/>
      <c r="F250" s="124"/>
      <c r="G250" s="124"/>
      <c r="H250" s="124"/>
    </row>
    <row r="251" ht="15.75" customHeight="1">
      <c r="B251" s="334"/>
      <c r="E251" s="124"/>
      <c r="F251" s="124"/>
      <c r="G251" s="124"/>
      <c r="H251" s="124"/>
    </row>
    <row r="252" ht="15.75" customHeight="1">
      <c r="B252" s="334"/>
      <c r="E252" s="124"/>
      <c r="F252" s="124"/>
      <c r="G252" s="124"/>
      <c r="H252" s="124"/>
    </row>
    <row r="253" ht="15.75" customHeight="1">
      <c r="B253" s="334"/>
      <c r="E253" s="124"/>
      <c r="F253" s="124"/>
      <c r="G253" s="124"/>
      <c r="H253" s="124"/>
    </row>
    <row r="254" ht="15.75" customHeight="1">
      <c r="B254" s="334"/>
      <c r="E254" s="124"/>
      <c r="F254" s="124"/>
      <c r="G254" s="124"/>
      <c r="H254" s="124"/>
    </row>
    <row r="255" ht="15.75" customHeight="1">
      <c r="B255" s="334"/>
      <c r="E255" s="124"/>
      <c r="F255" s="124"/>
      <c r="G255" s="124"/>
      <c r="H255" s="124"/>
    </row>
    <row r="256" ht="15.75" customHeight="1">
      <c r="B256" s="334"/>
      <c r="E256" s="124"/>
      <c r="F256" s="124"/>
      <c r="G256" s="124"/>
      <c r="H256" s="124"/>
    </row>
    <row r="257" ht="15.75" customHeight="1">
      <c r="B257" s="334"/>
      <c r="E257" s="124"/>
      <c r="F257" s="124"/>
      <c r="G257" s="124"/>
      <c r="H257" s="124"/>
    </row>
    <row r="258" ht="15.75" customHeight="1">
      <c r="B258" s="334"/>
      <c r="E258" s="124"/>
      <c r="F258" s="124"/>
      <c r="G258" s="124"/>
      <c r="H258" s="124"/>
    </row>
    <row r="259" ht="15.75" customHeight="1">
      <c r="B259" s="334"/>
      <c r="E259" s="124"/>
      <c r="F259" s="124"/>
      <c r="G259" s="124"/>
      <c r="H259" s="124"/>
    </row>
    <row r="260" ht="15.75" customHeight="1">
      <c r="B260" s="334"/>
      <c r="E260" s="124"/>
      <c r="F260" s="124"/>
      <c r="G260" s="124"/>
      <c r="H260" s="124"/>
    </row>
    <row r="261" ht="15.75" customHeight="1">
      <c r="B261" s="334"/>
      <c r="E261" s="124"/>
      <c r="F261" s="124"/>
      <c r="G261" s="124"/>
      <c r="H261" s="124"/>
    </row>
    <row r="262" ht="15.75" customHeight="1">
      <c r="B262" s="334"/>
      <c r="E262" s="124"/>
      <c r="F262" s="124"/>
      <c r="G262" s="124"/>
      <c r="H262" s="124"/>
    </row>
    <row r="263" ht="15.75" customHeight="1">
      <c r="B263" s="334"/>
      <c r="E263" s="124"/>
      <c r="F263" s="124"/>
      <c r="G263" s="124"/>
      <c r="H263" s="124"/>
    </row>
    <row r="264" ht="15.75" customHeight="1">
      <c r="B264" s="334"/>
      <c r="E264" s="124"/>
      <c r="F264" s="124"/>
      <c r="G264" s="124"/>
      <c r="H264" s="124"/>
    </row>
    <row r="265" ht="15.75" customHeight="1">
      <c r="B265" s="334"/>
      <c r="E265" s="124"/>
      <c r="F265" s="124"/>
      <c r="G265" s="124"/>
      <c r="H265" s="124"/>
    </row>
    <row r="266" ht="15.75" customHeight="1">
      <c r="B266" s="334"/>
      <c r="E266" s="124"/>
      <c r="F266" s="124"/>
      <c r="G266" s="124"/>
      <c r="H266" s="124"/>
    </row>
    <row r="267" ht="15.75" customHeight="1">
      <c r="B267" s="334"/>
      <c r="E267" s="124"/>
      <c r="F267" s="124"/>
      <c r="G267" s="124"/>
      <c r="H267" s="124"/>
    </row>
    <row r="268" ht="15.75" customHeight="1">
      <c r="B268" s="334"/>
      <c r="E268" s="124"/>
      <c r="F268" s="124"/>
      <c r="G268" s="124"/>
      <c r="H268" s="124"/>
    </row>
    <row r="269" ht="15.75" customHeight="1">
      <c r="B269" s="334"/>
      <c r="E269" s="124"/>
      <c r="F269" s="124"/>
      <c r="G269" s="124"/>
      <c r="H269" s="124"/>
    </row>
    <row r="270" ht="15.75" customHeight="1">
      <c r="B270" s="334"/>
      <c r="E270" s="124"/>
      <c r="F270" s="124"/>
      <c r="G270" s="124"/>
      <c r="H270" s="124"/>
    </row>
    <row r="271" ht="15.75" customHeight="1">
      <c r="B271" s="334"/>
      <c r="E271" s="124"/>
      <c r="F271" s="124"/>
      <c r="G271" s="124"/>
      <c r="H271" s="124"/>
    </row>
    <row r="272" ht="15.75" customHeight="1">
      <c r="B272" s="334"/>
      <c r="E272" s="124"/>
      <c r="F272" s="124"/>
      <c r="G272" s="124"/>
      <c r="H272" s="124"/>
    </row>
    <row r="273" ht="15.75" customHeight="1">
      <c r="B273" s="334"/>
      <c r="E273" s="124"/>
      <c r="F273" s="124"/>
      <c r="G273" s="124"/>
      <c r="H273" s="124"/>
    </row>
    <row r="274" ht="15.75" customHeight="1">
      <c r="B274" s="334"/>
      <c r="E274" s="124"/>
      <c r="F274" s="124"/>
      <c r="G274" s="124"/>
      <c r="H274" s="124"/>
    </row>
    <row r="275" ht="15.75" customHeight="1">
      <c r="B275" s="334"/>
      <c r="E275" s="124"/>
      <c r="F275" s="124"/>
      <c r="G275" s="124"/>
      <c r="H275" s="124"/>
    </row>
    <row r="276" ht="15.75" customHeight="1">
      <c r="B276" s="334"/>
      <c r="E276" s="124"/>
      <c r="F276" s="124"/>
      <c r="G276" s="124"/>
      <c r="H276" s="124"/>
    </row>
    <row r="277" ht="15.75" customHeight="1">
      <c r="B277" s="334"/>
      <c r="E277" s="124"/>
      <c r="F277" s="124"/>
      <c r="G277" s="124"/>
      <c r="H277" s="124"/>
    </row>
    <row r="278" ht="15.75" customHeight="1">
      <c r="B278" s="334"/>
      <c r="E278" s="124"/>
      <c r="F278" s="124"/>
      <c r="G278" s="124"/>
      <c r="H278" s="124"/>
    </row>
    <row r="279" ht="15.75" customHeight="1">
      <c r="B279" s="334"/>
      <c r="E279" s="124"/>
      <c r="F279" s="124"/>
      <c r="G279" s="124"/>
      <c r="H279" s="124"/>
    </row>
    <row r="280" ht="15.75" customHeight="1">
      <c r="B280" s="334"/>
      <c r="E280" s="124"/>
      <c r="F280" s="124"/>
      <c r="G280" s="124"/>
      <c r="H280" s="124"/>
    </row>
    <row r="281" ht="15.75" customHeight="1">
      <c r="B281" s="334"/>
      <c r="E281" s="124"/>
      <c r="F281" s="124"/>
      <c r="G281" s="124"/>
      <c r="H281" s="124"/>
    </row>
    <row r="282" ht="15.75" customHeight="1">
      <c r="B282" s="334"/>
      <c r="E282" s="124"/>
      <c r="F282" s="124"/>
      <c r="G282" s="124"/>
      <c r="H282" s="124"/>
    </row>
    <row r="283" ht="15.75" customHeight="1">
      <c r="B283" s="334"/>
      <c r="E283" s="124"/>
      <c r="F283" s="124"/>
      <c r="G283" s="124"/>
      <c r="H283" s="124"/>
    </row>
    <row r="284" ht="15.75" customHeight="1">
      <c r="B284" s="334"/>
      <c r="E284" s="124"/>
      <c r="F284" s="124"/>
      <c r="G284" s="124"/>
      <c r="H284" s="124"/>
    </row>
    <row r="285" ht="15.75" customHeight="1">
      <c r="B285" s="334"/>
      <c r="E285" s="124"/>
      <c r="F285" s="124"/>
      <c r="G285" s="124"/>
      <c r="H285" s="124"/>
    </row>
    <row r="286" ht="15.75" customHeight="1">
      <c r="B286" s="334"/>
      <c r="E286" s="124"/>
      <c r="F286" s="124"/>
      <c r="G286" s="124"/>
      <c r="H286" s="124"/>
    </row>
    <row r="287" ht="15.75" customHeight="1">
      <c r="B287" s="334"/>
      <c r="E287" s="124"/>
      <c r="F287" s="124"/>
      <c r="G287" s="124"/>
      <c r="H287" s="124"/>
    </row>
    <row r="288" ht="15.75" customHeight="1">
      <c r="B288" s="334"/>
      <c r="E288" s="124"/>
      <c r="F288" s="124"/>
      <c r="G288" s="124"/>
      <c r="H288" s="124"/>
    </row>
    <row r="289" ht="15.75" customHeight="1">
      <c r="B289" s="334"/>
      <c r="E289" s="124"/>
      <c r="F289" s="124"/>
      <c r="G289" s="124"/>
      <c r="H289" s="124"/>
    </row>
    <row r="290" ht="15.75" customHeight="1">
      <c r="B290" s="334"/>
      <c r="E290" s="124"/>
      <c r="F290" s="124"/>
      <c r="G290" s="124"/>
      <c r="H290" s="124"/>
    </row>
    <row r="291" ht="15.75" customHeight="1">
      <c r="B291" s="334"/>
      <c r="E291" s="124"/>
      <c r="F291" s="124"/>
      <c r="G291" s="124"/>
      <c r="H291" s="124"/>
    </row>
    <row r="292" ht="15.75" customHeight="1">
      <c r="B292" s="334"/>
      <c r="E292" s="124"/>
      <c r="F292" s="124"/>
      <c r="G292" s="124"/>
      <c r="H292" s="124"/>
    </row>
    <row r="293" ht="15.75" customHeight="1">
      <c r="B293" s="334"/>
      <c r="E293" s="124"/>
      <c r="F293" s="124"/>
      <c r="G293" s="124"/>
      <c r="H293" s="124"/>
    </row>
    <row r="294" ht="15.75" customHeight="1">
      <c r="B294" s="334"/>
      <c r="E294" s="124"/>
      <c r="F294" s="124"/>
      <c r="G294" s="124"/>
      <c r="H294" s="124"/>
    </row>
    <row r="295" ht="15.75" customHeight="1">
      <c r="B295" s="334"/>
      <c r="E295" s="124"/>
      <c r="F295" s="124"/>
      <c r="G295" s="124"/>
      <c r="H295" s="124"/>
    </row>
    <row r="296" ht="15.75" customHeight="1">
      <c r="B296" s="334"/>
      <c r="E296" s="124"/>
      <c r="F296" s="124"/>
      <c r="G296" s="124"/>
      <c r="H296" s="124"/>
    </row>
    <row r="297" ht="15.75" customHeight="1">
      <c r="B297" s="334"/>
      <c r="E297" s="124"/>
      <c r="F297" s="124"/>
      <c r="G297" s="124"/>
      <c r="H297" s="124"/>
    </row>
    <row r="298" ht="15.75" customHeight="1">
      <c r="B298" s="334"/>
      <c r="E298" s="124"/>
      <c r="F298" s="124"/>
      <c r="G298" s="124"/>
      <c r="H298" s="124"/>
    </row>
    <row r="299" ht="15.75" customHeight="1">
      <c r="B299" s="334"/>
      <c r="E299" s="124"/>
      <c r="F299" s="124"/>
      <c r="G299" s="124"/>
      <c r="H299" s="124"/>
    </row>
    <row r="300" ht="15.75" customHeight="1">
      <c r="B300" s="334"/>
      <c r="E300" s="124"/>
      <c r="F300" s="124"/>
      <c r="G300" s="124"/>
      <c r="H300" s="124"/>
    </row>
    <row r="301" ht="15.75" customHeight="1">
      <c r="B301" s="334"/>
      <c r="E301" s="124"/>
      <c r="F301" s="124"/>
      <c r="G301" s="124"/>
      <c r="H301" s="124"/>
    </row>
    <row r="302" ht="15.75" customHeight="1">
      <c r="B302" s="334"/>
      <c r="E302" s="124"/>
      <c r="F302" s="124"/>
      <c r="G302" s="124"/>
      <c r="H302" s="124"/>
    </row>
    <row r="303" ht="15.75" customHeight="1">
      <c r="B303" s="334"/>
      <c r="E303" s="124"/>
      <c r="F303" s="124"/>
      <c r="G303" s="124"/>
      <c r="H303" s="124"/>
    </row>
    <row r="304" ht="15.75" customHeight="1">
      <c r="B304" s="334"/>
      <c r="E304" s="124"/>
      <c r="F304" s="124"/>
      <c r="G304" s="124"/>
      <c r="H304" s="124"/>
    </row>
    <row r="305" ht="15.75" customHeight="1">
      <c r="B305" s="334"/>
      <c r="E305" s="124"/>
      <c r="F305" s="124"/>
      <c r="G305" s="124"/>
      <c r="H305" s="124"/>
    </row>
    <row r="306" ht="15.75" customHeight="1">
      <c r="B306" s="334"/>
      <c r="E306" s="124"/>
      <c r="F306" s="124"/>
      <c r="G306" s="124"/>
      <c r="H306" s="124"/>
    </row>
    <row r="307" ht="15.75" customHeight="1">
      <c r="B307" s="334"/>
      <c r="E307" s="124"/>
      <c r="F307" s="124"/>
      <c r="G307" s="124"/>
      <c r="H307" s="124"/>
    </row>
    <row r="308" ht="15.75" customHeight="1">
      <c r="B308" s="334"/>
      <c r="E308" s="124"/>
      <c r="F308" s="124"/>
      <c r="G308" s="124"/>
      <c r="H308" s="124"/>
    </row>
    <row r="309" ht="15.75" customHeight="1">
      <c r="B309" s="334"/>
      <c r="E309" s="124"/>
      <c r="F309" s="124"/>
      <c r="G309" s="124"/>
      <c r="H309" s="124"/>
    </row>
    <row r="310" ht="15.75" customHeight="1">
      <c r="B310" s="334"/>
      <c r="E310" s="124"/>
      <c r="F310" s="124"/>
      <c r="G310" s="124"/>
      <c r="H310" s="124"/>
    </row>
    <row r="311" ht="15.75" customHeight="1">
      <c r="B311" s="334"/>
      <c r="E311" s="124"/>
      <c r="F311" s="124"/>
      <c r="G311" s="124"/>
      <c r="H311" s="124"/>
    </row>
    <row r="312" ht="15.75" customHeight="1">
      <c r="B312" s="334"/>
      <c r="E312" s="124"/>
      <c r="F312" s="124"/>
      <c r="G312" s="124"/>
      <c r="H312" s="124"/>
    </row>
    <row r="313" ht="15.75" customHeight="1">
      <c r="B313" s="334"/>
      <c r="E313" s="124"/>
      <c r="F313" s="124"/>
      <c r="G313" s="124"/>
      <c r="H313" s="124"/>
    </row>
    <row r="314" ht="15.75" customHeight="1">
      <c r="B314" s="334"/>
      <c r="E314" s="124"/>
      <c r="F314" s="124"/>
      <c r="G314" s="124"/>
      <c r="H314" s="124"/>
    </row>
    <row r="315" ht="15.75" customHeight="1">
      <c r="B315" s="334"/>
      <c r="E315" s="124"/>
      <c r="F315" s="124"/>
      <c r="G315" s="124"/>
      <c r="H315" s="124"/>
    </row>
    <row r="316" ht="15.75" customHeight="1">
      <c r="B316" s="334"/>
      <c r="E316" s="124"/>
      <c r="F316" s="124"/>
      <c r="G316" s="124"/>
      <c r="H316" s="124"/>
    </row>
    <row r="317" ht="15.75" customHeight="1">
      <c r="B317" s="334"/>
      <c r="E317" s="124"/>
      <c r="F317" s="124"/>
      <c r="G317" s="124"/>
      <c r="H317" s="124"/>
    </row>
    <row r="318" ht="15.75" customHeight="1">
      <c r="B318" s="334"/>
      <c r="E318" s="124"/>
      <c r="F318" s="124"/>
      <c r="G318" s="124"/>
      <c r="H318" s="124"/>
    </row>
    <row r="319" ht="15.75" customHeight="1">
      <c r="B319" s="334"/>
      <c r="E319" s="124"/>
      <c r="F319" s="124"/>
      <c r="G319" s="124"/>
      <c r="H319" s="124"/>
    </row>
    <row r="320" ht="15.75" customHeight="1">
      <c r="B320" s="334"/>
      <c r="E320" s="124"/>
      <c r="F320" s="124"/>
      <c r="G320" s="124"/>
      <c r="H320" s="124"/>
    </row>
    <row r="321" ht="15.75" customHeight="1">
      <c r="B321" s="334"/>
      <c r="E321" s="124"/>
      <c r="F321" s="124"/>
      <c r="G321" s="124"/>
      <c r="H321" s="124"/>
    </row>
    <row r="322" ht="15.75" customHeight="1">
      <c r="B322" s="334"/>
      <c r="E322" s="124"/>
      <c r="F322" s="124"/>
      <c r="G322" s="124"/>
      <c r="H322" s="124"/>
    </row>
    <row r="323" ht="15.75" customHeight="1">
      <c r="B323" s="334"/>
      <c r="E323" s="124"/>
      <c r="F323" s="124"/>
      <c r="G323" s="124"/>
      <c r="H323" s="124"/>
    </row>
    <row r="324" ht="15.75" customHeight="1">
      <c r="B324" s="334"/>
      <c r="E324" s="124"/>
      <c r="F324" s="124"/>
      <c r="G324" s="124"/>
      <c r="H324" s="124"/>
    </row>
    <row r="325" ht="15.75" customHeight="1">
      <c r="B325" s="334"/>
      <c r="E325" s="124"/>
      <c r="F325" s="124"/>
      <c r="G325" s="124"/>
      <c r="H325" s="124"/>
    </row>
    <row r="326" ht="15.75" customHeight="1">
      <c r="B326" s="334"/>
      <c r="E326" s="124"/>
      <c r="F326" s="124"/>
      <c r="G326" s="124"/>
      <c r="H326" s="124"/>
    </row>
    <row r="327" ht="15.75" customHeight="1">
      <c r="B327" s="334"/>
      <c r="E327" s="124"/>
      <c r="F327" s="124"/>
      <c r="G327" s="124"/>
      <c r="H327" s="124"/>
    </row>
    <row r="328" ht="15.75" customHeight="1">
      <c r="B328" s="334"/>
      <c r="E328" s="124"/>
      <c r="F328" s="124"/>
      <c r="G328" s="124"/>
      <c r="H328" s="124"/>
    </row>
    <row r="329" ht="15.75" customHeight="1">
      <c r="B329" s="334"/>
      <c r="E329" s="124"/>
      <c r="F329" s="124"/>
      <c r="G329" s="124"/>
      <c r="H329" s="124"/>
    </row>
    <row r="330" ht="15.75" customHeight="1">
      <c r="B330" s="334"/>
      <c r="E330" s="124"/>
      <c r="F330" s="124"/>
      <c r="G330" s="124"/>
      <c r="H330" s="124"/>
    </row>
    <row r="331" ht="15.75" customHeight="1">
      <c r="B331" s="334"/>
      <c r="E331" s="124"/>
      <c r="F331" s="124"/>
      <c r="G331" s="124"/>
      <c r="H331" s="124"/>
    </row>
    <row r="332" ht="15.75" customHeight="1">
      <c r="B332" s="334"/>
      <c r="E332" s="124"/>
      <c r="F332" s="124"/>
      <c r="G332" s="124"/>
      <c r="H332" s="124"/>
    </row>
    <row r="333" ht="15.75" customHeight="1">
      <c r="B333" s="334"/>
      <c r="E333" s="124"/>
      <c r="F333" s="124"/>
      <c r="G333" s="124"/>
      <c r="H333" s="124"/>
    </row>
    <row r="334" ht="15.75" customHeight="1">
      <c r="B334" s="334"/>
      <c r="E334" s="124"/>
      <c r="F334" s="124"/>
      <c r="G334" s="124"/>
      <c r="H334" s="124"/>
    </row>
    <row r="335" ht="15.75" customHeight="1">
      <c r="B335" s="334"/>
      <c r="E335" s="124"/>
      <c r="F335" s="124"/>
      <c r="G335" s="124"/>
      <c r="H335" s="124"/>
    </row>
    <row r="336" ht="15.75" customHeight="1">
      <c r="B336" s="334"/>
      <c r="E336" s="124"/>
      <c r="F336" s="124"/>
      <c r="G336" s="124"/>
      <c r="H336" s="124"/>
    </row>
    <row r="337" ht="15.75" customHeight="1">
      <c r="B337" s="334"/>
      <c r="E337" s="124"/>
      <c r="F337" s="124"/>
      <c r="G337" s="124"/>
      <c r="H337" s="124"/>
    </row>
    <row r="338" ht="15.75" customHeight="1">
      <c r="B338" s="334"/>
      <c r="E338" s="124"/>
      <c r="F338" s="124"/>
      <c r="G338" s="124"/>
      <c r="H338" s="124"/>
    </row>
    <row r="339" ht="15.75" customHeight="1">
      <c r="B339" s="334"/>
      <c r="E339" s="124"/>
      <c r="F339" s="124"/>
      <c r="G339" s="124"/>
      <c r="H339" s="124"/>
    </row>
    <row r="340" ht="15.75" customHeight="1">
      <c r="B340" s="334"/>
      <c r="E340" s="124"/>
      <c r="F340" s="124"/>
      <c r="G340" s="124"/>
      <c r="H340" s="124"/>
    </row>
    <row r="341" ht="15.75" customHeight="1">
      <c r="B341" s="334"/>
      <c r="E341" s="124"/>
      <c r="F341" s="124"/>
      <c r="G341" s="124"/>
      <c r="H341" s="124"/>
    </row>
    <row r="342" ht="15.75" customHeight="1">
      <c r="B342" s="334"/>
      <c r="E342" s="124"/>
      <c r="F342" s="124"/>
      <c r="G342" s="124"/>
      <c r="H342" s="124"/>
    </row>
    <row r="343" ht="15.75" customHeight="1">
      <c r="B343" s="334"/>
      <c r="E343" s="124"/>
      <c r="F343" s="124"/>
      <c r="G343" s="124"/>
      <c r="H343" s="124"/>
    </row>
    <row r="344" ht="15.75" customHeight="1">
      <c r="B344" s="334"/>
      <c r="E344" s="124"/>
      <c r="F344" s="124"/>
      <c r="G344" s="124"/>
      <c r="H344" s="124"/>
    </row>
    <row r="345" ht="15.75" customHeight="1">
      <c r="B345" s="334"/>
      <c r="E345" s="124"/>
      <c r="F345" s="124"/>
      <c r="G345" s="124"/>
      <c r="H345" s="124"/>
    </row>
    <row r="346" ht="15.75" customHeight="1">
      <c r="B346" s="334"/>
      <c r="E346" s="124"/>
      <c r="F346" s="124"/>
      <c r="G346" s="124"/>
      <c r="H346" s="124"/>
    </row>
    <row r="347" ht="15.75" customHeight="1">
      <c r="B347" s="334"/>
      <c r="E347" s="124"/>
      <c r="F347" s="124"/>
      <c r="G347" s="124"/>
      <c r="H347" s="124"/>
    </row>
    <row r="348" ht="15.75" customHeight="1">
      <c r="B348" s="334"/>
      <c r="E348" s="124"/>
      <c r="F348" s="124"/>
      <c r="G348" s="124"/>
      <c r="H348" s="124"/>
    </row>
    <row r="349" ht="15.75" customHeight="1">
      <c r="B349" s="334"/>
      <c r="E349" s="124"/>
      <c r="F349" s="124"/>
      <c r="G349" s="124"/>
      <c r="H349" s="124"/>
    </row>
    <row r="350" ht="15.75" customHeight="1">
      <c r="B350" s="334"/>
      <c r="E350" s="124"/>
      <c r="F350" s="124"/>
      <c r="G350" s="124"/>
      <c r="H350" s="124"/>
    </row>
    <row r="351" ht="15.75" customHeight="1">
      <c r="B351" s="334"/>
      <c r="E351" s="124"/>
      <c r="F351" s="124"/>
      <c r="G351" s="124"/>
      <c r="H351" s="124"/>
    </row>
    <row r="352" ht="15.75" customHeight="1">
      <c r="B352" s="334"/>
      <c r="E352" s="124"/>
      <c r="F352" s="124"/>
      <c r="G352" s="124"/>
      <c r="H352" s="124"/>
    </row>
    <row r="353" ht="15.75" customHeight="1">
      <c r="B353" s="334"/>
      <c r="E353" s="124"/>
      <c r="F353" s="124"/>
      <c r="G353" s="124"/>
      <c r="H353" s="124"/>
    </row>
    <row r="354" ht="15.75" customHeight="1">
      <c r="B354" s="334"/>
      <c r="E354" s="124"/>
      <c r="F354" s="124"/>
      <c r="G354" s="124"/>
      <c r="H354" s="124"/>
    </row>
    <row r="355" ht="15.75" customHeight="1">
      <c r="B355" s="334"/>
      <c r="E355" s="124"/>
      <c r="F355" s="124"/>
      <c r="G355" s="124"/>
      <c r="H355" s="124"/>
    </row>
    <row r="356" ht="15.75" customHeight="1">
      <c r="B356" s="334"/>
      <c r="E356" s="124"/>
      <c r="F356" s="124"/>
      <c r="G356" s="124"/>
      <c r="H356" s="124"/>
    </row>
    <row r="357" ht="15.75" customHeight="1">
      <c r="B357" s="334"/>
      <c r="E357" s="124"/>
      <c r="F357" s="124"/>
      <c r="G357" s="124"/>
      <c r="H357" s="124"/>
    </row>
    <row r="358" ht="15.75" customHeight="1">
      <c r="B358" s="334"/>
      <c r="E358" s="124"/>
      <c r="F358" s="124"/>
      <c r="G358" s="124"/>
      <c r="H358" s="124"/>
    </row>
    <row r="359" ht="15.75" customHeight="1">
      <c r="B359" s="334"/>
      <c r="E359" s="124"/>
      <c r="F359" s="124"/>
      <c r="G359" s="124"/>
      <c r="H359" s="124"/>
    </row>
    <row r="360" ht="15.75" customHeight="1">
      <c r="B360" s="334"/>
      <c r="E360" s="124"/>
      <c r="F360" s="124"/>
      <c r="G360" s="124"/>
      <c r="H360" s="124"/>
    </row>
    <row r="361" ht="15.75" customHeight="1">
      <c r="B361" s="334"/>
      <c r="E361" s="124"/>
      <c r="F361" s="124"/>
      <c r="G361" s="124"/>
      <c r="H361" s="124"/>
    </row>
    <row r="362" ht="15.75" customHeight="1">
      <c r="B362" s="334"/>
      <c r="E362" s="124"/>
      <c r="F362" s="124"/>
      <c r="G362" s="124"/>
      <c r="H362" s="124"/>
    </row>
    <row r="363" ht="15.75" customHeight="1">
      <c r="B363" s="334"/>
      <c r="E363" s="124"/>
      <c r="F363" s="124"/>
      <c r="G363" s="124"/>
      <c r="H363" s="124"/>
    </row>
    <row r="364" ht="15.75" customHeight="1">
      <c r="B364" s="334"/>
      <c r="E364" s="124"/>
      <c r="F364" s="124"/>
      <c r="G364" s="124"/>
      <c r="H364" s="124"/>
    </row>
    <row r="365" ht="15.75" customHeight="1">
      <c r="B365" s="334"/>
      <c r="E365" s="124"/>
      <c r="F365" s="124"/>
      <c r="G365" s="124"/>
      <c r="H365" s="124"/>
    </row>
    <row r="366" ht="15.75" customHeight="1">
      <c r="B366" s="334"/>
      <c r="E366" s="124"/>
      <c r="F366" s="124"/>
      <c r="G366" s="124"/>
      <c r="H366" s="124"/>
    </row>
    <row r="367" ht="15.75" customHeight="1">
      <c r="B367" s="334"/>
      <c r="E367" s="124"/>
      <c r="F367" s="124"/>
      <c r="G367" s="124"/>
      <c r="H367" s="124"/>
    </row>
    <row r="368" ht="15.75" customHeight="1">
      <c r="B368" s="334"/>
      <c r="E368" s="124"/>
      <c r="F368" s="124"/>
      <c r="G368" s="124"/>
      <c r="H368" s="124"/>
    </row>
    <row r="369" ht="15.75" customHeight="1">
      <c r="B369" s="334"/>
      <c r="E369" s="124"/>
      <c r="F369" s="124"/>
      <c r="G369" s="124"/>
      <c r="H369" s="124"/>
    </row>
    <row r="370" ht="15.75" customHeight="1">
      <c r="B370" s="334"/>
      <c r="E370" s="124"/>
      <c r="F370" s="124"/>
      <c r="G370" s="124"/>
      <c r="H370" s="124"/>
    </row>
    <row r="371" ht="15.75" customHeight="1">
      <c r="B371" s="334"/>
      <c r="E371" s="124"/>
      <c r="F371" s="124"/>
      <c r="G371" s="124"/>
      <c r="H371" s="124"/>
    </row>
    <row r="372" ht="15.75" customHeight="1">
      <c r="B372" s="334"/>
      <c r="E372" s="124"/>
      <c r="F372" s="124"/>
      <c r="G372" s="124"/>
      <c r="H372" s="124"/>
    </row>
    <row r="373" ht="15.75" customHeight="1">
      <c r="B373" s="334"/>
      <c r="E373" s="124"/>
      <c r="F373" s="124"/>
      <c r="G373" s="124"/>
      <c r="H373" s="124"/>
    </row>
    <row r="374" ht="15.75" customHeight="1">
      <c r="B374" s="334"/>
      <c r="E374" s="124"/>
      <c r="F374" s="124"/>
      <c r="G374" s="124"/>
      <c r="H374" s="124"/>
    </row>
    <row r="375" ht="15.75" customHeight="1">
      <c r="B375" s="334"/>
      <c r="E375" s="124"/>
      <c r="F375" s="124"/>
      <c r="G375" s="124"/>
      <c r="H375" s="124"/>
    </row>
    <row r="376" ht="15.75" customHeight="1">
      <c r="B376" s="334"/>
      <c r="E376" s="124"/>
      <c r="F376" s="124"/>
      <c r="G376" s="124"/>
      <c r="H376" s="124"/>
    </row>
    <row r="377" ht="15.75" customHeight="1">
      <c r="B377" s="334"/>
      <c r="E377" s="124"/>
      <c r="F377" s="124"/>
      <c r="G377" s="124"/>
      <c r="H377" s="124"/>
    </row>
    <row r="378" ht="15.75" customHeight="1">
      <c r="B378" s="334"/>
      <c r="E378" s="124"/>
      <c r="F378" s="124"/>
      <c r="G378" s="124"/>
      <c r="H378" s="124"/>
    </row>
    <row r="379" ht="15.75" customHeight="1">
      <c r="B379" s="334"/>
      <c r="E379" s="124"/>
      <c r="F379" s="124"/>
      <c r="G379" s="124"/>
      <c r="H379" s="124"/>
    </row>
    <row r="380" ht="15.75" customHeight="1">
      <c r="B380" s="334"/>
      <c r="E380" s="124"/>
      <c r="F380" s="124"/>
      <c r="G380" s="124"/>
      <c r="H380" s="124"/>
    </row>
    <row r="381" ht="15.75" customHeight="1">
      <c r="B381" s="334"/>
      <c r="E381" s="124"/>
      <c r="F381" s="124"/>
      <c r="G381" s="124"/>
      <c r="H381" s="124"/>
    </row>
    <row r="382" ht="15.75" customHeight="1">
      <c r="B382" s="334"/>
      <c r="E382" s="124"/>
      <c r="F382" s="124"/>
      <c r="G382" s="124"/>
      <c r="H382" s="124"/>
    </row>
    <row r="383" ht="15.75" customHeight="1">
      <c r="B383" s="334"/>
      <c r="E383" s="124"/>
      <c r="F383" s="124"/>
      <c r="G383" s="124"/>
      <c r="H383" s="124"/>
    </row>
    <row r="384" ht="15.75" customHeight="1">
      <c r="B384" s="334"/>
      <c r="E384" s="124"/>
      <c r="F384" s="124"/>
      <c r="G384" s="124"/>
      <c r="H384" s="124"/>
    </row>
    <row r="385" ht="15.75" customHeight="1">
      <c r="B385" s="334"/>
      <c r="E385" s="124"/>
      <c r="F385" s="124"/>
      <c r="G385" s="124"/>
      <c r="H385" s="124"/>
    </row>
    <row r="386" ht="15.75" customHeight="1">
      <c r="B386" s="334"/>
      <c r="E386" s="124"/>
      <c r="F386" s="124"/>
      <c r="G386" s="124"/>
      <c r="H386" s="124"/>
    </row>
    <row r="387" ht="15.75" customHeight="1">
      <c r="B387" s="334"/>
      <c r="E387" s="124"/>
      <c r="F387" s="124"/>
      <c r="G387" s="124"/>
      <c r="H387" s="124"/>
    </row>
    <row r="388" ht="15.75" customHeight="1">
      <c r="B388" s="334"/>
      <c r="E388" s="124"/>
      <c r="F388" s="124"/>
      <c r="G388" s="124"/>
      <c r="H388" s="124"/>
    </row>
    <row r="389" ht="15.75" customHeight="1">
      <c r="B389" s="334"/>
      <c r="E389" s="124"/>
      <c r="F389" s="124"/>
      <c r="G389" s="124"/>
      <c r="H389" s="124"/>
    </row>
    <row r="390" ht="15.75" customHeight="1">
      <c r="B390" s="334"/>
      <c r="E390" s="124"/>
      <c r="F390" s="124"/>
      <c r="G390" s="124"/>
      <c r="H390" s="124"/>
    </row>
    <row r="391" ht="15.75" customHeight="1">
      <c r="B391" s="334"/>
      <c r="E391" s="124"/>
      <c r="F391" s="124"/>
      <c r="G391" s="124"/>
      <c r="H391" s="124"/>
    </row>
    <row r="392" ht="15.75" customHeight="1">
      <c r="B392" s="334"/>
      <c r="E392" s="124"/>
      <c r="F392" s="124"/>
      <c r="G392" s="124"/>
      <c r="H392" s="124"/>
    </row>
    <row r="393" ht="15.75" customHeight="1">
      <c r="B393" s="334"/>
      <c r="E393" s="124"/>
      <c r="F393" s="124"/>
      <c r="G393" s="124"/>
      <c r="H393" s="124"/>
    </row>
    <row r="394" ht="15.75" customHeight="1">
      <c r="B394" s="334"/>
      <c r="E394" s="124"/>
      <c r="F394" s="124"/>
      <c r="G394" s="124"/>
      <c r="H394" s="124"/>
    </row>
    <row r="395" ht="15.75" customHeight="1">
      <c r="B395" s="334"/>
      <c r="E395" s="124"/>
      <c r="F395" s="124"/>
      <c r="G395" s="124"/>
      <c r="H395" s="124"/>
    </row>
    <row r="396" ht="15.75" customHeight="1">
      <c r="B396" s="334"/>
      <c r="E396" s="124"/>
      <c r="F396" s="124"/>
      <c r="G396" s="124"/>
      <c r="H396" s="124"/>
    </row>
    <row r="397" ht="15.75" customHeight="1">
      <c r="B397" s="334"/>
      <c r="E397" s="124"/>
      <c r="F397" s="124"/>
      <c r="G397" s="124"/>
      <c r="H397" s="124"/>
    </row>
    <row r="398" ht="15.75" customHeight="1">
      <c r="B398" s="334"/>
      <c r="E398" s="124"/>
      <c r="F398" s="124"/>
      <c r="G398" s="124"/>
      <c r="H398" s="124"/>
    </row>
    <row r="399" ht="15.75" customHeight="1">
      <c r="B399" s="334"/>
      <c r="E399" s="124"/>
      <c r="F399" s="124"/>
      <c r="G399" s="124"/>
      <c r="H399" s="124"/>
    </row>
    <row r="400" ht="15.75" customHeight="1">
      <c r="B400" s="334"/>
      <c r="E400" s="124"/>
      <c r="F400" s="124"/>
      <c r="G400" s="124"/>
      <c r="H400" s="124"/>
    </row>
    <row r="401" ht="15.75" customHeight="1">
      <c r="B401" s="334"/>
      <c r="E401" s="124"/>
      <c r="F401" s="124"/>
      <c r="G401" s="124"/>
      <c r="H401" s="124"/>
    </row>
    <row r="402" ht="15.75" customHeight="1">
      <c r="B402" s="334"/>
      <c r="E402" s="124"/>
      <c r="F402" s="124"/>
      <c r="G402" s="124"/>
      <c r="H402" s="124"/>
    </row>
    <row r="403" ht="15.75" customHeight="1">
      <c r="B403" s="334"/>
      <c r="E403" s="124"/>
      <c r="F403" s="124"/>
      <c r="G403" s="124"/>
      <c r="H403" s="124"/>
    </row>
    <row r="404" ht="15.75" customHeight="1">
      <c r="B404" s="334"/>
      <c r="E404" s="124"/>
      <c r="F404" s="124"/>
      <c r="G404" s="124"/>
      <c r="H404" s="124"/>
    </row>
    <row r="405" ht="15.75" customHeight="1">
      <c r="B405" s="334"/>
      <c r="E405" s="124"/>
      <c r="F405" s="124"/>
      <c r="G405" s="124"/>
      <c r="H405" s="124"/>
    </row>
    <row r="406" ht="15.75" customHeight="1">
      <c r="B406" s="334"/>
      <c r="E406" s="124"/>
      <c r="F406" s="124"/>
      <c r="G406" s="124"/>
      <c r="H406" s="124"/>
    </row>
    <row r="407" ht="15.75" customHeight="1">
      <c r="B407" s="334"/>
      <c r="E407" s="124"/>
      <c r="F407" s="124"/>
      <c r="G407" s="124"/>
      <c r="H407" s="124"/>
    </row>
    <row r="408" ht="15.75" customHeight="1">
      <c r="B408" s="334"/>
      <c r="E408" s="124"/>
      <c r="F408" s="124"/>
      <c r="G408" s="124"/>
      <c r="H408" s="124"/>
    </row>
    <row r="409" ht="15.75" customHeight="1">
      <c r="B409" s="334"/>
      <c r="E409" s="124"/>
      <c r="F409" s="124"/>
      <c r="G409" s="124"/>
      <c r="H409" s="124"/>
    </row>
    <row r="410" ht="15.75" customHeight="1">
      <c r="B410" s="334"/>
      <c r="E410" s="124"/>
      <c r="F410" s="124"/>
      <c r="G410" s="124"/>
      <c r="H410" s="124"/>
    </row>
    <row r="411" ht="15.75" customHeight="1">
      <c r="B411" s="334"/>
      <c r="E411" s="124"/>
      <c r="F411" s="124"/>
      <c r="G411" s="124"/>
      <c r="H411" s="124"/>
    </row>
    <row r="412" ht="15.75" customHeight="1">
      <c r="B412" s="334"/>
      <c r="E412" s="124"/>
      <c r="F412" s="124"/>
      <c r="G412" s="124"/>
      <c r="H412" s="124"/>
    </row>
    <row r="413" ht="15.75" customHeight="1">
      <c r="B413" s="334"/>
      <c r="E413" s="124"/>
      <c r="F413" s="124"/>
      <c r="G413" s="124"/>
      <c r="H413" s="124"/>
    </row>
    <row r="414" ht="15.75" customHeight="1">
      <c r="B414" s="334"/>
      <c r="E414" s="124"/>
      <c r="F414" s="124"/>
      <c r="G414" s="124"/>
      <c r="H414" s="124"/>
    </row>
    <row r="415" ht="15.75" customHeight="1">
      <c r="B415" s="334"/>
      <c r="E415" s="124"/>
      <c r="F415" s="124"/>
      <c r="G415" s="124"/>
      <c r="H415" s="124"/>
    </row>
    <row r="416" ht="15.75" customHeight="1">
      <c r="B416" s="334"/>
      <c r="E416" s="124"/>
      <c r="F416" s="124"/>
      <c r="G416" s="124"/>
      <c r="H416" s="124"/>
    </row>
    <row r="417" ht="15.75" customHeight="1">
      <c r="B417" s="334"/>
      <c r="E417" s="124"/>
      <c r="F417" s="124"/>
      <c r="G417" s="124"/>
      <c r="H417" s="124"/>
    </row>
    <row r="418" ht="15.75" customHeight="1">
      <c r="B418" s="334"/>
      <c r="E418" s="124"/>
      <c r="F418" s="124"/>
      <c r="G418" s="124"/>
      <c r="H418" s="124"/>
    </row>
    <row r="419" ht="15.75" customHeight="1">
      <c r="B419" s="334"/>
      <c r="E419" s="124"/>
      <c r="F419" s="124"/>
      <c r="G419" s="124"/>
      <c r="H419" s="124"/>
    </row>
    <row r="420" ht="15.75" customHeight="1">
      <c r="B420" s="334"/>
      <c r="E420" s="124"/>
      <c r="F420" s="124"/>
      <c r="G420" s="124"/>
      <c r="H420" s="124"/>
    </row>
    <row r="421" ht="15.75" customHeight="1">
      <c r="B421" s="334"/>
      <c r="E421" s="124"/>
      <c r="F421" s="124"/>
      <c r="G421" s="124"/>
      <c r="H421" s="124"/>
    </row>
    <row r="422" ht="15.75" customHeight="1">
      <c r="B422" s="334"/>
      <c r="E422" s="124"/>
      <c r="F422" s="124"/>
      <c r="G422" s="124"/>
      <c r="H422" s="124"/>
    </row>
    <row r="423" ht="15.75" customHeight="1">
      <c r="B423" s="334"/>
      <c r="E423" s="124"/>
      <c r="F423" s="124"/>
      <c r="G423" s="124"/>
      <c r="H423" s="124"/>
    </row>
    <row r="424" ht="15.75" customHeight="1">
      <c r="B424" s="334"/>
      <c r="E424" s="124"/>
      <c r="F424" s="124"/>
      <c r="G424" s="124"/>
      <c r="H424" s="124"/>
    </row>
    <row r="425" ht="15.75" customHeight="1">
      <c r="B425" s="334"/>
      <c r="E425" s="124"/>
      <c r="F425" s="124"/>
      <c r="G425" s="124"/>
      <c r="H425" s="124"/>
    </row>
    <row r="426" ht="15.75" customHeight="1">
      <c r="B426" s="334"/>
      <c r="E426" s="124"/>
      <c r="F426" s="124"/>
      <c r="G426" s="124"/>
      <c r="H426" s="124"/>
    </row>
    <row r="427" ht="15.75" customHeight="1">
      <c r="B427" s="334"/>
      <c r="E427" s="124"/>
      <c r="F427" s="124"/>
      <c r="G427" s="124"/>
      <c r="H427" s="124"/>
    </row>
    <row r="428" ht="15.75" customHeight="1">
      <c r="B428" s="334"/>
      <c r="E428" s="124"/>
      <c r="F428" s="124"/>
      <c r="G428" s="124"/>
      <c r="H428" s="124"/>
    </row>
    <row r="429" ht="15.75" customHeight="1">
      <c r="B429" s="334"/>
      <c r="E429" s="124"/>
      <c r="F429" s="124"/>
      <c r="G429" s="124"/>
      <c r="H429" s="124"/>
    </row>
    <row r="430" ht="15.75" customHeight="1">
      <c r="B430" s="334"/>
      <c r="E430" s="124"/>
      <c r="F430" s="124"/>
      <c r="G430" s="124"/>
      <c r="H430" s="124"/>
    </row>
    <row r="431" ht="15.75" customHeight="1">
      <c r="B431" s="334"/>
      <c r="E431" s="124"/>
      <c r="F431" s="124"/>
      <c r="G431" s="124"/>
      <c r="H431" s="124"/>
    </row>
    <row r="432" ht="15.75" customHeight="1">
      <c r="B432" s="334"/>
      <c r="E432" s="124"/>
      <c r="F432" s="124"/>
      <c r="G432" s="124"/>
      <c r="H432" s="124"/>
    </row>
    <row r="433" ht="15.75" customHeight="1">
      <c r="B433" s="334"/>
      <c r="E433" s="124"/>
      <c r="F433" s="124"/>
      <c r="G433" s="124"/>
      <c r="H433" s="124"/>
    </row>
    <row r="434" ht="15.75" customHeight="1">
      <c r="B434" s="334"/>
      <c r="E434" s="124"/>
      <c r="F434" s="124"/>
      <c r="G434" s="124"/>
      <c r="H434" s="124"/>
    </row>
    <row r="435" ht="15.75" customHeight="1">
      <c r="B435" s="334"/>
      <c r="E435" s="124"/>
      <c r="F435" s="124"/>
      <c r="G435" s="124"/>
      <c r="H435" s="124"/>
    </row>
    <row r="436" ht="15.75" customHeight="1">
      <c r="B436" s="334"/>
      <c r="E436" s="124"/>
      <c r="F436" s="124"/>
      <c r="G436" s="124"/>
      <c r="H436" s="124"/>
    </row>
    <row r="437" ht="15.75" customHeight="1">
      <c r="B437" s="334"/>
      <c r="E437" s="124"/>
      <c r="F437" s="124"/>
      <c r="G437" s="124"/>
      <c r="H437" s="124"/>
    </row>
    <row r="438" ht="15.75" customHeight="1">
      <c r="B438" s="334"/>
      <c r="E438" s="124"/>
      <c r="F438" s="124"/>
      <c r="G438" s="124"/>
      <c r="H438" s="124"/>
    </row>
    <row r="439" ht="15.75" customHeight="1">
      <c r="B439" s="334"/>
      <c r="E439" s="124"/>
      <c r="F439" s="124"/>
      <c r="G439" s="124"/>
      <c r="H439" s="124"/>
    </row>
    <row r="440" ht="15.75" customHeight="1">
      <c r="B440" s="334"/>
      <c r="E440" s="124"/>
      <c r="F440" s="124"/>
      <c r="G440" s="124"/>
      <c r="H440" s="124"/>
    </row>
    <row r="441" ht="15.75" customHeight="1">
      <c r="B441" s="334"/>
      <c r="E441" s="124"/>
      <c r="F441" s="124"/>
      <c r="G441" s="124"/>
      <c r="H441" s="124"/>
    </row>
    <row r="442" ht="15.75" customHeight="1">
      <c r="B442" s="334"/>
      <c r="E442" s="124"/>
      <c r="F442" s="124"/>
      <c r="G442" s="124"/>
      <c r="H442" s="124"/>
    </row>
    <row r="443" ht="15.75" customHeight="1">
      <c r="B443" s="334"/>
      <c r="E443" s="124"/>
      <c r="F443" s="124"/>
      <c r="G443" s="124"/>
      <c r="H443" s="124"/>
    </row>
    <row r="444" ht="15.75" customHeight="1">
      <c r="B444" s="334"/>
      <c r="E444" s="124"/>
      <c r="F444" s="124"/>
      <c r="G444" s="124"/>
      <c r="H444" s="124"/>
    </row>
    <row r="445" ht="15.75" customHeight="1">
      <c r="B445" s="334"/>
      <c r="E445" s="124"/>
      <c r="F445" s="124"/>
      <c r="G445" s="124"/>
      <c r="H445" s="124"/>
    </row>
    <row r="446" ht="15.75" customHeight="1">
      <c r="B446" s="334"/>
      <c r="E446" s="124"/>
      <c r="F446" s="124"/>
      <c r="G446" s="124"/>
      <c r="H446" s="124"/>
    </row>
    <row r="447" ht="15.75" customHeight="1">
      <c r="B447" s="334"/>
      <c r="E447" s="124"/>
      <c r="F447" s="124"/>
      <c r="G447" s="124"/>
      <c r="H447" s="124"/>
    </row>
    <row r="448" ht="15.75" customHeight="1">
      <c r="B448" s="334"/>
      <c r="E448" s="124"/>
      <c r="F448" s="124"/>
      <c r="G448" s="124"/>
      <c r="H448" s="124"/>
    </row>
    <row r="449" ht="15.75" customHeight="1">
      <c r="B449" s="334"/>
      <c r="E449" s="124"/>
      <c r="F449" s="124"/>
      <c r="G449" s="124"/>
      <c r="H449" s="124"/>
    </row>
    <row r="450" ht="15.75" customHeight="1">
      <c r="B450" s="334"/>
      <c r="E450" s="124"/>
      <c r="F450" s="124"/>
      <c r="G450" s="124"/>
      <c r="H450" s="124"/>
    </row>
    <row r="451" ht="15.75" customHeight="1">
      <c r="B451" s="334"/>
      <c r="E451" s="124"/>
      <c r="F451" s="124"/>
      <c r="G451" s="124"/>
      <c r="H451" s="124"/>
    </row>
    <row r="452" ht="15.75" customHeight="1">
      <c r="B452" s="334"/>
      <c r="E452" s="124"/>
      <c r="F452" s="124"/>
      <c r="G452" s="124"/>
      <c r="H452" s="124"/>
    </row>
    <row r="453" ht="15.75" customHeight="1">
      <c r="B453" s="334"/>
      <c r="E453" s="124"/>
      <c r="F453" s="124"/>
      <c r="G453" s="124"/>
      <c r="H453" s="124"/>
    </row>
    <row r="454" ht="15.75" customHeight="1">
      <c r="B454" s="334"/>
      <c r="E454" s="124"/>
      <c r="F454" s="124"/>
      <c r="G454" s="124"/>
      <c r="H454" s="124"/>
    </row>
    <row r="455" ht="15.75" customHeight="1">
      <c r="B455" s="334"/>
      <c r="E455" s="124"/>
      <c r="F455" s="124"/>
      <c r="G455" s="124"/>
      <c r="H455" s="124"/>
    </row>
    <row r="456" ht="15.75" customHeight="1">
      <c r="B456" s="334"/>
      <c r="E456" s="124"/>
      <c r="F456" s="124"/>
      <c r="G456" s="124"/>
      <c r="H456" s="124"/>
    </row>
    <row r="457" ht="15.75" customHeight="1">
      <c r="B457" s="334"/>
      <c r="E457" s="124"/>
      <c r="F457" s="124"/>
      <c r="G457" s="124"/>
      <c r="H457" s="124"/>
    </row>
    <row r="458" ht="15.75" customHeight="1">
      <c r="B458" s="334"/>
      <c r="E458" s="124"/>
      <c r="F458" s="124"/>
      <c r="G458" s="124"/>
      <c r="H458" s="124"/>
    </row>
    <row r="459" ht="15.75" customHeight="1">
      <c r="B459" s="334"/>
      <c r="E459" s="124"/>
      <c r="F459" s="124"/>
      <c r="G459" s="124"/>
      <c r="H459" s="124"/>
    </row>
    <row r="460" ht="15.75" customHeight="1">
      <c r="B460" s="334"/>
      <c r="E460" s="124"/>
      <c r="F460" s="124"/>
      <c r="G460" s="124"/>
      <c r="H460" s="124"/>
    </row>
    <row r="461" ht="15.75" customHeight="1">
      <c r="B461" s="334"/>
      <c r="E461" s="124"/>
      <c r="F461" s="124"/>
      <c r="G461" s="124"/>
      <c r="H461" s="124"/>
    </row>
    <row r="462" ht="15.75" customHeight="1">
      <c r="B462" s="334"/>
      <c r="E462" s="124"/>
      <c r="F462" s="124"/>
      <c r="G462" s="124"/>
      <c r="H462" s="124"/>
    </row>
    <row r="463" ht="15.75" customHeight="1">
      <c r="B463" s="334"/>
      <c r="E463" s="124"/>
      <c r="F463" s="124"/>
      <c r="G463" s="124"/>
      <c r="H463" s="124"/>
    </row>
    <row r="464" ht="15.75" customHeight="1">
      <c r="B464" s="334"/>
      <c r="E464" s="124"/>
      <c r="F464" s="124"/>
      <c r="G464" s="124"/>
      <c r="H464" s="124"/>
    </row>
    <row r="465" ht="15.75" customHeight="1">
      <c r="B465" s="334"/>
      <c r="E465" s="124"/>
      <c r="F465" s="124"/>
      <c r="G465" s="124"/>
      <c r="H465" s="124"/>
    </row>
    <row r="466" ht="15.75" customHeight="1">
      <c r="B466" s="334"/>
      <c r="E466" s="124"/>
      <c r="F466" s="124"/>
      <c r="G466" s="124"/>
      <c r="H466" s="124"/>
    </row>
    <row r="467" ht="15.75" customHeight="1">
      <c r="B467" s="334"/>
      <c r="E467" s="124"/>
      <c r="F467" s="124"/>
      <c r="G467" s="124"/>
      <c r="H467" s="124"/>
    </row>
    <row r="468" ht="15.75" customHeight="1">
      <c r="B468" s="334"/>
      <c r="E468" s="124"/>
      <c r="F468" s="124"/>
      <c r="G468" s="124"/>
      <c r="H468" s="124"/>
    </row>
    <row r="469" ht="15.75" customHeight="1">
      <c r="B469" s="334"/>
      <c r="E469" s="124"/>
      <c r="F469" s="124"/>
      <c r="G469" s="124"/>
      <c r="H469" s="124"/>
    </row>
    <row r="470" ht="15.75" customHeight="1">
      <c r="B470" s="334"/>
      <c r="E470" s="124"/>
      <c r="F470" s="124"/>
      <c r="G470" s="124"/>
      <c r="H470" s="124"/>
    </row>
    <row r="471" ht="15.75" customHeight="1">
      <c r="B471" s="334"/>
      <c r="E471" s="124"/>
      <c r="F471" s="124"/>
      <c r="G471" s="124"/>
      <c r="H471" s="124"/>
    </row>
    <row r="472" ht="15.75" customHeight="1">
      <c r="B472" s="334"/>
      <c r="E472" s="124"/>
      <c r="F472" s="124"/>
      <c r="G472" s="124"/>
      <c r="H472" s="124"/>
    </row>
    <row r="473" ht="15.75" customHeight="1">
      <c r="B473" s="334"/>
      <c r="E473" s="124"/>
      <c r="F473" s="124"/>
      <c r="G473" s="124"/>
      <c r="H473" s="124"/>
    </row>
    <row r="474" ht="15.75" customHeight="1">
      <c r="B474" s="334"/>
      <c r="E474" s="124"/>
      <c r="F474" s="124"/>
      <c r="G474" s="124"/>
      <c r="H474" s="124"/>
    </row>
    <row r="475" ht="15.75" customHeight="1">
      <c r="B475" s="334"/>
      <c r="E475" s="124"/>
      <c r="F475" s="124"/>
      <c r="G475" s="124"/>
      <c r="H475" s="124"/>
    </row>
    <row r="476" ht="15.75" customHeight="1">
      <c r="B476" s="334"/>
      <c r="E476" s="124"/>
      <c r="F476" s="124"/>
      <c r="G476" s="124"/>
      <c r="H476" s="124"/>
    </row>
    <row r="477" ht="15.75" customHeight="1">
      <c r="B477" s="334"/>
      <c r="E477" s="124"/>
      <c r="F477" s="124"/>
      <c r="G477" s="124"/>
      <c r="H477" s="124"/>
    </row>
    <row r="478" ht="15.75" customHeight="1">
      <c r="B478" s="334"/>
      <c r="E478" s="124"/>
      <c r="F478" s="124"/>
      <c r="G478" s="124"/>
      <c r="H478" s="124"/>
    </row>
    <row r="479" ht="15.75" customHeight="1">
      <c r="B479" s="334"/>
      <c r="E479" s="124"/>
      <c r="F479" s="124"/>
      <c r="G479" s="124"/>
      <c r="H479" s="124"/>
    </row>
    <row r="480" ht="15.75" customHeight="1">
      <c r="B480" s="334"/>
      <c r="E480" s="124"/>
      <c r="F480" s="124"/>
      <c r="G480" s="124"/>
      <c r="H480" s="124"/>
    </row>
    <row r="481" ht="15.75" customHeight="1">
      <c r="B481" s="334"/>
      <c r="E481" s="124"/>
      <c r="F481" s="124"/>
      <c r="G481" s="124"/>
      <c r="H481" s="124"/>
    </row>
    <row r="482" ht="15.75" customHeight="1">
      <c r="B482" s="334"/>
      <c r="E482" s="124"/>
      <c r="F482" s="124"/>
      <c r="G482" s="124"/>
      <c r="H482" s="124"/>
    </row>
    <row r="483" ht="15.75" customHeight="1">
      <c r="B483" s="334"/>
      <c r="E483" s="124"/>
      <c r="F483" s="124"/>
      <c r="G483" s="124"/>
      <c r="H483" s="124"/>
    </row>
    <row r="484" ht="15.75" customHeight="1">
      <c r="B484" s="334"/>
      <c r="E484" s="124"/>
      <c r="F484" s="124"/>
      <c r="G484" s="124"/>
      <c r="H484" s="124"/>
    </row>
    <row r="485" ht="15.75" customHeight="1">
      <c r="B485" s="334"/>
      <c r="E485" s="124"/>
      <c r="F485" s="124"/>
      <c r="G485" s="124"/>
      <c r="H485" s="124"/>
    </row>
    <row r="486" ht="15.75" customHeight="1">
      <c r="B486" s="334"/>
      <c r="E486" s="124"/>
      <c r="F486" s="124"/>
      <c r="G486" s="124"/>
      <c r="H486" s="124"/>
    </row>
    <row r="487" ht="15.75" customHeight="1">
      <c r="B487" s="334"/>
      <c r="E487" s="124"/>
      <c r="F487" s="124"/>
      <c r="G487" s="124"/>
      <c r="H487" s="124"/>
    </row>
    <row r="488" ht="15.75" customHeight="1">
      <c r="B488" s="334"/>
      <c r="E488" s="124"/>
      <c r="F488" s="124"/>
      <c r="G488" s="124"/>
      <c r="H488" s="124"/>
    </row>
    <row r="489" ht="15.75" customHeight="1">
      <c r="B489" s="334"/>
      <c r="E489" s="124"/>
      <c r="F489" s="124"/>
      <c r="G489" s="124"/>
      <c r="H489" s="124"/>
    </row>
    <row r="490" ht="15.75" customHeight="1">
      <c r="B490" s="334"/>
      <c r="E490" s="124"/>
      <c r="F490" s="124"/>
      <c r="G490" s="124"/>
      <c r="H490" s="124"/>
    </row>
    <row r="491" ht="15.75" customHeight="1">
      <c r="B491" s="334"/>
      <c r="E491" s="124"/>
      <c r="F491" s="124"/>
      <c r="G491" s="124"/>
      <c r="H491" s="124"/>
    </row>
    <row r="492" ht="15.75" customHeight="1">
      <c r="B492" s="334"/>
      <c r="E492" s="124"/>
      <c r="F492" s="124"/>
      <c r="G492" s="124"/>
      <c r="H492" s="124"/>
    </row>
    <row r="493" ht="15.75" customHeight="1">
      <c r="B493" s="334"/>
      <c r="E493" s="124"/>
      <c r="F493" s="124"/>
      <c r="G493" s="124"/>
      <c r="H493" s="124"/>
    </row>
    <row r="494" ht="15.75" customHeight="1">
      <c r="B494" s="334"/>
      <c r="E494" s="124"/>
      <c r="F494" s="124"/>
      <c r="G494" s="124"/>
      <c r="H494" s="124"/>
    </row>
    <row r="495" ht="15.75" customHeight="1">
      <c r="B495" s="334"/>
      <c r="E495" s="124"/>
      <c r="F495" s="124"/>
      <c r="G495" s="124"/>
      <c r="H495" s="124"/>
    </row>
    <row r="496" ht="15.75" customHeight="1">
      <c r="B496" s="334"/>
      <c r="E496" s="124"/>
      <c r="F496" s="124"/>
      <c r="G496" s="124"/>
      <c r="H496" s="124"/>
    </row>
    <row r="497" ht="15.75" customHeight="1">
      <c r="B497" s="334"/>
      <c r="E497" s="124"/>
      <c r="F497" s="124"/>
      <c r="G497" s="124"/>
      <c r="H497" s="124"/>
    </row>
    <row r="498" ht="15.75" customHeight="1">
      <c r="B498" s="334"/>
      <c r="E498" s="124"/>
      <c r="F498" s="124"/>
      <c r="G498" s="124"/>
      <c r="H498" s="124"/>
    </row>
    <row r="499" ht="15.75" customHeight="1">
      <c r="B499" s="334"/>
      <c r="E499" s="124"/>
      <c r="F499" s="124"/>
      <c r="G499" s="124"/>
      <c r="H499" s="124"/>
    </row>
    <row r="500" ht="15.75" customHeight="1">
      <c r="B500" s="334"/>
      <c r="E500" s="124"/>
      <c r="F500" s="124"/>
      <c r="G500" s="124"/>
      <c r="H500" s="124"/>
    </row>
    <row r="501" ht="15.75" customHeight="1">
      <c r="B501" s="334"/>
      <c r="E501" s="124"/>
      <c r="F501" s="124"/>
      <c r="G501" s="124"/>
      <c r="H501" s="124"/>
    </row>
    <row r="502" ht="15.75" customHeight="1">
      <c r="B502" s="334"/>
      <c r="E502" s="124"/>
      <c r="F502" s="124"/>
      <c r="G502" s="124"/>
      <c r="H502" s="124"/>
    </row>
    <row r="503" ht="15.75" customHeight="1">
      <c r="B503" s="334"/>
      <c r="E503" s="124"/>
      <c r="F503" s="124"/>
      <c r="G503" s="124"/>
      <c r="H503" s="124"/>
    </row>
    <row r="504" ht="15.75" customHeight="1">
      <c r="B504" s="334"/>
      <c r="E504" s="124"/>
      <c r="F504" s="124"/>
      <c r="G504" s="124"/>
      <c r="H504" s="124"/>
    </row>
    <row r="505" ht="15.75" customHeight="1">
      <c r="B505" s="334"/>
      <c r="E505" s="124"/>
      <c r="F505" s="124"/>
      <c r="G505" s="124"/>
      <c r="H505" s="124"/>
    </row>
    <row r="506" ht="15.75" customHeight="1">
      <c r="B506" s="334"/>
      <c r="E506" s="124"/>
      <c r="F506" s="124"/>
      <c r="G506" s="124"/>
      <c r="H506" s="124"/>
    </row>
    <row r="507" ht="15.75" customHeight="1">
      <c r="B507" s="334"/>
      <c r="E507" s="124"/>
      <c r="F507" s="124"/>
      <c r="G507" s="124"/>
      <c r="H507" s="124"/>
    </row>
    <row r="508" ht="15.75" customHeight="1">
      <c r="B508" s="334"/>
      <c r="E508" s="124"/>
      <c r="F508" s="124"/>
      <c r="G508" s="124"/>
      <c r="H508" s="124"/>
    </row>
    <row r="509" ht="15.75" customHeight="1">
      <c r="B509" s="334"/>
      <c r="E509" s="124"/>
      <c r="F509" s="124"/>
      <c r="G509" s="124"/>
      <c r="H509" s="124"/>
    </row>
    <row r="510" ht="15.75" customHeight="1">
      <c r="B510" s="334"/>
      <c r="E510" s="124"/>
      <c r="F510" s="124"/>
      <c r="G510" s="124"/>
      <c r="H510" s="124"/>
    </row>
    <row r="511" ht="15.75" customHeight="1">
      <c r="B511" s="334"/>
      <c r="E511" s="124"/>
      <c r="F511" s="124"/>
      <c r="G511" s="124"/>
      <c r="H511" s="124"/>
    </row>
    <row r="512" ht="15.75" customHeight="1">
      <c r="B512" s="334"/>
      <c r="E512" s="124"/>
      <c r="F512" s="124"/>
      <c r="G512" s="124"/>
      <c r="H512" s="124"/>
    </row>
    <row r="513" ht="15.75" customHeight="1">
      <c r="B513" s="334"/>
      <c r="E513" s="124"/>
      <c r="F513" s="124"/>
      <c r="G513" s="124"/>
      <c r="H513" s="124"/>
    </row>
    <row r="514" ht="15.75" customHeight="1">
      <c r="B514" s="334"/>
      <c r="E514" s="124"/>
      <c r="F514" s="124"/>
      <c r="G514" s="124"/>
      <c r="H514" s="124"/>
    </row>
    <row r="515" ht="15.75" customHeight="1">
      <c r="B515" s="334"/>
      <c r="E515" s="124"/>
      <c r="F515" s="124"/>
      <c r="G515" s="124"/>
      <c r="H515" s="124"/>
    </row>
    <row r="516" ht="15.75" customHeight="1">
      <c r="B516" s="334"/>
      <c r="E516" s="124"/>
      <c r="F516" s="124"/>
      <c r="G516" s="124"/>
      <c r="H516" s="124"/>
    </row>
    <row r="517" ht="15.75" customHeight="1">
      <c r="B517" s="334"/>
      <c r="E517" s="124"/>
      <c r="F517" s="124"/>
      <c r="G517" s="124"/>
      <c r="H517" s="124"/>
    </row>
    <row r="518" ht="15.75" customHeight="1">
      <c r="B518" s="334"/>
      <c r="E518" s="124"/>
      <c r="F518" s="124"/>
      <c r="G518" s="124"/>
      <c r="H518" s="124"/>
    </row>
    <row r="519" ht="15.75" customHeight="1">
      <c r="B519" s="334"/>
      <c r="E519" s="124"/>
      <c r="F519" s="124"/>
      <c r="G519" s="124"/>
      <c r="H519" s="124"/>
    </row>
    <row r="520" ht="15.75" customHeight="1">
      <c r="B520" s="334"/>
      <c r="E520" s="124"/>
      <c r="F520" s="124"/>
      <c r="G520" s="124"/>
      <c r="H520" s="124"/>
    </row>
    <row r="521" ht="15.75" customHeight="1">
      <c r="B521" s="334"/>
      <c r="E521" s="124"/>
      <c r="F521" s="124"/>
      <c r="G521" s="124"/>
      <c r="H521" s="124"/>
    </row>
    <row r="522" ht="15.75" customHeight="1">
      <c r="B522" s="334"/>
      <c r="E522" s="124"/>
      <c r="F522" s="124"/>
      <c r="G522" s="124"/>
      <c r="H522" s="124"/>
    </row>
    <row r="523" ht="15.75" customHeight="1">
      <c r="B523" s="334"/>
      <c r="E523" s="124"/>
      <c r="F523" s="124"/>
      <c r="G523" s="124"/>
      <c r="H523" s="124"/>
    </row>
    <row r="524" ht="15.75" customHeight="1">
      <c r="B524" s="334"/>
      <c r="E524" s="124"/>
      <c r="F524" s="124"/>
      <c r="G524" s="124"/>
      <c r="H524" s="124"/>
    </row>
    <row r="525" ht="15.75" customHeight="1">
      <c r="B525" s="334"/>
      <c r="E525" s="124"/>
      <c r="F525" s="124"/>
      <c r="G525" s="124"/>
      <c r="H525" s="124"/>
    </row>
    <row r="526" ht="15.75" customHeight="1">
      <c r="B526" s="334"/>
      <c r="E526" s="124"/>
      <c r="F526" s="124"/>
      <c r="G526" s="124"/>
      <c r="H526" s="124"/>
    </row>
    <row r="527" ht="15.75" customHeight="1">
      <c r="B527" s="334"/>
      <c r="E527" s="124"/>
      <c r="F527" s="124"/>
      <c r="G527" s="124"/>
      <c r="H527" s="124"/>
    </row>
    <row r="528" ht="15.75" customHeight="1">
      <c r="B528" s="334"/>
      <c r="E528" s="124"/>
      <c r="F528" s="124"/>
      <c r="G528" s="124"/>
      <c r="H528" s="124"/>
    </row>
    <row r="529" ht="15.75" customHeight="1">
      <c r="B529" s="334"/>
      <c r="E529" s="124"/>
      <c r="F529" s="124"/>
      <c r="G529" s="124"/>
      <c r="H529" s="124"/>
    </row>
    <row r="530" ht="15.75" customHeight="1">
      <c r="B530" s="334"/>
      <c r="E530" s="124"/>
      <c r="F530" s="124"/>
      <c r="G530" s="124"/>
      <c r="H530" s="124"/>
    </row>
    <row r="531" ht="15.75" customHeight="1">
      <c r="B531" s="334"/>
      <c r="E531" s="124"/>
      <c r="F531" s="124"/>
      <c r="G531" s="124"/>
      <c r="H531" s="124"/>
    </row>
    <row r="532" ht="15.75" customHeight="1">
      <c r="B532" s="334"/>
      <c r="E532" s="124"/>
      <c r="F532" s="124"/>
      <c r="G532" s="124"/>
      <c r="H532" s="124"/>
    </row>
    <row r="533" ht="15.75" customHeight="1">
      <c r="B533" s="334"/>
      <c r="E533" s="124"/>
      <c r="F533" s="124"/>
      <c r="G533" s="124"/>
      <c r="H533" s="124"/>
    </row>
    <row r="534" ht="15.75" customHeight="1">
      <c r="B534" s="334"/>
      <c r="E534" s="124"/>
      <c r="F534" s="124"/>
      <c r="G534" s="124"/>
      <c r="H534" s="124"/>
    </row>
    <row r="535" ht="15.75" customHeight="1">
      <c r="B535" s="334"/>
      <c r="E535" s="124"/>
      <c r="F535" s="124"/>
      <c r="G535" s="124"/>
      <c r="H535" s="124"/>
    </row>
    <row r="536" ht="15.75" customHeight="1">
      <c r="B536" s="334"/>
      <c r="E536" s="124"/>
      <c r="F536" s="124"/>
      <c r="G536" s="124"/>
      <c r="H536" s="124"/>
    </row>
    <row r="537" ht="15.75" customHeight="1">
      <c r="B537" s="334"/>
      <c r="E537" s="124"/>
      <c r="F537" s="124"/>
      <c r="G537" s="124"/>
      <c r="H537" s="124"/>
    </row>
    <row r="538" ht="15.75" customHeight="1">
      <c r="B538" s="334"/>
      <c r="E538" s="124"/>
      <c r="F538" s="124"/>
      <c r="G538" s="124"/>
      <c r="H538" s="124"/>
    </row>
    <row r="539" ht="15.75" customHeight="1">
      <c r="B539" s="334"/>
      <c r="E539" s="124"/>
      <c r="F539" s="124"/>
      <c r="G539" s="124"/>
      <c r="H539" s="124"/>
    </row>
    <row r="540" ht="15.75" customHeight="1">
      <c r="B540" s="334"/>
      <c r="E540" s="124"/>
      <c r="F540" s="124"/>
      <c r="G540" s="124"/>
      <c r="H540" s="124"/>
    </row>
    <row r="541" ht="15.75" customHeight="1">
      <c r="B541" s="334"/>
      <c r="E541" s="124"/>
      <c r="F541" s="124"/>
      <c r="G541" s="124"/>
      <c r="H541" s="124"/>
    </row>
    <row r="542" ht="15.75" customHeight="1">
      <c r="B542" s="334"/>
      <c r="E542" s="124"/>
      <c r="F542" s="124"/>
      <c r="G542" s="124"/>
      <c r="H542" s="124"/>
    </row>
    <row r="543" ht="15.75" customHeight="1">
      <c r="B543" s="334"/>
      <c r="E543" s="124"/>
      <c r="F543" s="124"/>
      <c r="G543" s="124"/>
      <c r="H543" s="124"/>
    </row>
    <row r="544" ht="15.75" customHeight="1">
      <c r="B544" s="334"/>
      <c r="E544" s="124"/>
      <c r="F544" s="124"/>
      <c r="G544" s="124"/>
      <c r="H544" s="124"/>
    </row>
    <row r="545" ht="15.75" customHeight="1">
      <c r="B545" s="334"/>
      <c r="E545" s="124"/>
      <c r="F545" s="124"/>
      <c r="G545" s="124"/>
      <c r="H545" s="124"/>
    </row>
    <row r="546" ht="15.75" customHeight="1">
      <c r="B546" s="334"/>
      <c r="E546" s="124"/>
      <c r="F546" s="124"/>
      <c r="G546" s="124"/>
      <c r="H546" s="124"/>
    </row>
    <row r="547" ht="15.75" customHeight="1">
      <c r="B547" s="334"/>
      <c r="E547" s="124"/>
      <c r="F547" s="124"/>
      <c r="G547" s="124"/>
      <c r="H547" s="124"/>
    </row>
    <row r="548" ht="15.75" customHeight="1">
      <c r="B548" s="334"/>
      <c r="E548" s="124"/>
      <c r="F548" s="124"/>
      <c r="G548" s="124"/>
      <c r="H548" s="124"/>
    </row>
    <row r="549" ht="15.75" customHeight="1">
      <c r="B549" s="334"/>
      <c r="E549" s="124"/>
      <c r="F549" s="124"/>
      <c r="G549" s="124"/>
      <c r="H549" s="124"/>
    </row>
    <row r="550" ht="15.75" customHeight="1">
      <c r="B550" s="334"/>
      <c r="E550" s="124"/>
      <c r="F550" s="124"/>
      <c r="G550" s="124"/>
      <c r="H550" s="124"/>
    </row>
    <row r="551" ht="15.75" customHeight="1">
      <c r="B551" s="334"/>
      <c r="E551" s="124"/>
      <c r="F551" s="124"/>
      <c r="G551" s="124"/>
      <c r="H551" s="124"/>
    </row>
    <row r="552" ht="15.75" customHeight="1">
      <c r="B552" s="334"/>
      <c r="E552" s="124"/>
      <c r="F552" s="124"/>
      <c r="G552" s="124"/>
      <c r="H552" s="124"/>
    </row>
    <row r="553" ht="15.75" customHeight="1">
      <c r="B553" s="334"/>
      <c r="E553" s="124"/>
      <c r="F553" s="124"/>
      <c r="G553" s="124"/>
      <c r="H553" s="124"/>
    </row>
    <row r="554" ht="15.75" customHeight="1">
      <c r="B554" s="334"/>
      <c r="E554" s="124"/>
      <c r="F554" s="124"/>
      <c r="G554" s="124"/>
      <c r="H554" s="124"/>
    </row>
    <row r="555" ht="15.75" customHeight="1">
      <c r="B555" s="334"/>
      <c r="E555" s="124"/>
      <c r="F555" s="124"/>
      <c r="G555" s="124"/>
      <c r="H555" s="124"/>
    </row>
    <row r="556" ht="15.75" customHeight="1">
      <c r="B556" s="334"/>
      <c r="E556" s="124"/>
      <c r="F556" s="124"/>
      <c r="G556" s="124"/>
      <c r="H556" s="124"/>
    </row>
    <row r="557" ht="15.75" customHeight="1">
      <c r="B557" s="334"/>
      <c r="E557" s="124"/>
      <c r="F557" s="124"/>
      <c r="G557" s="124"/>
      <c r="H557" s="124"/>
    </row>
    <row r="558" ht="15.75" customHeight="1">
      <c r="B558" s="334"/>
      <c r="E558" s="124"/>
      <c r="F558" s="124"/>
      <c r="G558" s="124"/>
      <c r="H558" s="124"/>
    </row>
    <row r="559" ht="15.75" customHeight="1">
      <c r="B559" s="334"/>
      <c r="E559" s="124"/>
      <c r="F559" s="124"/>
      <c r="G559" s="124"/>
      <c r="H559" s="124"/>
    </row>
    <row r="560" ht="15.75" customHeight="1">
      <c r="B560" s="334"/>
      <c r="E560" s="124"/>
      <c r="F560" s="124"/>
      <c r="G560" s="124"/>
      <c r="H560" s="124"/>
    </row>
    <row r="561" ht="15.75" customHeight="1">
      <c r="B561" s="334"/>
      <c r="E561" s="124"/>
      <c r="F561" s="124"/>
      <c r="G561" s="124"/>
      <c r="H561" s="124"/>
    </row>
    <row r="562" ht="15.75" customHeight="1">
      <c r="B562" s="334"/>
      <c r="E562" s="124"/>
      <c r="F562" s="124"/>
      <c r="G562" s="124"/>
      <c r="H562" s="124"/>
    </row>
    <row r="563" ht="15.75" customHeight="1">
      <c r="B563" s="334"/>
      <c r="E563" s="124"/>
      <c r="F563" s="124"/>
      <c r="G563" s="124"/>
      <c r="H563" s="124"/>
    </row>
    <row r="564" ht="15.75" customHeight="1">
      <c r="B564" s="334"/>
      <c r="E564" s="124"/>
      <c r="F564" s="124"/>
      <c r="G564" s="124"/>
      <c r="H564" s="124"/>
    </row>
    <row r="565" ht="15.75" customHeight="1">
      <c r="B565" s="334"/>
      <c r="E565" s="124"/>
      <c r="F565" s="124"/>
      <c r="G565" s="124"/>
      <c r="H565" s="124"/>
    </row>
    <row r="566" ht="15.75" customHeight="1">
      <c r="B566" s="334"/>
      <c r="E566" s="124"/>
      <c r="F566" s="124"/>
      <c r="G566" s="124"/>
      <c r="H566" s="124"/>
    </row>
    <row r="567" ht="15.75" customHeight="1">
      <c r="B567" s="334"/>
      <c r="E567" s="124"/>
      <c r="F567" s="124"/>
      <c r="G567" s="124"/>
      <c r="H567" s="124"/>
    </row>
    <row r="568" ht="15.75" customHeight="1">
      <c r="B568" s="334"/>
      <c r="E568" s="124"/>
      <c r="F568" s="124"/>
      <c r="G568" s="124"/>
      <c r="H568" s="124"/>
    </row>
    <row r="569" ht="15.75" customHeight="1">
      <c r="B569" s="334"/>
      <c r="E569" s="124"/>
      <c r="F569" s="124"/>
      <c r="G569" s="124"/>
      <c r="H569" s="124"/>
    </row>
    <row r="570" ht="15.75" customHeight="1">
      <c r="B570" s="334"/>
      <c r="E570" s="124"/>
      <c r="F570" s="124"/>
      <c r="G570" s="124"/>
      <c r="H570" s="124"/>
    </row>
    <row r="571" ht="15.75" customHeight="1">
      <c r="B571" s="334"/>
      <c r="E571" s="124"/>
      <c r="F571" s="124"/>
      <c r="G571" s="124"/>
      <c r="H571" s="124"/>
    </row>
    <row r="572" ht="15.75" customHeight="1">
      <c r="B572" s="334"/>
      <c r="E572" s="124"/>
      <c r="F572" s="124"/>
      <c r="G572" s="124"/>
      <c r="H572" s="124"/>
    </row>
    <row r="573" ht="15.75" customHeight="1">
      <c r="B573" s="334"/>
      <c r="E573" s="124"/>
      <c r="F573" s="124"/>
      <c r="G573" s="124"/>
      <c r="H573" s="124"/>
    </row>
    <row r="574" ht="15.75" customHeight="1">
      <c r="B574" s="334"/>
      <c r="E574" s="124"/>
      <c r="F574" s="124"/>
      <c r="G574" s="124"/>
      <c r="H574" s="124"/>
    </row>
    <row r="575" ht="15.75" customHeight="1">
      <c r="B575" s="334"/>
      <c r="E575" s="124"/>
      <c r="F575" s="124"/>
      <c r="G575" s="124"/>
      <c r="H575" s="124"/>
    </row>
    <row r="576" ht="15.75" customHeight="1">
      <c r="B576" s="334"/>
      <c r="E576" s="124"/>
      <c r="F576" s="124"/>
      <c r="G576" s="124"/>
      <c r="H576" s="124"/>
    </row>
    <row r="577" ht="15.75" customHeight="1">
      <c r="B577" s="334"/>
      <c r="E577" s="124"/>
      <c r="F577" s="124"/>
      <c r="G577" s="124"/>
      <c r="H577" s="124"/>
    </row>
    <row r="578" ht="15.75" customHeight="1">
      <c r="B578" s="334"/>
      <c r="E578" s="124"/>
      <c r="F578" s="124"/>
      <c r="G578" s="124"/>
      <c r="H578" s="124"/>
    </row>
    <row r="579" ht="15.75" customHeight="1">
      <c r="B579" s="334"/>
      <c r="E579" s="124"/>
      <c r="F579" s="124"/>
      <c r="G579" s="124"/>
      <c r="H579" s="124"/>
    </row>
    <row r="580" ht="15.75" customHeight="1">
      <c r="B580" s="334"/>
      <c r="E580" s="124"/>
      <c r="F580" s="124"/>
      <c r="G580" s="124"/>
      <c r="H580" s="124"/>
    </row>
    <row r="581" ht="15.75" customHeight="1">
      <c r="B581" s="334"/>
      <c r="E581" s="124"/>
      <c r="F581" s="124"/>
      <c r="G581" s="124"/>
      <c r="H581" s="124"/>
    </row>
    <row r="582" ht="15.75" customHeight="1">
      <c r="B582" s="334"/>
      <c r="E582" s="124"/>
      <c r="F582" s="124"/>
      <c r="G582" s="124"/>
      <c r="H582" s="124"/>
    </row>
    <row r="583" ht="15.75" customHeight="1">
      <c r="B583" s="334"/>
      <c r="E583" s="124"/>
      <c r="F583" s="124"/>
      <c r="G583" s="124"/>
      <c r="H583" s="124"/>
    </row>
    <row r="584" ht="15.75" customHeight="1">
      <c r="B584" s="334"/>
      <c r="E584" s="124"/>
      <c r="F584" s="124"/>
      <c r="G584" s="124"/>
      <c r="H584" s="124"/>
    </row>
    <row r="585" ht="15.75" customHeight="1">
      <c r="B585" s="334"/>
      <c r="E585" s="124"/>
      <c r="F585" s="124"/>
      <c r="G585" s="124"/>
      <c r="H585" s="124"/>
    </row>
    <row r="586" ht="15.75" customHeight="1">
      <c r="B586" s="334"/>
      <c r="E586" s="124"/>
      <c r="F586" s="124"/>
      <c r="G586" s="124"/>
      <c r="H586" s="124"/>
    </row>
    <row r="587" ht="15.75" customHeight="1">
      <c r="B587" s="334"/>
      <c r="E587" s="124"/>
      <c r="F587" s="124"/>
      <c r="G587" s="124"/>
      <c r="H587" s="124"/>
    </row>
    <row r="588" ht="15.75" customHeight="1">
      <c r="B588" s="334"/>
      <c r="E588" s="124"/>
      <c r="F588" s="124"/>
      <c r="G588" s="124"/>
      <c r="H588" s="124"/>
    </row>
    <row r="589" ht="15.75" customHeight="1">
      <c r="B589" s="334"/>
      <c r="E589" s="124"/>
      <c r="F589" s="124"/>
      <c r="G589" s="124"/>
      <c r="H589" s="124"/>
    </row>
    <row r="590" ht="15.75" customHeight="1">
      <c r="B590" s="334"/>
      <c r="E590" s="124"/>
      <c r="F590" s="124"/>
      <c r="G590" s="124"/>
      <c r="H590" s="124"/>
    </row>
    <row r="591" ht="15.75" customHeight="1">
      <c r="B591" s="334"/>
      <c r="E591" s="124"/>
      <c r="F591" s="124"/>
      <c r="G591" s="124"/>
      <c r="H591" s="124"/>
    </row>
    <row r="592" ht="15.75" customHeight="1">
      <c r="B592" s="334"/>
      <c r="E592" s="124"/>
      <c r="F592" s="124"/>
      <c r="G592" s="124"/>
      <c r="H592" s="124"/>
    </row>
    <row r="593" ht="15.75" customHeight="1">
      <c r="B593" s="334"/>
      <c r="E593" s="124"/>
      <c r="F593" s="124"/>
      <c r="G593" s="124"/>
      <c r="H593" s="124"/>
    </row>
    <row r="594" ht="15.75" customHeight="1">
      <c r="B594" s="334"/>
      <c r="E594" s="124"/>
      <c r="F594" s="124"/>
      <c r="G594" s="124"/>
      <c r="H594" s="124"/>
    </row>
    <row r="595" ht="15.75" customHeight="1">
      <c r="B595" s="334"/>
      <c r="E595" s="124"/>
      <c r="F595" s="124"/>
      <c r="G595" s="124"/>
      <c r="H595" s="124"/>
    </row>
    <row r="596" ht="15.75" customHeight="1">
      <c r="B596" s="334"/>
      <c r="E596" s="124"/>
      <c r="F596" s="124"/>
      <c r="G596" s="124"/>
      <c r="H596" s="124"/>
    </row>
    <row r="597" ht="15.75" customHeight="1">
      <c r="B597" s="334"/>
      <c r="E597" s="124"/>
      <c r="F597" s="124"/>
      <c r="G597" s="124"/>
      <c r="H597" s="124"/>
    </row>
    <row r="598" ht="15.75" customHeight="1">
      <c r="B598" s="334"/>
      <c r="E598" s="124"/>
      <c r="F598" s="124"/>
      <c r="G598" s="124"/>
      <c r="H598" s="124"/>
    </row>
    <row r="599" ht="15.75" customHeight="1">
      <c r="B599" s="334"/>
      <c r="E599" s="124"/>
      <c r="F599" s="124"/>
      <c r="G599" s="124"/>
      <c r="H599" s="124"/>
    </row>
    <row r="600" ht="15.75" customHeight="1">
      <c r="B600" s="334"/>
      <c r="E600" s="124"/>
      <c r="F600" s="124"/>
      <c r="G600" s="124"/>
      <c r="H600" s="124"/>
    </row>
    <row r="601" ht="15.75" customHeight="1">
      <c r="B601" s="334"/>
      <c r="E601" s="124"/>
      <c r="F601" s="124"/>
      <c r="G601" s="124"/>
      <c r="H601" s="124"/>
    </row>
    <row r="602" ht="15.75" customHeight="1">
      <c r="B602" s="334"/>
      <c r="E602" s="124"/>
      <c r="F602" s="124"/>
      <c r="G602" s="124"/>
      <c r="H602" s="124"/>
    </row>
    <row r="603" ht="15.75" customHeight="1">
      <c r="B603" s="334"/>
      <c r="E603" s="124"/>
      <c r="F603" s="124"/>
      <c r="G603" s="124"/>
      <c r="H603" s="124"/>
    </row>
    <row r="604" ht="15.75" customHeight="1">
      <c r="B604" s="334"/>
      <c r="E604" s="124"/>
      <c r="F604" s="124"/>
      <c r="G604" s="124"/>
      <c r="H604" s="124"/>
    </row>
    <row r="605" ht="15.75" customHeight="1">
      <c r="B605" s="334"/>
      <c r="E605" s="124"/>
      <c r="F605" s="124"/>
      <c r="G605" s="124"/>
      <c r="H605" s="124"/>
    </row>
    <row r="606" ht="15.75" customHeight="1">
      <c r="B606" s="334"/>
      <c r="E606" s="124"/>
      <c r="F606" s="124"/>
      <c r="G606" s="124"/>
      <c r="H606" s="124"/>
    </row>
    <row r="607" ht="15.75" customHeight="1">
      <c r="B607" s="334"/>
      <c r="E607" s="124"/>
      <c r="F607" s="124"/>
      <c r="G607" s="124"/>
      <c r="H607" s="124"/>
    </row>
    <row r="608" ht="15.75" customHeight="1">
      <c r="B608" s="334"/>
      <c r="E608" s="124"/>
      <c r="F608" s="124"/>
      <c r="G608" s="124"/>
      <c r="H608" s="124"/>
    </row>
    <row r="609" ht="15.75" customHeight="1">
      <c r="B609" s="334"/>
      <c r="E609" s="124"/>
      <c r="F609" s="124"/>
      <c r="G609" s="124"/>
      <c r="H609" s="124"/>
    </row>
    <row r="610" ht="15.75" customHeight="1">
      <c r="B610" s="334"/>
      <c r="E610" s="124"/>
      <c r="F610" s="124"/>
      <c r="G610" s="124"/>
      <c r="H610" s="124"/>
    </row>
    <row r="611" ht="15.75" customHeight="1">
      <c r="B611" s="334"/>
      <c r="E611" s="124"/>
      <c r="F611" s="124"/>
      <c r="G611" s="124"/>
      <c r="H611" s="124"/>
    </row>
    <row r="612" ht="15.75" customHeight="1">
      <c r="B612" s="334"/>
      <c r="E612" s="124"/>
      <c r="F612" s="124"/>
      <c r="G612" s="124"/>
      <c r="H612" s="124"/>
    </row>
    <row r="613" ht="15.75" customHeight="1">
      <c r="B613" s="334"/>
      <c r="E613" s="124"/>
      <c r="F613" s="124"/>
      <c r="G613" s="124"/>
      <c r="H613" s="124"/>
    </row>
    <row r="614" ht="15.75" customHeight="1">
      <c r="B614" s="334"/>
      <c r="E614" s="124"/>
      <c r="F614" s="124"/>
      <c r="G614" s="124"/>
      <c r="H614" s="124"/>
    </row>
    <row r="615" ht="15.75" customHeight="1">
      <c r="B615" s="334"/>
      <c r="E615" s="124"/>
      <c r="F615" s="124"/>
      <c r="G615" s="124"/>
      <c r="H615" s="124"/>
    </row>
    <row r="616" ht="15.75" customHeight="1">
      <c r="B616" s="334"/>
      <c r="E616" s="124"/>
      <c r="F616" s="124"/>
      <c r="G616" s="124"/>
      <c r="H616" s="124"/>
    </row>
    <row r="617" ht="15.75" customHeight="1">
      <c r="B617" s="334"/>
      <c r="E617" s="124"/>
      <c r="F617" s="124"/>
      <c r="G617" s="124"/>
      <c r="H617" s="124"/>
    </row>
    <row r="618" ht="15.75" customHeight="1">
      <c r="B618" s="334"/>
      <c r="E618" s="124"/>
      <c r="F618" s="124"/>
      <c r="G618" s="124"/>
      <c r="H618" s="124"/>
    </row>
    <row r="619" ht="15.75" customHeight="1">
      <c r="B619" s="334"/>
      <c r="E619" s="124"/>
      <c r="F619" s="124"/>
      <c r="G619" s="124"/>
      <c r="H619" s="124"/>
    </row>
    <row r="620" ht="15.75" customHeight="1">
      <c r="B620" s="334"/>
      <c r="E620" s="124"/>
      <c r="F620" s="124"/>
      <c r="G620" s="124"/>
      <c r="H620" s="124"/>
    </row>
    <row r="621" ht="15.75" customHeight="1">
      <c r="B621" s="334"/>
      <c r="E621" s="124"/>
      <c r="F621" s="124"/>
      <c r="G621" s="124"/>
      <c r="H621" s="124"/>
    </row>
    <row r="622" ht="15.75" customHeight="1">
      <c r="B622" s="334"/>
      <c r="E622" s="124"/>
      <c r="F622" s="124"/>
      <c r="G622" s="124"/>
      <c r="H622" s="124"/>
    </row>
    <row r="623" ht="15.75" customHeight="1">
      <c r="B623" s="334"/>
      <c r="E623" s="124"/>
      <c r="F623" s="124"/>
      <c r="G623" s="124"/>
      <c r="H623" s="124"/>
    </row>
    <row r="624" ht="15.75" customHeight="1">
      <c r="B624" s="334"/>
      <c r="E624" s="124"/>
      <c r="F624" s="124"/>
      <c r="G624" s="124"/>
      <c r="H624" s="124"/>
    </row>
    <row r="625" ht="15.75" customHeight="1">
      <c r="B625" s="334"/>
      <c r="E625" s="124"/>
      <c r="F625" s="124"/>
      <c r="G625" s="124"/>
      <c r="H625" s="124"/>
    </row>
    <row r="626" ht="15.75" customHeight="1">
      <c r="B626" s="334"/>
      <c r="E626" s="124"/>
      <c r="F626" s="124"/>
      <c r="G626" s="124"/>
      <c r="H626" s="124"/>
    </row>
    <row r="627" ht="15.75" customHeight="1">
      <c r="B627" s="334"/>
      <c r="E627" s="124"/>
      <c r="F627" s="124"/>
      <c r="G627" s="124"/>
      <c r="H627" s="124"/>
    </row>
    <row r="628" ht="15.75" customHeight="1">
      <c r="B628" s="334"/>
      <c r="E628" s="124"/>
      <c r="F628" s="124"/>
      <c r="G628" s="124"/>
      <c r="H628" s="124"/>
    </row>
    <row r="629" ht="15.75" customHeight="1">
      <c r="B629" s="334"/>
      <c r="E629" s="124"/>
      <c r="F629" s="124"/>
      <c r="G629" s="124"/>
      <c r="H629" s="124"/>
    </row>
    <row r="630" ht="15.75" customHeight="1">
      <c r="B630" s="334"/>
      <c r="E630" s="124"/>
      <c r="F630" s="124"/>
      <c r="G630" s="124"/>
      <c r="H630" s="124"/>
    </row>
    <row r="631" ht="15.75" customHeight="1">
      <c r="B631" s="334"/>
      <c r="E631" s="124"/>
      <c r="F631" s="124"/>
      <c r="G631" s="124"/>
      <c r="H631" s="124"/>
    </row>
    <row r="632" ht="15.75" customHeight="1">
      <c r="B632" s="334"/>
      <c r="E632" s="124"/>
      <c r="F632" s="124"/>
      <c r="G632" s="124"/>
      <c r="H632" s="124"/>
    </row>
    <row r="633" ht="15.75" customHeight="1">
      <c r="B633" s="334"/>
      <c r="E633" s="124"/>
      <c r="F633" s="124"/>
      <c r="G633" s="124"/>
      <c r="H633" s="124"/>
    </row>
    <row r="634" ht="15.75" customHeight="1">
      <c r="B634" s="334"/>
      <c r="E634" s="124"/>
      <c r="F634" s="124"/>
      <c r="G634" s="124"/>
      <c r="H634" s="124"/>
    </row>
    <row r="635" ht="15.75" customHeight="1">
      <c r="B635" s="334"/>
      <c r="E635" s="124"/>
      <c r="F635" s="124"/>
      <c r="G635" s="124"/>
      <c r="H635" s="124"/>
    </row>
    <row r="636" ht="15.75" customHeight="1">
      <c r="B636" s="334"/>
      <c r="E636" s="124"/>
      <c r="F636" s="124"/>
      <c r="G636" s="124"/>
      <c r="H636" s="124"/>
    </row>
    <row r="637" ht="15.75" customHeight="1">
      <c r="B637" s="334"/>
      <c r="E637" s="124"/>
      <c r="F637" s="124"/>
      <c r="G637" s="124"/>
      <c r="H637" s="124"/>
    </row>
    <row r="638" ht="15.75" customHeight="1">
      <c r="B638" s="334"/>
      <c r="E638" s="124"/>
      <c r="F638" s="124"/>
      <c r="G638" s="124"/>
      <c r="H638" s="124"/>
    </row>
    <row r="639" ht="15.75" customHeight="1">
      <c r="B639" s="334"/>
      <c r="E639" s="124"/>
      <c r="F639" s="124"/>
      <c r="G639" s="124"/>
      <c r="H639" s="124"/>
    </row>
    <row r="640" ht="15.75" customHeight="1">
      <c r="B640" s="334"/>
      <c r="E640" s="124"/>
      <c r="F640" s="124"/>
      <c r="G640" s="124"/>
      <c r="H640" s="124"/>
    </row>
    <row r="641" ht="15.75" customHeight="1">
      <c r="B641" s="334"/>
      <c r="E641" s="124"/>
      <c r="F641" s="124"/>
      <c r="G641" s="124"/>
      <c r="H641" s="124"/>
    </row>
    <row r="642" ht="15.75" customHeight="1">
      <c r="B642" s="334"/>
      <c r="E642" s="124"/>
      <c r="F642" s="124"/>
      <c r="G642" s="124"/>
      <c r="H642" s="124"/>
    </row>
    <row r="643" ht="15.75" customHeight="1">
      <c r="B643" s="334"/>
      <c r="E643" s="124"/>
      <c r="F643" s="124"/>
      <c r="G643" s="124"/>
      <c r="H643" s="124"/>
    </row>
    <row r="644" ht="15.75" customHeight="1">
      <c r="B644" s="334"/>
      <c r="E644" s="124"/>
      <c r="F644" s="124"/>
      <c r="G644" s="124"/>
      <c r="H644" s="124"/>
    </row>
    <row r="645" ht="15.75" customHeight="1">
      <c r="B645" s="334"/>
      <c r="E645" s="124"/>
      <c r="F645" s="124"/>
      <c r="G645" s="124"/>
      <c r="H645" s="124"/>
    </row>
    <row r="646" ht="15.75" customHeight="1">
      <c r="B646" s="334"/>
      <c r="E646" s="124"/>
      <c r="F646" s="124"/>
      <c r="G646" s="124"/>
      <c r="H646" s="124"/>
    </row>
    <row r="647" ht="15.75" customHeight="1">
      <c r="B647" s="334"/>
      <c r="E647" s="124"/>
      <c r="F647" s="124"/>
      <c r="G647" s="124"/>
      <c r="H647" s="124"/>
    </row>
    <row r="648" ht="15.75" customHeight="1">
      <c r="B648" s="334"/>
      <c r="E648" s="124"/>
      <c r="F648" s="124"/>
      <c r="G648" s="124"/>
      <c r="H648" s="124"/>
    </row>
    <row r="649" ht="15.75" customHeight="1">
      <c r="B649" s="334"/>
      <c r="E649" s="124"/>
      <c r="F649" s="124"/>
      <c r="G649" s="124"/>
      <c r="H649" s="124"/>
    </row>
    <row r="650" ht="15.75" customHeight="1">
      <c r="B650" s="334"/>
      <c r="E650" s="124"/>
      <c r="F650" s="124"/>
      <c r="G650" s="124"/>
      <c r="H650" s="124"/>
    </row>
    <row r="651" ht="15.75" customHeight="1">
      <c r="B651" s="334"/>
      <c r="E651" s="124"/>
      <c r="F651" s="124"/>
      <c r="G651" s="124"/>
      <c r="H651" s="124"/>
    </row>
    <row r="652" ht="15.75" customHeight="1">
      <c r="B652" s="334"/>
      <c r="E652" s="124"/>
      <c r="F652" s="124"/>
      <c r="G652" s="124"/>
      <c r="H652" s="124"/>
    </row>
    <row r="653" ht="15.75" customHeight="1">
      <c r="B653" s="334"/>
      <c r="E653" s="124"/>
      <c r="F653" s="124"/>
      <c r="G653" s="124"/>
      <c r="H653" s="124"/>
    </row>
    <row r="654" ht="15.75" customHeight="1">
      <c r="B654" s="334"/>
      <c r="E654" s="124"/>
      <c r="F654" s="124"/>
      <c r="G654" s="124"/>
      <c r="H654" s="124"/>
    </row>
    <row r="655" ht="15.75" customHeight="1">
      <c r="B655" s="334"/>
      <c r="E655" s="124"/>
      <c r="F655" s="124"/>
      <c r="G655" s="124"/>
      <c r="H655" s="124"/>
    </row>
    <row r="656" ht="15.75" customHeight="1">
      <c r="B656" s="334"/>
      <c r="E656" s="124"/>
      <c r="F656" s="124"/>
      <c r="G656" s="124"/>
      <c r="H656" s="124"/>
    </row>
    <row r="657" ht="15.75" customHeight="1">
      <c r="B657" s="334"/>
      <c r="E657" s="124"/>
      <c r="F657" s="124"/>
      <c r="G657" s="124"/>
      <c r="H657" s="124"/>
    </row>
    <row r="658" ht="15.75" customHeight="1">
      <c r="B658" s="334"/>
      <c r="E658" s="124"/>
      <c r="F658" s="124"/>
      <c r="G658" s="124"/>
      <c r="H658" s="124"/>
    </row>
    <row r="659" ht="15.75" customHeight="1">
      <c r="B659" s="334"/>
      <c r="E659" s="124"/>
      <c r="F659" s="124"/>
      <c r="G659" s="124"/>
      <c r="H659" s="124"/>
    </row>
    <row r="660" ht="15.75" customHeight="1">
      <c r="B660" s="334"/>
      <c r="E660" s="124"/>
      <c r="F660" s="124"/>
      <c r="G660" s="124"/>
      <c r="H660" s="124"/>
    </row>
    <row r="661" ht="15.75" customHeight="1">
      <c r="B661" s="334"/>
      <c r="E661" s="124"/>
      <c r="F661" s="124"/>
      <c r="G661" s="124"/>
      <c r="H661" s="124"/>
    </row>
    <row r="662" ht="15.75" customHeight="1">
      <c r="B662" s="334"/>
      <c r="E662" s="124"/>
      <c r="F662" s="124"/>
      <c r="G662" s="124"/>
      <c r="H662" s="124"/>
    </row>
    <row r="663" ht="15.75" customHeight="1">
      <c r="B663" s="334"/>
      <c r="E663" s="124"/>
      <c r="F663" s="124"/>
      <c r="G663" s="124"/>
      <c r="H663" s="124"/>
    </row>
    <row r="664" ht="15.75" customHeight="1">
      <c r="B664" s="334"/>
      <c r="E664" s="124"/>
      <c r="F664" s="124"/>
      <c r="G664" s="124"/>
      <c r="H664" s="124"/>
    </row>
    <row r="665" ht="15.75" customHeight="1">
      <c r="B665" s="334"/>
      <c r="E665" s="124"/>
      <c r="F665" s="124"/>
      <c r="G665" s="124"/>
      <c r="H665" s="124"/>
    </row>
    <row r="666" ht="15.75" customHeight="1">
      <c r="B666" s="334"/>
      <c r="E666" s="124"/>
      <c r="F666" s="124"/>
      <c r="G666" s="124"/>
      <c r="H666" s="124"/>
    </row>
    <row r="667" ht="15.75" customHeight="1">
      <c r="B667" s="334"/>
      <c r="E667" s="124"/>
      <c r="F667" s="124"/>
      <c r="G667" s="124"/>
      <c r="H667" s="124"/>
    </row>
    <row r="668" ht="15.75" customHeight="1">
      <c r="B668" s="334"/>
      <c r="E668" s="124"/>
      <c r="F668" s="124"/>
      <c r="G668" s="124"/>
      <c r="H668" s="124"/>
    </row>
    <row r="669" ht="15.75" customHeight="1">
      <c r="B669" s="334"/>
      <c r="E669" s="124"/>
      <c r="F669" s="124"/>
      <c r="G669" s="124"/>
      <c r="H669" s="124"/>
    </row>
    <row r="670" ht="15.75" customHeight="1">
      <c r="B670" s="334"/>
      <c r="E670" s="124"/>
      <c r="F670" s="124"/>
      <c r="G670" s="124"/>
      <c r="H670" s="124"/>
    </row>
    <row r="671" ht="15.75" customHeight="1">
      <c r="B671" s="334"/>
      <c r="E671" s="124"/>
      <c r="F671" s="124"/>
      <c r="G671" s="124"/>
      <c r="H671" s="124"/>
    </row>
    <row r="672" ht="15.75" customHeight="1">
      <c r="B672" s="334"/>
      <c r="E672" s="124"/>
      <c r="F672" s="124"/>
      <c r="G672" s="124"/>
      <c r="H672" s="124"/>
    </row>
    <row r="673" ht="15.75" customHeight="1">
      <c r="B673" s="334"/>
      <c r="E673" s="124"/>
      <c r="F673" s="124"/>
      <c r="G673" s="124"/>
      <c r="H673" s="124"/>
    </row>
    <row r="674" ht="15.75" customHeight="1">
      <c r="B674" s="334"/>
      <c r="E674" s="124"/>
      <c r="F674" s="124"/>
      <c r="G674" s="124"/>
      <c r="H674" s="124"/>
    </row>
    <row r="675" ht="15.75" customHeight="1">
      <c r="B675" s="334"/>
      <c r="E675" s="124"/>
      <c r="F675" s="124"/>
      <c r="G675" s="124"/>
      <c r="H675" s="124"/>
    </row>
    <row r="676" ht="15.75" customHeight="1">
      <c r="B676" s="334"/>
      <c r="E676" s="124"/>
      <c r="F676" s="124"/>
      <c r="G676" s="124"/>
      <c r="H676" s="124"/>
    </row>
    <row r="677" ht="15.75" customHeight="1">
      <c r="B677" s="334"/>
      <c r="E677" s="124"/>
      <c r="F677" s="124"/>
      <c r="G677" s="124"/>
      <c r="H677" s="124"/>
    </row>
    <row r="678" ht="15.75" customHeight="1">
      <c r="B678" s="334"/>
      <c r="E678" s="124"/>
      <c r="F678" s="124"/>
      <c r="G678" s="124"/>
      <c r="H678" s="124"/>
    </row>
    <row r="679" ht="15.75" customHeight="1">
      <c r="B679" s="334"/>
      <c r="E679" s="124"/>
      <c r="F679" s="124"/>
      <c r="G679" s="124"/>
      <c r="H679" s="124"/>
    </row>
    <row r="680" ht="15.75" customHeight="1">
      <c r="B680" s="334"/>
      <c r="E680" s="124"/>
      <c r="F680" s="124"/>
      <c r="G680" s="124"/>
      <c r="H680" s="124"/>
    </row>
    <row r="681" ht="15.75" customHeight="1">
      <c r="B681" s="334"/>
      <c r="E681" s="124"/>
      <c r="F681" s="124"/>
      <c r="G681" s="124"/>
      <c r="H681" s="124"/>
    </row>
    <row r="682" ht="15.75" customHeight="1">
      <c r="B682" s="334"/>
      <c r="E682" s="124"/>
      <c r="F682" s="124"/>
      <c r="G682" s="124"/>
      <c r="H682" s="124"/>
    </row>
    <row r="683" ht="15.75" customHeight="1">
      <c r="B683" s="334"/>
      <c r="E683" s="124"/>
      <c r="F683" s="124"/>
      <c r="G683" s="124"/>
      <c r="H683" s="124"/>
    </row>
    <row r="684" ht="15.75" customHeight="1">
      <c r="B684" s="334"/>
      <c r="E684" s="124"/>
      <c r="F684" s="124"/>
      <c r="G684" s="124"/>
      <c r="H684" s="124"/>
    </row>
    <row r="685" ht="15.75" customHeight="1">
      <c r="B685" s="334"/>
      <c r="E685" s="124"/>
      <c r="F685" s="124"/>
      <c r="G685" s="124"/>
      <c r="H685" s="124"/>
    </row>
    <row r="686" ht="15.75" customHeight="1">
      <c r="B686" s="334"/>
      <c r="E686" s="124"/>
      <c r="F686" s="124"/>
      <c r="G686" s="124"/>
      <c r="H686" s="124"/>
    </row>
    <row r="687" ht="15.75" customHeight="1">
      <c r="B687" s="334"/>
      <c r="E687" s="124"/>
      <c r="F687" s="124"/>
      <c r="G687" s="124"/>
      <c r="H687" s="124"/>
    </row>
    <row r="688" ht="15.75" customHeight="1">
      <c r="B688" s="334"/>
      <c r="E688" s="124"/>
      <c r="F688" s="124"/>
      <c r="G688" s="124"/>
      <c r="H688" s="124"/>
    </row>
    <row r="689" ht="15.75" customHeight="1">
      <c r="B689" s="334"/>
      <c r="E689" s="124"/>
      <c r="F689" s="124"/>
      <c r="G689" s="124"/>
      <c r="H689" s="124"/>
    </row>
    <row r="690" ht="15.75" customHeight="1">
      <c r="B690" s="334"/>
      <c r="E690" s="124"/>
      <c r="F690" s="124"/>
      <c r="G690" s="124"/>
      <c r="H690" s="124"/>
    </row>
    <row r="691" ht="15.75" customHeight="1">
      <c r="B691" s="334"/>
      <c r="E691" s="124"/>
      <c r="F691" s="124"/>
      <c r="G691" s="124"/>
      <c r="H691" s="124"/>
    </row>
    <row r="692" ht="15.75" customHeight="1">
      <c r="B692" s="334"/>
      <c r="E692" s="124"/>
      <c r="F692" s="124"/>
      <c r="G692" s="124"/>
      <c r="H692" s="124"/>
    </row>
    <row r="693" ht="15.75" customHeight="1">
      <c r="B693" s="334"/>
      <c r="E693" s="124"/>
      <c r="F693" s="124"/>
      <c r="G693" s="124"/>
      <c r="H693" s="124"/>
    </row>
    <row r="694" ht="15.75" customHeight="1">
      <c r="B694" s="334"/>
      <c r="E694" s="124"/>
      <c r="F694" s="124"/>
      <c r="G694" s="124"/>
      <c r="H694" s="124"/>
    </row>
    <row r="695" ht="15.75" customHeight="1">
      <c r="B695" s="334"/>
      <c r="E695" s="124"/>
      <c r="F695" s="124"/>
      <c r="G695" s="124"/>
      <c r="H695" s="124"/>
    </row>
    <row r="696" ht="15.75" customHeight="1">
      <c r="B696" s="334"/>
      <c r="E696" s="124"/>
      <c r="F696" s="124"/>
      <c r="G696" s="124"/>
      <c r="H696" s="124"/>
    </row>
    <row r="697" ht="15.75" customHeight="1">
      <c r="B697" s="334"/>
      <c r="E697" s="124"/>
      <c r="F697" s="124"/>
      <c r="G697" s="124"/>
      <c r="H697" s="124"/>
    </row>
    <row r="698" ht="15.75" customHeight="1">
      <c r="B698" s="334"/>
      <c r="E698" s="124"/>
      <c r="F698" s="124"/>
      <c r="G698" s="124"/>
      <c r="H698" s="124"/>
    </row>
    <row r="699" ht="15.75" customHeight="1">
      <c r="B699" s="334"/>
      <c r="E699" s="124"/>
      <c r="F699" s="124"/>
      <c r="G699" s="124"/>
      <c r="H699" s="124"/>
    </row>
    <row r="700" ht="15.75" customHeight="1">
      <c r="B700" s="334"/>
      <c r="E700" s="124"/>
      <c r="F700" s="124"/>
      <c r="G700" s="124"/>
      <c r="H700" s="124"/>
    </row>
    <row r="701" ht="15.75" customHeight="1">
      <c r="B701" s="334"/>
      <c r="E701" s="124"/>
      <c r="F701" s="124"/>
      <c r="G701" s="124"/>
      <c r="H701" s="124"/>
    </row>
    <row r="702" ht="15.75" customHeight="1">
      <c r="B702" s="334"/>
      <c r="E702" s="124"/>
      <c r="F702" s="124"/>
      <c r="G702" s="124"/>
      <c r="H702" s="124"/>
    </row>
    <row r="703" ht="15.75" customHeight="1">
      <c r="B703" s="334"/>
      <c r="E703" s="124"/>
      <c r="F703" s="124"/>
      <c r="G703" s="124"/>
      <c r="H703" s="124"/>
    </row>
    <row r="704" ht="15.75" customHeight="1">
      <c r="B704" s="334"/>
      <c r="E704" s="124"/>
      <c r="F704" s="124"/>
      <c r="G704" s="124"/>
      <c r="H704" s="124"/>
    </row>
    <row r="705" ht="15.75" customHeight="1">
      <c r="B705" s="334"/>
      <c r="E705" s="124"/>
      <c r="F705" s="124"/>
      <c r="G705" s="124"/>
      <c r="H705" s="124"/>
    </row>
    <row r="706" ht="15.75" customHeight="1">
      <c r="B706" s="334"/>
      <c r="E706" s="124"/>
      <c r="F706" s="124"/>
      <c r="G706" s="124"/>
      <c r="H706" s="124"/>
    </row>
    <row r="707" ht="15.75" customHeight="1">
      <c r="B707" s="334"/>
      <c r="E707" s="124"/>
      <c r="F707" s="124"/>
      <c r="G707" s="124"/>
      <c r="H707" s="124"/>
    </row>
    <row r="708" ht="15.75" customHeight="1">
      <c r="B708" s="334"/>
      <c r="E708" s="124"/>
      <c r="F708" s="124"/>
      <c r="G708" s="124"/>
      <c r="H708" s="124"/>
    </row>
    <row r="709" ht="15.75" customHeight="1">
      <c r="B709" s="334"/>
      <c r="E709" s="124"/>
      <c r="F709" s="124"/>
      <c r="G709" s="124"/>
      <c r="H709" s="124"/>
    </row>
    <row r="710" ht="15.75" customHeight="1">
      <c r="B710" s="334"/>
      <c r="E710" s="124"/>
      <c r="F710" s="124"/>
      <c r="G710" s="124"/>
      <c r="H710" s="124"/>
    </row>
    <row r="711" ht="15.75" customHeight="1">
      <c r="B711" s="334"/>
      <c r="E711" s="124"/>
      <c r="F711" s="124"/>
      <c r="G711" s="124"/>
      <c r="H711" s="124"/>
    </row>
    <row r="712" ht="15.75" customHeight="1">
      <c r="B712" s="334"/>
      <c r="E712" s="124"/>
      <c r="F712" s="124"/>
      <c r="G712" s="124"/>
      <c r="H712" s="124"/>
    </row>
    <row r="713" ht="15.75" customHeight="1">
      <c r="B713" s="334"/>
      <c r="E713" s="124"/>
      <c r="F713" s="124"/>
      <c r="G713" s="124"/>
      <c r="H713" s="124"/>
    </row>
    <row r="714" ht="15.75" customHeight="1">
      <c r="B714" s="334"/>
      <c r="E714" s="124"/>
      <c r="F714" s="124"/>
      <c r="G714" s="124"/>
      <c r="H714" s="124"/>
    </row>
    <row r="715" ht="15.75" customHeight="1">
      <c r="B715" s="334"/>
      <c r="E715" s="124"/>
      <c r="F715" s="124"/>
      <c r="G715" s="124"/>
      <c r="H715" s="124"/>
    </row>
    <row r="716" ht="15.75" customHeight="1">
      <c r="B716" s="334"/>
      <c r="E716" s="124"/>
      <c r="F716" s="124"/>
      <c r="G716" s="124"/>
      <c r="H716" s="124"/>
    </row>
    <row r="717" ht="15.75" customHeight="1">
      <c r="B717" s="334"/>
      <c r="E717" s="124"/>
      <c r="F717" s="124"/>
      <c r="G717" s="124"/>
      <c r="H717" s="124"/>
    </row>
    <row r="718" ht="15.75" customHeight="1">
      <c r="B718" s="334"/>
      <c r="E718" s="124"/>
      <c r="F718" s="124"/>
      <c r="G718" s="124"/>
      <c r="H718" s="124"/>
    </row>
    <row r="719" ht="15.75" customHeight="1">
      <c r="B719" s="334"/>
      <c r="E719" s="124"/>
      <c r="F719" s="124"/>
      <c r="G719" s="124"/>
      <c r="H719" s="124"/>
    </row>
    <row r="720" ht="15.75" customHeight="1">
      <c r="B720" s="334"/>
      <c r="E720" s="124"/>
      <c r="F720" s="124"/>
      <c r="G720" s="124"/>
      <c r="H720" s="124"/>
    </row>
    <row r="721" ht="15.75" customHeight="1">
      <c r="B721" s="334"/>
      <c r="E721" s="124"/>
      <c r="F721" s="124"/>
      <c r="G721" s="124"/>
      <c r="H721" s="124"/>
    </row>
    <row r="722" ht="15.75" customHeight="1">
      <c r="B722" s="334"/>
      <c r="E722" s="124"/>
      <c r="F722" s="124"/>
      <c r="G722" s="124"/>
      <c r="H722" s="124"/>
    </row>
    <row r="723" ht="15.75" customHeight="1">
      <c r="B723" s="334"/>
      <c r="E723" s="124"/>
      <c r="F723" s="124"/>
      <c r="G723" s="124"/>
      <c r="H723" s="124"/>
    </row>
    <row r="724" ht="15.75" customHeight="1">
      <c r="B724" s="334"/>
      <c r="E724" s="124"/>
      <c r="F724" s="124"/>
      <c r="G724" s="124"/>
      <c r="H724" s="124"/>
    </row>
    <row r="725" ht="15.75" customHeight="1">
      <c r="B725" s="334"/>
      <c r="E725" s="124"/>
      <c r="F725" s="124"/>
      <c r="G725" s="124"/>
      <c r="H725" s="124"/>
    </row>
    <row r="726" ht="15.75" customHeight="1">
      <c r="B726" s="334"/>
      <c r="E726" s="124"/>
      <c r="F726" s="124"/>
      <c r="G726" s="124"/>
      <c r="H726" s="124"/>
    </row>
    <row r="727" ht="15.75" customHeight="1">
      <c r="B727" s="334"/>
      <c r="E727" s="124"/>
      <c r="F727" s="124"/>
      <c r="G727" s="124"/>
      <c r="H727" s="124"/>
    </row>
    <row r="728" ht="15.75" customHeight="1">
      <c r="B728" s="334"/>
      <c r="E728" s="124"/>
      <c r="F728" s="124"/>
      <c r="G728" s="124"/>
      <c r="H728" s="124"/>
    </row>
    <row r="729" ht="15.75" customHeight="1">
      <c r="B729" s="334"/>
      <c r="E729" s="124"/>
      <c r="F729" s="124"/>
      <c r="G729" s="124"/>
      <c r="H729" s="124"/>
    </row>
    <row r="730" ht="15.75" customHeight="1">
      <c r="B730" s="334"/>
      <c r="E730" s="124"/>
      <c r="F730" s="124"/>
      <c r="G730" s="124"/>
      <c r="H730" s="124"/>
    </row>
    <row r="731" ht="15.75" customHeight="1">
      <c r="B731" s="334"/>
      <c r="E731" s="124"/>
      <c r="F731" s="124"/>
      <c r="G731" s="124"/>
      <c r="H731" s="124"/>
    </row>
    <row r="732" ht="15.75" customHeight="1">
      <c r="B732" s="334"/>
      <c r="E732" s="124"/>
      <c r="F732" s="124"/>
      <c r="G732" s="124"/>
      <c r="H732" s="124"/>
    </row>
    <row r="733" ht="15.75" customHeight="1">
      <c r="B733" s="334"/>
      <c r="E733" s="124"/>
      <c r="F733" s="124"/>
      <c r="G733" s="124"/>
      <c r="H733" s="124"/>
    </row>
    <row r="734" ht="15.75" customHeight="1">
      <c r="B734" s="334"/>
      <c r="E734" s="124"/>
      <c r="F734" s="124"/>
      <c r="G734" s="124"/>
      <c r="H734" s="124"/>
    </row>
    <row r="735" ht="15.75" customHeight="1">
      <c r="B735" s="334"/>
      <c r="E735" s="124"/>
      <c r="F735" s="124"/>
      <c r="G735" s="124"/>
      <c r="H735" s="124"/>
    </row>
    <row r="736" ht="15.75" customHeight="1">
      <c r="B736" s="334"/>
      <c r="E736" s="124"/>
      <c r="F736" s="124"/>
      <c r="G736" s="124"/>
      <c r="H736" s="124"/>
    </row>
    <row r="737" ht="15.75" customHeight="1">
      <c r="B737" s="334"/>
      <c r="E737" s="124"/>
      <c r="F737" s="124"/>
      <c r="G737" s="124"/>
      <c r="H737" s="124"/>
    </row>
    <row r="738" ht="15.75" customHeight="1">
      <c r="B738" s="334"/>
      <c r="E738" s="124"/>
      <c r="F738" s="124"/>
      <c r="G738" s="124"/>
      <c r="H738" s="124"/>
    </row>
    <row r="739" ht="15.75" customHeight="1">
      <c r="B739" s="334"/>
      <c r="E739" s="124"/>
      <c r="F739" s="124"/>
      <c r="G739" s="124"/>
      <c r="H739" s="124"/>
    </row>
    <row r="740" ht="15.75" customHeight="1">
      <c r="B740" s="334"/>
      <c r="E740" s="124"/>
      <c r="F740" s="124"/>
      <c r="G740" s="124"/>
      <c r="H740" s="124"/>
    </row>
    <row r="741" ht="15.75" customHeight="1">
      <c r="B741" s="334"/>
      <c r="E741" s="124"/>
      <c r="F741" s="124"/>
      <c r="G741" s="124"/>
      <c r="H741" s="124"/>
    </row>
    <row r="742" ht="15.75" customHeight="1">
      <c r="B742" s="334"/>
      <c r="E742" s="124"/>
      <c r="F742" s="124"/>
      <c r="G742" s="124"/>
      <c r="H742" s="124"/>
    </row>
    <row r="743" ht="15.75" customHeight="1">
      <c r="B743" s="334"/>
      <c r="E743" s="124"/>
      <c r="F743" s="124"/>
      <c r="G743" s="124"/>
      <c r="H743" s="124"/>
    </row>
    <row r="744" ht="15.75" customHeight="1">
      <c r="B744" s="334"/>
      <c r="E744" s="124"/>
      <c r="F744" s="124"/>
      <c r="G744" s="124"/>
      <c r="H744" s="124"/>
    </row>
    <row r="745" ht="15.75" customHeight="1">
      <c r="B745" s="334"/>
      <c r="E745" s="124"/>
      <c r="F745" s="124"/>
      <c r="G745" s="124"/>
      <c r="H745" s="124"/>
    </row>
    <row r="746" ht="15.75" customHeight="1">
      <c r="B746" s="334"/>
      <c r="E746" s="124"/>
      <c r="F746" s="124"/>
      <c r="G746" s="124"/>
      <c r="H746" s="124"/>
    </row>
    <row r="747" ht="15.75" customHeight="1">
      <c r="B747" s="334"/>
      <c r="E747" s="124"/>
      <c r="F747" s="124"/>
      <c r="G747" s="124"/>
      <c r="H747" s="124"/>
    </row>
    <row r="748" ht="15.75" customHeight="1">
      <c r="B748" s="334"/>
      <c r="E748" s="124"/>
      <c r="F748" s="124"/>
      <c r="G748" s="124"/>
      <c r="H748" s="124"/>
    </row>
    <row r="749" ht="15.75" customHeight="1">
      <c r="B749" s="334"/>
      <c r="E749" s="124"/>
      <c r="F749" s="124"/>
      <c r="G749" s="124"/>
      <c r="H749" s="124"/>
    </row>
    <row r="750" ht="15.75" customHeight="1">
      <c r="B750" s="334"/>
      <c r="E750" s="124"/>
      <c r="F750" s="124"/>
      <c r="G750" s="124"/>
      <c r="H750" s="124"/>
    </row>
    <row r="751" ht="15.75" customHeight="1">
      <c r="B751" s="334"/>
      <c r="E751" s="124"/>
      <c r="F751" s="124"/>
      <c r="G751" s="124"/>
      <c r="H751" s="124"/>
    </row>
    <row r="752" ht="15.75" customHeight="1">
      <c r="B752" s="334"/>
      <c r="E752" s="124"/>
      <c r="F752" s="124"/>
      <c r="G752" s="124"/>
      <c r="H752" s="124"/>
    </row>
    <row r="753" ht="15.75" customHeight="1">
      <c r="B753" s="334"/>
      <c r="E753" s="124"/>
      <c r="F753" s="124"/>
      <c r="G753" s="124"/>
      <c r="H753" s="124"/>
    </row>
    <row r="754" ht="15.75" customHeight="1">
      <c r="B754" s="334"/>
      <c r="E754" s="124"/>
      <c r="F754" s="124"/>
      <c r="G754" s="124"/>
      <c r="H754" s="124"/>
    </row>
    <row r="755" ht="15.75" customHeight="1">
      <c r="B755" s="334"/>
      <c r="E755" s="124"/>
      <c r="F755" s="124"/>
      <c r="G755" s="124"/>
      <c r="H755" s="124"/>
    </row>
    <row r="756" ht="15.75" customHeight="1">
      <c r="B756" s="334"/>
      <c r="E756" s="124"/>
      <c r="F756" s="124"/>
      <c r="G756" s="124"/>
      <c r="H756" s="124"/>
    </row>
    <row r="757" ht="15.75" customHeight="1">
      <c r="B757" s="334"/>
      <c r="E757" s="124"/>
      <c r="F757" s="124"/>
      <c r="G757" s="124"/>
      <c r="H757" s="124"/>
    </row>
    <row r="758" ht="15.75" customHeight="1">
      <c r="B758" s="334"/>
      <c r="E758" s="124"/>
      <c r="F758" s="124"/>
      <c r="G758" s="124"/>
      <c r="H758" s="124"/>
    </row>
    <row r="759" ht="15.75" customHeight="1">
      <c r="B759" s="334"/>
      <c r="E759" s="124"/>
      <c r="F759" s="124"/>
      <c r="G759" s="124"/>
      <c r="H759" s="124"/>
    </row>
    <row r="760" ht="15.75" customHeight="1">
      <c r="B760" s="334"/>
      <c r="E760" s="124"/>
      <c r="F760" s="124"/>
      <c r="G760" s="124"/>
      <c r="H760" s="124"/>
    </row>
    <row r="761" ht="15.75" customHeight="1">
      <c r="B761" s="334"/>
      <c r="E761" s="124"/>
      <c r="F761" s="124"/>
      <c r="G761" s="124"/>
      <c r="H761" s="124"/>
    </row>
    <row r="762" ht="15.75" customHeight="1">
      <c r="B762" s="334"/>
      <c r="E762" s="124"/>
      <c r="F762" s="124"/>
      <c r="G762" s="124"/>
      <c r="H762" s="124"/>
    </row>
    <row r="763" ht="15.75" customHeight="1">
      <c r="B763" s="334"/>
      <c r="E763" s="124"/>
      <c r="F763" s="124"/>
      <c r="G763" s="124"/>
      <c r="H763" s="124"/>
    </row>
    <row r="764" ht="15.75" customHeight="1">
      <c r="B764" s="334"/>
      <c r="E764" s="124"/>
      <c r="F764" s="124"/>
      <c r="G764" s="124"/>
      <c r="H764" s="124"/>
    </row>
    <row r="765" ht="15.75" customHeight="1">
      <c r="B765" s="334"/>
      <c r="E765" s="124"/>
      <c r="F765" s="124"/>
      <c r="G765" s="124"/>
      <c r="H765" s="124"/>
    </row>
    <row r="766" ht="15.75" customHeight="1">
      <c r="B766" s="334"/>
      <c r="E766" s="124"/>
      <c r="F766" s="124"/>
      <c r="G766" s="124"/>
      <c r="H766" s="124"/>
    </row>
    <row r="767" ht="15.75" customHeight="1">
      <c r="B767" s="334"/>
      <c r="E767" s="124"/>
      <c r="F767" s="124"/>
      <c r="G767" s="124"/>
      <c r="H767" s="124"/>
    </row>
    <row r="768" ht="15.75" customHeight="1">
      <c r="B768" s="334"/>
      <c r="E768" s="124"/>
      <c r="F768" s="124"/>
      <c r="G768" s="124"/>
      <c r="H768" s="124"/>
    </row>
    <row r="769" ht="15.75" customHeight="1">
      <c r="B769" s="334"/>
      <c r="E769" s="124"/>
      <c r="F769" s="124"/>
      <c r="G769" s="124"/>
      <c r="H769" s="124"/>
    </row>
    <row r="770" ht="15.75" customHeight="1">
      <c r="B770" s="334"/>
      <c r="E770" s="124"/>
      <c r="F770" s="124"/>
      <c r="G770" s="124"/>
      <c r="H770" s="124"/>
    </row>
    <row r="771" ht="15.75" customHeight="1">
      <c r="B771" s="334"/>
      <c r="E771" s="124"/>
      <c r="F771" s="124"/>
      <c r="G771" s="124"/>
      <c r="H771" s="124"/>
    </row>
    <row r="772" ht="15.75" customHeight="1">
      <c r="B772" s="334"/>
      <c r="E772" s="124"/>
      <c r="F772" s="124"/>
      <c r="G772" s="124"/>
      <c r="H772" s="124"/>
    </row>
    <row r="773" ht="15.75" customHeight="1">
      <c r="B773" s="334"/>
      <c r="E773" s="124"/>
      <c r="F773" s="124"/>
      <c r="G773" s="124"/>
      <c r="H773" s="124"/>
    </row>
    <row r="774" ht="15.75" customHeight="1">
      <c r="B774" s="334"/>
      <c r="E774" s="124"/>
      <c r="F774" s="124"/>
      <c r="G774" s="124"/>
      <c r="H774" s="124"/>
    </row>
    <row r="775" ht="15.75" customHeight="1">
      <c r="B775" s="334"/>
      <c r="E775" s="124"/>
      <c r="F775" s="124"/>
      <c r="G775" s="124"/>
      <c r="H775" s="124"/>
    </row>
    <row r="776" ht="15.75" customHeight="1">
      <c r="B776" s="334"/>
      <c r="E776" s="124"/>
      <c r="F776" s="124"/>
      <c r="G776" s="124"/>
      <c r="H776" s="124"/>
    </row>
    <row r="777" ht="15.75" customHeight="1">
      <c r="B777" s="334"/>
      <c r="E777" s="124"/>
      <c r="F777" s="124"/>
      <c r="G777" s="124"/>
      <c r="H777" s="124"/>
    </row>
    <row r="778" ht="15.75" customHeight="1">
      <c r="B778" s="334"/>
      <c r="E778" s="124"/>
      <c r="F778" s="124"/>
      <c r="G778" s="124"/>
      <c r="H778" s="124"/>
    </row>
    <row r="779" ht="15.75" customHeight="1">
      <c r="B779" s="334"/>
      <c r="E779" s="124"/>
      <c r="F779" s="124"/>
      <c r="G779" s="124"/>
      <c r="H779" s="124"/>
    </row>
    <row r="780" ht="15.75" customHeight="1">
      <c r="B780" s="334"/>
      <c r="E780" s="124"/>
      <c r="F780" s="124"/>
      <c r="G780" s="124"/>
      <c r="H780" s="124"/>
    </row>
    <row r="781" ht="15.75" customHeight="1">
      <c r="B781" s="334"/>
      <c r="E781" s="124"/>
      <c r="F781" s="124"/>
      <c r="G781" s="124"/>
      <c r="H781" s="124"/>
    </row>
    <row r="782" ht="15.75" customHeight="1">
      <c r="B782" s="334"/>
      <c r="E782" s="124"/>
      <c r="F782" s="124"/>
      <c r="G782" s="124"/>
      <c r="H782" s="124"/>
    </row>
    <row r="783" ht="15.75" customHeight="1">
      <c r="B783" s="334"/>
      <c r="E783" s="124"/>
      <c r="F783" s="124"/>
      <c r="G783" s="124"/>
      <c r="H783" s="124"/>
    </row>
    <row r="784" ht="15.75" customHeight="1">
      <c r="B784" s="334"/>
      <c r="E784" s="124"/>
      <c r="F784" s="124"/>
      <c r="G784" s="124"/>
      <c r="H784" s="124"/>
    </row>
    <row r="785" ht="15.75" customHeight="1">
      <c r="B785" s="334"/>
      <c r="E785" s="124"/>
      <c r="F785" s="124"/>
      <c r="G785" s="124"/>
      <c r="H785" s="124"/>
    </row>
    <row r="786" ht="15.75" customHeight="1">
      <c r="B786" s="334"/>
      <c r="E786" s="124"/>
      <c r="F786" s="124"/>
      <c r="G786" s="124"/>
      <c r="H786" s="124"/>
    </row>
    <row r="787" ht="15.75" customHeight="1">
      <c r="B787" s="334"/>
      <c r="E787" s="124"/>
      <c r="F787" s="124"/>
      <c r="G787" s="124"/>
      <c r="H787" s="124"/>
    </row>
    <row r="788" ht="15.75" customHeight="1">
      <c r="B788" s="334"/>
      <c r="E788" s="124"/>
      <c r="F788" s="124"/>
      <c r="G788" s="124"/>
      <c r="H788" s="124"/>
    </row>
    <row r="789" ht="15.75" customHeight="1">
      <c r="B789" s="334"/>
      <c r="E789" s="124"/>
      <c r="F789" s="124"/>
      <c r="G789" s="124"/>
      <c r="H789" s="124"/>
    </row>
    <row r="790" ht="15.75" customHeight="1">
      <c r="B790" s="334"/>
      <c r="E790" s="124"/>
      <c r="F790" s="124"/>
      <c r="G790" s="124"/>
      <c r="H790" s="124"/>
    </row>
    <row r="791" ht="15.75" customHeight="1">
      <c r="B791" s="334"/>
      <c r="E791" s="124"/>
      <c r="F791" s="124"/>
      <c r="G791" s="124"/>
      <c r="H791" s="124"/>
    </row>
    <row r="792" ht="15.75" customHeight="1">
      <c r="B792" s="334"/>
      <c r="E792" s="124"/>
      <c r="F792" s="124"/>
      <c r="G792" s="124"/>
      <c r="H792" s="124"/>
    </row>
    <row r="793" ht="15.75" customHeight="1">
      <c r="B793" s="334"/>
      <c r="E793" s="124"/>
      <c r="F793" s="124"/>
      <c r="G793" s="124"/>
      <c r="H793" s="124"/>
    </row>
    <row r="794" ht="15.75" customHeight="1">
      <c r="B794" s="334"/>
      <c r="E794" s="124"/>
      <c r="F794" s="124"/>
      <c r="G794" s="124"/>
      <c r="H794" s="124"/>
    </row>
    <row r="795" ht="15.75" customHeight="1">
      <c r="B795" s="334"/>
      <c r="E795" s="124"/>
      <c r="F795" s="124"/>
      <c r="G795" s="124"/>
      <c r="H795" s="124"/>
    </row>
    <row r="796" ht="15.75" customHeight="1">
      <c r="B796" s="334"/>
      <c r="E796" s="124"/>
      <c r="F796" s="124"/>
      <c r="G796" s="124"/>
      <c r="H796" s="124"/>
    </row>
    <row r="797" ht="15.75" customHeight="1">
      <c r="B797" s="334"/>
      <c r="E797" s="124"/>
      <c r="F797" s="124"/>
      <c r="G797" s="124"/>
      <c r="H797" s="124"/>
    </row>
    <row r="798" ht="15.75" customHeight="1">
      <c r="B798" s="334"/>
      <c r="E798" s="124"/>
      <c r="F798" s="124"/>
      <c r="G798" s="124"/>
      <c r="H798" s="124"/>
    </row>
    <row r="799" ht="15.75" customHeight="1">
      <c r="B799" s="334"/>
      <c r="E799" s="124"/>
      <c r="F799" s="124"/>
      <c r="G799" s="124"/>
      <c r="H799" s="124"/>
    </row>
    <row r="800" ht="15.75" customHeight="1">
      <c r="B800" s="334"/>
      <c r="E800" s="124"/>
      <c r="F800" s="124"/>
      <c r="G800" s="124"/>
      <c r="H800" s="124"/>
    </row>
    <row r="801" ht="15.75" customHeight="1">
      <c r="B801" s="334"/>
      <c r="E801" s="124"/>
      <c r="F801" s="124"/>
      <c r="G801" s="124"/>
      <c r="H801" s="124"/>
    </row>
    <row r="802" ht="15.75" customHeight="1">
      <c r="B802" s="334"/>
      <c r="E802" s="124"/>
      <c r="F802" s="124"/>
      <c r="G802" s="124"/>
      <c r="H802" s="124"/>
    </row>
    <row r="803" ht="15.75" customHeight="1">
      <c r="B803" s="334"/>
      <c r="E803" s="124"/>
      <c r="F803" s="124"/>
      <c r="G803" s="124"/>
      <c r="H803" s="124"/>
    </row>
    <row r="804" ht="15.75" customHeight="1">
      <c r="B804" s="334"/>
      <c r="E804" s="124"/>
      <c r="F804" s="124"/>
      <c r="G804" s="124"/>
      <c r="H804" s="124"/>
    </row>
    <row r="805" ht="15.75" customHeight="1">
      <c r="B805" s="334"/>
      <c r="E805" s="124"/>
      <c r="F805" s="124"/>
      <c r="G805" s="124"/>
      <c r="H805" s="124"/>
    </row>
    <row r="806" ht="15.75" customHeight="1">
      <c r="B806" s="334"/>
      <c r="E806" s="124"/>
      <c r="F806" s="124"/>
      <c r="G806" s="124"/>
      <c r="H806" s="124"/>
    </row>
    <row r="807" ht="15.75" customHeight="1">
      <c r="B807" s="334"/>
      <c r="E807" s="124"/>
      <c r="F807" s="124"/>
      <c r="G807" s="124"/>
      <c r="H807" s="124"/>
    </row>
    <row r="808" ht="15.75" customHeight="1">
      <c r="B808" s="334"/>
      <c r="E808" s="124"/>
      <c r="F808" s="124"/>
      <c r="G808" s="124"/>
      <c r="H808" s="124"/>
    </row>
    <row r="809" ht="15.75" customHeight="1">
      <c r="B809" s="334"/>
      <c r="E809" s="124"/>
      <c r="F809" s="124"/>
      <c r="G809" s="124"/>
      <c r="H809" s="124"/>
    </row>
    <row r="810" ht="15.75" customHeight="1">
      <c r="B810" s="334"/>
      <c r="E810" s="124"/>
      <c r="F810" s="124"/>
      <c r="G810" s="124"/>
      <c r="H810" s="124"/>
    </row>
    <row r="811" ht="15.75" customHeight="1">
      <c r="B811" s="334"/>
      <c r="E811" s="124"/>
      <c r="F811" s="124"/>
      <c r="G811" s="124"/>
      <c r="H811" s="124"/>
    </row>
    <row r="812" ht="15.75" customHeight="1">
      <c r="B812" s="334"/>
      <c r="E812" s="124"/>
      <c r="F812" s="124"/>
      <c r="G812" s="124"/>
      <c r="H812" s="124"/>
    </row>
    <row r="813" ht="15.75" customHeight="1">
      <c r="B813" s="334"/>
      <c r="E813" s="124"/>
      <c r="F813" s="124"/>
      <c r="G813" s="124"/>
      <c r="H813" s="124"/>
    </row>
    <row r="814" ht="15.75" customHeight="1">
      <c r="B814" s="334"/>
      <c r="E814" s="124"/>
      <c r="F814" s="124"/>
      <c r="G814" s="124"/>
      <c r="H814" s="124"/>
    </row>
    <row r="815" ht="15.75" customHeight="1">
      <c r="B815" s="334"/>
      <c r="E815" s="124"/>
      <c r="F815" s="124"/>
      <c r="G815" s="124"/>
      <c r="H815" s="124"/>
    </row>
    <row r="816" ht="15.75" customHeight="1">
      <c r="B816" s="334"/>
      <c r="E816" s="124"/>
      <c r="F816" s="124"/>
      <c r="G816" s="124"/>
      <c r="H816" s="124"/>
    </row>
    <row r="817" ht="15.75" customHeight="1">
      <c r="B817" s="334"/>
      <c r="E817" s="124"/>
      <c r="F817" s="124"/>
      <c r="G817" s="124"/>
      <c r="H817" s="124"/>
    </row>
    <row r="818" ht="15.75" customHeight="1">
      <c r="B818" s="334"/>
      <c r="E818" s="124"/>
      <c r="F818" s="124"/>
      <c r="G818" s="124"/>
      <c r="H818" s="124"/>
    </row>
    <row r="819" ht="15.75" customHeight="1">
      <c r="B819" s="334"/>
      <c r="E819" s="124"/>
      <c r="F819" s="124"/>
      <c r="G819" s="124"/>
      <c r="H819" s="124"/>
    </row>
    <row r="820" ht="15.75" customHeight="1">
      <c r="B820" s="334"/>
      <c r="E820" s="124"/>
      <c r="F820" s="124"/>
      <c r="G820" s="124"/>
      <c r="H820" s="124"/>
    </row>
    <row r="821" ht="15.75" customHeight="1">
      <c r="B821" s="334"/>
      <c r="E821" s="124"/>
      <c r="F821" s="124"/>
      <c r="G821" s="124"/>
      <c r="H821" s="124"/>
    </row>
    <row r="822" ht="15.75" customHeight="1">
      <c r="B822" s="334"/>
      <c r="E822" s="124"/>
      <c r="F822" s="124"/>
      <c r="G822" s="124"/>
      <c r="H822" s="124"/>
    </row>
    <row r="823" ht="15.75" customHeight="1">
      <c r="B823" s="334"/>
      <c r="E823" s="124"/>
      <c r="F823" s="124"/>
      <c r="G823" s="124"/>
      <c r="H823" s="124"/>
    </row>
    <row r="824" ht="15.75" customHeight="1">
      <c r="B824" s="334"/>
      <c r="E824" s="124"/>
      <c r="F824" s="124"/>
      <c r="G824" s="124"/>
      <c r="H824" s="124"/>
    </row>
    <row r="825" ht="15.75" customHeight="1">
      <c r="B825" s="334"/>
      <c r="E825" s="124"/>
      <c r="F825" s="124"/>
      <c r="G825" s="124"/>
      <c r="H825" s="124"/>
    </row>
    <row r="826" ht="15.75" customHeight="1">
      <c r="B826" s="334"/>
      <c r="E826" s="124"/>
      <c r="F826" s="124"/>
      <c r="G826" s="124"/>
      <c r="H826" s="124"/>
    </row>
    <row r="827" ht="15.75" customHeight="1">
      <c r="B827" s="334"/>
      <c r="E827" s="124"/>
      <c r="F827" s="124"/>
      <c r="G827" s="124"/>
      <c r="H827" s="124"/>
    </row>
    <row r="828" ht="15.75" customHeight="1">
      <c r="B828" s="334"/>
      <c r="E828" s="124"/>
      <c r="F828" s="124"/>
      <c r="G828" s="124"/>
      <c r="H828" s="124"/>
    </row>
    <row r="829" ht="15.75" customHeight="1">
      <c r="B829" s="334"/>
      <c r="E829" s="124"/>
      <c r="F829" s="124"/>
      <c r="G829" s="124"/>
      <c r="H829" s="124"/>
    </row>
    <row r="830" ht="15.75" customHeight="1">
      <c r="B830" s="334"/>
      <c r="E830" s="124"/>
      <c r="F830" s="124"/>
      <c r="G830" s="124"/>
      <c r="H830" s="124"/>
    </row>
    <row r="831" ht="15.75" customHeight="1">
      <c r="B831" s="334"/>
      <c r="E831" s="124"/>
      <c r="F831" s="124"/>
      <c r="G831" s="124"/>
      <c r="H831" s="124"/>
    </row>
    <row r="832" ht="15.75" customHeight="1">
      <c r="B832" s="334"/>
      <c r="E832" s="124"/>
      <c r="F832" s="124"/>
      <c r="G832" s="124"/>
      <c r="H832" s="124"/>
    </row>
    <row r="833" ht="15.75" customHeight="1">
      <c r="B833" s="334"/>
      <c r="E833" s="124"/>
      <c r="F833" s="124"/>
      <c r="G833" s="124"/>
      <c r="H833" s="124"/>
    </row>
    <row r="834" ht="15.75" customHeight="1">
      <c r="B834" s="334"/>
      <c r="E834" s="124"/>
      <c r="F834" s="124"/>
      <c r="G834" s="124"/>
      <c r="H834" s="124"/>
    </row>
    <row r="835" ht="15.75" customHeight="1">
      <c r="B835" s="334"/>
      <c r="E835" s="124"/>
      <c r="F835" s="124"/>
      <c r="G835" s="124"/>
      <c r="H835" s="124"/>
    </row>
    <row r="836" ht="15.75" customHeight="1">
      <c r="B836" s="334"/>
      <c r="E836" s="124"/>
      <c r="F836" s="124"/>
      <c r="G836" s="124"/>
      <c r="H836" s="124"/>
    </row>
    <row r="837" ht="15.75" customHeight="1">
      <c r="B837" s="334"/>
      <c r="E837" s="124"/>
      <c r="F837" s="124"/>
      <c r="G837" s="124"/>
      <c r="H837" s="124"/>
    </row>
    <row r="838" ht="15.75" customHeight="1">
      <c r="B838" s="334"/>
      <c r="E838" s="124"/>
      <c r="F838" s="124"/>
      <c r="G838" s="124"/>
      <c r="H838" s="124"/>
    </row>
    <row r="839" ht="15.75" customHeight="1">
      <c r="B839" s="334"/>
      <c r="E839" s="124"/>
      <c r="F839" s="124"/>
      <c r="G839" s="124"/>
      <c r="H839" s="124"/>
    </row>
    <row r="840" ht="15.75" customHeight="1">
      <c r="B840" s="334"/>
      <c r="E840" s="124"/>
      <c r="F840" s="124"/>
      <c r="G840" s="124"/>
      <c r="H840" s="124"/>
    </row>
    <row r="841" ht="15.75" customHeight="1">
      <c r="B841" s="334"/>
      <c r="E841" s="124"/>
      <c r="F841" s="124"/>
      <c r="G841" s="124"/>
      <c r="H841" s="124"/>
    </row>
    <row r="842" ht="15.75" customHeight="1">
      <c r="B842" s="334"/>
      <c r="E842" s="124"/>
      <c r="F842" s="124"/>
      <c r="G842" s="124"/>
      <c r="H842" s="124"/>
    </row>
    <row r="843" ht="15.75" customHeight="1">
      <c r="B843" s="334"/>
      <c r="E843" s="124"/>
      <c r="F843" s="124"/>
      <c r="G843" s="124"/>
      <c r="H843" s="124"/>
    </row>
    <row r="844" ht="15.75" customHeight="1">
      <c r="B844" s="334"/>
      <c r="E844" s="124"/>
      <c r="F844" s="124"/>
      <c r="G844" s="124"/>
      <c r="H844" s="124"/>
    </row>
    <row r="845" ht="15.75" customHeight="1">
      <c r="B845" s="334"/>
      <c r="E845" s="124"/>
      <c r="F845" s="124"/>
      <c r="G845" s="124"/>
      <c r="H845" s="124"/>
    </row>
    <row r="846" ht="15.75" customHeight="1">
      <c r="B846" s="334"/>
      <c r="E846" s="124"/>
      <c r="F846" s="124"/>
      <c r="G846" s="124"/>
      <c r="H846" s="124"/>
    </row>
    <row r="847" ht="15.75" customHeight="1">
      <c r="B847" s="334"/>
      <c r="E847" s="124"/>
      <c r="F847" s="124"/>
      <c r="G847" s="124"/>
      <c r="H847" s="124"/>
    </row>
    <row r="848" ht="15.75" customHeight="1">
      <c r="B848" s="334"/>
      <c r="E848" s="124"/>
      <c r="F848" s="124"/>
      <c r="G848" s="124"/>
      <c r="H848" s="124"/>
    </row>
    <row r="849" ht="15.75" customHeight="1">
      <c r="B849" s="334"/>
      <c r="E849" s="124"/>
      <c r="F849" s="124"/>
      <c r="G849" s="124"/>
      <c r="H849" s="124"/>
    </row>
    <row r="850" ht="15.75" customHeight="1">
      <c r="B850" s="334"/>
      <c r="E850" s="124"/>
      <c r="F850" s="124"/>
      <c r="G850" s="124"/>
      <c r="H850" s="124"/>
    </row>
    <row r="851" ht="15.75" customHeight="1">
      <c r="B851" s="334"/>
      <c r="E851" s="124"/>
      <c r="F851" s="124"/>
      <c r="G851" s="124"/>
      <c r="H851" s="124"/>
    </row>
    <row r="852" ht="15.75" customHeight="1">
      <c r="B852" s="334"/>
      <c r="E852" s="124"/>
      <c r="F852" s="124"/>
      <c r="G852" s="124"/>
      <c r="H852" s="124"/>
    </row>
    <row r="853" ht="15.75" customHeight="1">
      <c r="B853" s="334"/>
      <c r="E853" s="124"/>
      <c r="F853" s="124"/>
      <c r="G853" s="124"/>
      <c r="H853" s="124"/>
    </row>
    <row r="854" ht="15.75" customHeight="1">
      <c r="B854" s="334"/>
      <c r="E854" s="124"/>
      <c r="F854" s="124"/>
      <c r="G854" s="124"/>
      <c r="H854" s="124"/>
    </row>
    <row r="855" ht="15.75" customHeight="1">
      <c r="B855" s="334"/>
      <c r="E855" s="124"/>
      <c r="F855" s="124"/>
      <c r="G855" s="124"/>
      <c r="H855" s="124"/>
    </row>
    <row r="856" ht="15.75" customHeight="1">
      <c r="B856" s="334"/>
      <c r="E856" s="124"/>
      <c r="F856" s="124"/>
      <c r="G856" s="124"/>
      <c r="H856" s="124"/>
    </row>
    <row r="857" ht="15.75" customHeight="1">
      <c r="B857" s="334"/>
      <c r="E857" s="124"/>
      <c r="F857" s="124"/>
      <c r="G857" s="124"/>
      <c r="H857" s="124"/>
    </row>
    <row r="858" ht="15.75" customHeight="1">
      <c r="B858" s="334"/>
      <c r="E858" s="124"/>
      <c r="F858" s="124"/>
      <c r="G858" s="124"/>
      <c r="H858" s="124"/>
    </row>
    <row r="859" ht="15.75" customHeight="1">
      <c r="B859" s="334"/>
      <c r="E859" s="124"/>
      <c r="F859" s="124"/>
      <c r="G859" s="124"/>
      <c r="H859" s="124"/>
    </row>
    <row r="860" ht="15.75" customHeight="1">
      <c r="B860" s="334"/>
      <c r="E860" s="124"/>
      <c r="F860" s="124"/>
      <c r="G860" s="124"/>
      <c r="H860" s="124"/>
    </row>
    <row r="861" ht="15.75" customHeight="1">
      <c r="B861" s="334"/>
      <c r="E861" s="124"/>
      <c r="F861" s="124"/>
      <c r="G861" s="124"/>
      <c r="H861" s="124"/>
    </row>
    <row r="862" ht="15.75" customHeight="1">
      <c r="B862" s="334"/>
      <c r="E862" s="124"/>
      <c r="F862" s="124"/>
      <c r="G862" s="124"/>
      <c r="H862" s="124"/>
    </row>
    <row r="863" ht="15.75" customHeight="1">
      <c r="B863" s="334"/>
      <c r="E863" s="124"/>
      <c r="F863" s="124"/>
      <c r="G863" s="124"/>
      <c r="H863" s="124"/>
    </row>
    <row r="864" ht="15.75" customHeight="1">
      <c r="B864" s="334"/>
      <c r="E864" s="124"/>
      <c r="F864" s="124"/>
      <c r="G864" s="124"/>
      <c r="H864" s="124"/>
    </row>
    <row r="865" ht="15.75" customHeight="1">
      <c r="B865" s="334"/>
      <c r="E865" s="124"/>
      <c r="F865" s="124"/>
      <c r="G865" s="124"/>
      <c r="H865" s="124"/>
    </row>
    <row r="866" ht="15.75" customHeight="1">
      <c r="B866" s="334"/>
      <c r="E866" s="124"/>
      <c r="F866" s="124"/>
      <c r="G866" s="124"/>
      <c r="H866" s="124"/>
    </row>
    <row r="867" ht="15.75" customHeight="1">
      <c r="B867" s="334"/>
      <c r="E867" s="124"/>
      <c r="F867" s="124"/>
      <c r="G867" s="124"/>
      <c r="H867" s="124"/>
    </row>
    <row r="868" ht="15.75" customHeight="1">
      <c r="B868" s="334"/>
      <c r="E868" s="124"/>
      <c r="F868" s="124"/>
      <c r="G868" s="124"/>
      <c r="H868" s="124"/>
    </row>
    <row r="869" ht="15.75" customHeight="1">
      <c r="B869" s="334"/>
      <c r="E869" s="124"/>
      <c r="F869" s="124"/>
      <c r="G869" s="124"/>
      <c r="H869" s="124"/>
    </row>
    <row r="870" ht="15.75" customHeight="1">
      <c r="B870" s="334"/>
      <c r="E870" s="124"/>
      <c r="F870" s="124"/>
      <c r="G870" s="124"/>
      <c r="H870" s="124"/>
    </row>
    <row r="871" ht="15.75" customHeight="1">
      <c r="B871" s="334"/>
      <c r="E871" s="124"/>
      <c r="F871" s="124"/>
      <c r="G871" s="124"/>
      <c r="H871" s="124"/>
    </row>
    <row r="872" ht="15.75" customHeight="1">
      <c r="B872" s="334"/>
      <c r="E872" s="124"/>
      <c r="F872" s="124"/>
      <c r="G872" s="124"/>
      <c r="H872" s="124"/>
    </row>
    <row r="873" ht="15.75" customHeight="1">
      <c r="B873" s="334"/>
      <c r="E873" s="124"/>
      <c r="F873" s="124"/>
      <c r="G873" s="124"/>
      <c r="H873" s="124"/>
    </row>
    <row r="874" ht="15.75" customHeight="1">
      <c r="B874" s="334"/>
      <c r="E874" s="124"/>
      <c r="F874" s="124"/>
      <c r="G874" s="124"/>
      <c r="H874" s="124"/>
    </row>
    <row r="875" ht="15.75" customHeight="1">
      <c r="B875" s="334"/>
      <c r="E875" s="124"/>
      <c r="F875" s="124"/>
      <c r="G875" s="124"/>
      <c r="H875" s="124"/>
    </row>
    <row r="876" ht="15.75" customHeight="1">
      <c r="B876" s="334"/>
      <c r="E876" s="124"/>
      <c r="F876" s="124"/>
      <c r="G876" s="124"/>
      <c r="H876" s="124"/>
    </row>
    <row r="877" ht="15.75" customHeight="1">
      <c r="B877" s="334"/>
      <c r="E877" s="124"/>
      <c r="F877" s="124"/>
      <c r="G877" s="124"/>
      <c r="H877" s="124"/>
    </row>
    <row r="878" ht="15.75" customHeight="1">
      <c r="B878" s="334"/>
      <c r="E878" s="124"/>
      <c r="F878" s="124"/>
      <c r="G878" s="124"/>
      <c r="H878" s="124"/>
    </row>
    <row r="879" ht="15.75" customHeight="1">
      <c r="B879" s="334"/>
      <c r="E879" s="124"/>
      <c r="F879" s="124"/>
      <c r="G879" s="124"/>
      <c r="H879" s="124"/>
    </row>
    <row r="880" ht="15.75" customHeight="1">
      <c r="B880" s="334"/>
      <c r="E880" s="124"/>
      <c r="F880" s="124"/>
      <c r="G880" s="124"/>
      <c r="H880" s="124"/>
    </row>
    <row r="881" ht="15.75" customHeight="1">
      <c r="B881" s="334"/>
      <c r="E881" s="124"/>
      <c r="F881" s="124"/>
      <c r="G881" s="124"/>
      <c r="H881" s="124"/>
    </row>
    <row r="882" ht="15.75" customHeight="1">
      <c r="B882" s="334"/>
      <c r="E882" s="124"/>
      <c r="F882" s="124"/>
      <c r="G882" s="124"/>
      <c r="H882" s="124"/>
    </row>
    <row r="883" ht="15.75" customHeight="1">
      <c r="B883" s="334"/>
      <c r="E883" s="124"/>
      <c r="F883" s="124"/>
      <c r="G883" s="124"/>
      <c r="H883" s="124"/>
    </row>
    <row r="884" ht="15.75" customHeight="1">
      <c r="B884" s="334"/>
      <c r="E884" s="124"/>
      <c r="F884" s="124"/>
      <c r="G884" s="124"/>
      <c r="H884" s="124"/>
    </row>
    <row r="885" ht="15.75" customHeight="1">
      <c r="B885" s="334"/>
      <c r="E885" s="124"/>
      <c r="F885" s="124"/>
      <c r="G885" s="124"/>
      <c r="H885" s="124"/>
    </row>
    <row r="886" ht="15.75" customHeight="1">
      <c r="B886" s="334"/>
      <c r="E886" s="124"/>
      <c r="F886" s="124"/>
      <c r="G886" s="124"/>
      <c r="H886" s="124"/>
    </row>
    <row r="887" ht="15.75" customHeight="1">
      <c r="B887" s="334"/>
      <c r="E887" s="124"/>
      <c r="F887" s="124"/>
      <c r="G887" s="124"/>
      <c r="H887" s="124"/>
    </row>
    <row r="888" ht="15.75" customHeight="1">
      <c r="B888" s="334"/>
      <c r="E888" s="124"/>
      <c r="F888" s="124"/>
      <c r="G888" s="124"/>
      <c r="H888" s="124"/>
    </row>
    <row r="889" ht="15.75" customHeight="1">
      <c r="B889" s="334"/>
      <c r="E889" s="124"/>
      <c r="F889" s="124"/>
      <c r="G889" s="124"/>
      <c r="H889" s="124"/>
    </row>
    <row r="890" ht="15.75" customHeight="1">
      <c r="B890" s="334"/>
      <c r="E890" s="124"/>
      <c r="F890" s="124"/>
      <c r="G890" s="124"/>
      <c r="H890" s="124"/>
    </row>
    <row r="891" ht="15.75" customHeight="1">
      <c r="B891" s="334"/>
      <c r="E891" s="124"/>
      <c r="F891" s="124"/>
      <c r="G891" s="124"/>
      <c r="H891" s="124"/>
    </row>
    <row r="892" ht="15.75" customHeight="1">
      <c r="B892" s="334"/>
      <c r="E892" s="124"/>
      <c r="F892" s="124"/>
      <c r="G892" s="124"/>
      <c r="H892" s="124"/>
    </row>
    <row r="893" ht="15.75" customHeight="1">
      <c r="B893" s="334"/>
      <c r="E893" s="124"/>
      <c r="F893" s="124"/>
      <c r="G893" s="124"/>
      <c r="H893" s="124"/>
    </row>
    <row r="894" ht="15.75" customHeight="1">
      <c r="B894" s="334"/>
      <c r="E894" s="124"/>
      <c r="F894" s="124"/>
      <c r="G894" s="124"/>
      <c r="H894" s="124"/>
    </row>
    <row r="895" ht="15.75" customHeight="1">
      <c r="B895" s="334"/>
      <c r="E895" s="124"/>
      <c r="F895" s="124"/>
      <c r="G895" s="124"/>
      <c r="H895" s="124"/>
    </row>
    <row r="896" ht="15.75" customHeight="1">
      <c r="B896" s="334"/>
      <c r="E896" s="124"/>
      <c r="F896" s="124"/>
      <c r="G896" s="124"/>
      <c r="H896" s="124"/>
    </row>
    <row r="897" ht="15.75" customHeight="1">
      <c r="B897" s="334"/>
      <c r="E897" s="124"/>
      <c r="F897" s="124"/>
      <c r="G897" s="124"/>
      <c r="H897" s="124"/>
    </row>
    <row r="898" ht="15.75" customHeight="1">
      <c r="B898" s="334"/>
      <c r="E898" s="124"/>
      <c r="F898" s="124"/>
      <c r="G898" s="124"/>
      <c r="H898" s="124"/>
    </row>
    <row r="899" ht="15.75" customHeight="1">
      <c r="B899" s="334"/>
      <c r="E899" s="124"/>
      <c r="F899" s="124"/>
      <c r="G899" s="124"/>
      <c r="H899" s="124"/>
    </row>
    <row r="900" ht="15.75" customHeight="1">
      <c r="B900" s="334"/>
      <c r="E900" s="124"/>
      <c r="F900" s="124"/>
      <c r="G900" s="124"/>
      <c r="H900" s="124"/>
    </row>
    <row r="901" ht="15.75" customHeight="1">
      <c r="B901" s="334"/>
      <c r="E901" s="124"/>
      <c r="F901" s="124"/>
      <c r="G901" s="124"/>
      <c r="H901" s="124"/>
    </row>
    <row r="902" ht="15.75" customHeight="1">
      <c r="B902" s="334"/>
      <c r="E902" s="124"/>
      <c r="F902" s="124"/>
      <c r="G902" s="124"/>
      <c r="H902" s="124"/>
    </row>
    <row r="903" ht="15.75" customHeight="1">
      <c r="B903" s="334"/>
      <c r="E903" s="124"/>
      <c r="F903" s="124"/>
      <c r="G903" s="124"/>
      <c r="H903" s="124"/>
    </row>
    <row r="904" ht="15.75" customHeight="1">
      <c r="B904" s="334"/>
      <c r="E904" s="124"/>
      <c r="F904" s="124"/>
      <c r="G904" s="124"/>
      <c r="H904" s="124"/>
    </row>
    <row r="905" ht="15.75" customHeight="1">
      <c r="B905" s="334"/>
      <c r="E905" s="124"/>
      <c r="F905" s="124"/>
      <c r="G905" s="124"/>
      <c r="H905" s="124"/>
    </row>
    <row r="906" ht="15.75" customHeight="1">
      <c r="B906" s="334"/>
      <c r="E906" s="124"/>
      <c r="F906" s="124"/>
      <c r="G906" s="124"/>
      <c r="H906" s="124"/>
    </row>
    <row r="907" ht="15.75" customHeight="1">
      <c r="B907" s="334"/>
      <c r="E907" s="124"/>
      <c r="F907" s="124"/>
      <c r="G907" s="124"/>
      <c r="H907" s="124"/>
    </row>
    <row r="908" ht="15.75" customHeight="1">
      <c r="B908" s="334"/>
      <c r="E908" s="124"/>
      <c r="F908" s="124"/>
      <c r="G908" s="124"/>
      <c r="H908" s="124"/>
    </row>
    <row r="909" ht="15.75" customHeight="1">
      <c r="B909" s="334"/>
      <c r="E909" s="124"/>
      <c r="F909" s="124"/>
      <c r="G909" s="124"/>
      <c r="H909" s="124"/>
    </row>
    <row r="910" ht="15.75" customHeight="1">
      <c r="B910" s="334"/>
      <c r="E910" s="124"/>
      <c r="F910" s="124"/>
      <c r="G910" s="124"/>
      <c r="H910" s="124"/>
    </row>
    <row r="911" ht="15.75" customHeight="1">
      <c r="B911" s="334"/>
      <c r="E911" s="124"/>
      <c r="F911" s="124"/>
      <c r="G911" s="124"/>
      <c r="H911" s="124"/>
    </row>
    <row r="912" ht="15.75" customHeight="1">
      <c r="B912" s="334"/>
      <c r="E912" s="124"/>
      <c r="F912" s="124"/>
      <c r="G912" s="124"/>
      <c r="H912" s="124"/>
    </row>
    <row r="913" ht="15.75" customHeight="1">
      <c r="B913" s="334"/>
      <c r="E913" s="124"/>
      <c r="F913" s="124"/>
      <c r="G913" s="124"/>
      <c r="H913" s="124"/>
    </row>
    <row r="914" ht="15.75" customHeight="1">
      <c r="B914" s="334"/>
      <c r="E914" s="124"/>
      <c r="F914" s="124"/>
      <c r="G914" s="124"/>
      <c r="H914" s="124"/>
    </row>
    <row r="915" ht="15.75" customHeight="1">
      <c r="B915" s="334"/>
      <c r="E915" s="124"/>
      <c r="F915" s="124"/>
      <c r="G915" s="124"/>
      <c r="H915" s="124"/>
    </row>
    <row r="916" ht="15.75" customHeight="1">
      <c r="B916" s="334"/>
      <c r="E916" s="124"/>
      <c r="F916" s="124"/>
      <c r="G916" s="124"/>
      <c r="H916" s="124"/>
    </row>
    <row r="917" ht="15.75" customHeight="1">
      <c r="B917" s="334"/>
      <c r="E917" s="124"/>
      <c r="F917" s="124"/>
      <c r="G917" s="124"/>
      <c r="H917" s="124"/>
    </row>
    <row r="918" ht="15.75" customHeight="1">
      <c r="B918" s="334"/>
      <c r="E918" s="124"/>
      <c r="F918" s="124"/>
      <c r="G918" s="124"/>
      <c r="H918" s="124"/>
    </row>
    <row r="919" ht="15.75" customHeight="1">
      <c r="B919" s="334"/>
      <c r="E919" s="124"/>
      <c r="F919" s="124"/>
      <c r="G919" s="124"/>
      <c r="H919" s="124"/>
    </row>
    <row r="920" ht="15.75" customHeight="1">
      <c r="B920" s="334"/>
      <c r="E920" s="124"/>
      <c r="F920" s="124"/>
      <c r="G920" s="124"/>
      <c r="H920" s="124"/>
    </row>
    <row r="921" ht="15.75" customHeight="1">
      <c r="B921" s="334"/>
      <c r="E921" s="124"/>
      <c r="F921" s="124"/>
      <c r="G921" s="124"/>
      <c r="H921" s="124"/>
    </row>
    <row r="922" ht="15.75" customHeight="1">
      <c r="B922" s="334"/>
      <c r="E922" s="124"/>
      <c r="F922" s="124"/>
      <c r="G922" s="124"/>
      <c r="H922" s="124"/>
    </row>
    <row r="923" ht="15.75" customHeight="1">
      <c r="B923" s="334"/>
      <c r="E923" s="124"/>
      <c r="F923" s="124"/>
      <c r="G923" s="124"/>
      <c r="H923" s="124"/>
    </row>
    <row r="924" ht="15.75" customHeight="1">
      <c r="B924" s="334"/>
      <c r="E924" s="124"/>
      <c r="F924" s="124"/>
      <c r="G924" s="124"/>
      <c r="H924" s="124"/>
    </row>
    <row r="925" ht="15.75" customHeight="1">
      <c r="B925" s="334"/>
      <c r="E925" s="124"/>
      <c r="F925" s="124"/>
      <c r="G925" s="124"/>
      <c r="H925" s="124"/>
    </row>
    <row r="926" ht="15.75" customHeight="1">
      <c r="B926" s="334"/>
      <c r="E926" s="124"/>
      <c r="F926" s="124"/>
      <c r="G926" s="124"/>
      <c r="H926" s="124"/>
    </row>
    <row r="927" ht="15.75" customHeight="1">
      <c r="B927" s="334"/>
      <c r="E927" s="124"/>
      <c r="F927" s="124"/>
      <c r="G927" s="124"/>
      <c r="H927" s="124"/>
    </row>
    <row r="928" ht="15.75" customHeight="1">
      <c r="B928" s="334"/>
      <c r="E928" s="124"/>
      <c r="F928" s="124"/>
      <c r="G928" s="124"/>
      <c r="H928" s="124"/>
    </row>
    <row r="929" ht="15.75" customHeight="1">
      <c r="B929" s="334"/>
      <c r="E929" s="124"/>
      <c r="F929" s="124"/>
      <c r="G929" s="124"/>
      <c r="H929" s="124"/>
    </row>
    <row r="930" ht="15.75" customHeight="1">
      <c r="B930" s="334"/>
      <c r="E930" s="124"/>
      <c r="F930" s="124"/>
      <c r="G930" s="124"/>
      <c r="H930" s="124"/>
    </row>
    <row r="931" ht="15.75" customHeight="1">
      <c r="B931" s="334"/>
      <c r="E931" s="124"/>
      <c r="F931" s="124"/>
      <c r="G931" s="124"/>
      <c r="H931" s="124"/>
    </row>
    <row r="932" ht="15.75" customHeight="1">
      <c r="B932" s="334"/>
      <c r="E932" s="124"/>
      <c r="F932" s="124"/>
      <c r="G932" s="124"/>
      <c r="H932" s="124"/>
    </row>
    <row r="933" ht="15.75" customHeight="1">
      <c r="B933" s="334"/>
      <c r="E933" s="124"/>
      <c r="F933" s="124"/>
      <c r="G933" s="124"/>
      <c r="H933" s="124"/>
    </row>
    <row r="934" ht="15.75" customHeight="1">
      <c r="B934" s="334"/>
      <c r="E934" s="124"/>
      <c r="F934" s="124"/>
      <c r="G934" s="124"/>
      <c r="H934" s="124"/>
    </row>
    <row r="935" ht="15.75" customHeight="1">
      <c r="B935" s="334"/>
      <c r="E935" s="124"/>
      <c r="F935" s="124"/>
      <c r="G935" s="124"/>
      <c r="H935" s="124"/>
    </row>
    <row r="936" ht="15.75" customHeight="1">
      <c r="B936" s="334"/>
      <c r="E936" s="124"/>
      <c r="F936" s="124"/>
      <c r="G936" s="124"/>
      <c r="H936" s="124"/>
    </row>
    <row r="937" ht="15.75" customHeight="1">
      <c r="B937" s="334"/>
      <c r="E937" s="124"/>
      <c r="F937" s="124"/>
      <c r="G937" s="124"/>
      <c r="H937" s="124"/>
    </row>
    <row r="938" ht="15.75" customHeight="1">
      <c r="B938" s="334"/>
      <c r="E938" s="124"/>
      <c r="F938" s="124"/>
      <c r="G938" s="124"/>
      <c r="H938" s="124"/>
    </row>
    <row r="939" ht="15.75" customHeight="1">
      <c r="B939" s="334"/>
      <c r="E939" s="124"/>
      <c r="F939" s="124"/>
      <c r="G939" s="124"/>
      <c r="H939" s="124"/>
    </row>
    <row r="940" ht="15.75" customHeight="1">
      <c r="B940" s="334"/>
      <c r="E940" s="124"/>
      <c r="F940" s="124"/>
      <c r="G940" s="124"/>
      <c r="H940" s="124"/>
    </row>
    <row r="941" ht="15.75" customHeight="1">
      <c r="B941" s="334"/>
      <c r="E941" s="124"/>
      <c r="F941" s="124"/>
      <c r="G941" s="124"/>
      <c r="H941" s="124"/>
    </row>
    <row r="942" ht="15.75" customHeight="1">
      <c r="B942" s="334"/>
      <c r="E942" s="124"/>
      <c r="F942" s="124"/>
      <c r="G942" s="124"/>
      <c r="H942" s="124"/>
    </row>
    <row r="943" ht="15.75" customHeight="1">
      <c r="B943" s="334"/>
      <c r="E943" s="124"/>
      <c r="F943" s="124"/>
      <c r="G943" s="124"/>
      <c r="H943" s="124"/>
    </row>
    <row r="944" ht="15.75" customHeight="1">
      <c r="B944" s="334"/>
      <c r="E944" s="124"/>
      <c r="F944" s="124"/>
      <c r="G944" s="124"/>
      <c r="H944" s="124"/>
    </row>
    <row r="945" ht="15.75" customHeight="1">
      <c r="B945" s="334"/>
      <c r="E945" s="124"/>
      <c r="F945" s="124"/>
      <c r="G945" s="124"/>
      <c r="H945" s="124"/>
    </row>
    <row r="946" ht="15.75" customHeight="1">
      <c r="B946" s="334"/>
      <c r="E946" s="124"/>
      <c r="F946" s="124"/>
      <c r="G946" s="124"/>
      <c r="H946" s="124"/>
    </row>
    <row r="947" ht="15.75" customHeight="1">
      <c r="B947" s="334"/>
      <c r="E947" s="124"/>
      <c r="F947" s="124"/>
      <c r="G947" s="124"/>
      <c r="H947" s="124"/>
    </row>
    <row r="948" ht="15.75" customHeight="1">
      <c r="B948" s="334"/>
      <c r="E948" s="124"/>
      <c r="F948" s="124"/>
      <c r="G948" s="124"/>
      <c r="H948" s="124"/>
    </row>
    <row r="949" ht="15.75" customHeight="1">
      <c r="B949" s="334"/>
      <c r="E949" s="124"/>
      <c r="F949" s="124"/>
      <c r="G949" s="124"/>
      <c r="H949" s="124"/>
    </row>
    <row r="950" ht="15.75" customHeight="1">
      <c r="B950" s="334"/>
      <c r="E950" s="124"/>
      <c r="F950" s="124"/>
      <c r="G950" s="124"/>
      <c r="H950" s="124"/>
    </row>
    <row r="951" ht="15.75" customHeight="1">
      <c r="B951" s="334"/>
      <c r="E951" s="124"/>
      <c r="F951" s="124"/>
      <c r="G951" s="124"/>
      <c r="H951" s="124"/>
    </row>
    <row r="952" ht="15.75" customHeight="1">
      <c r="B952" s="334"/>
      <c r="E952" s="124"/>
      <c r="F952" s="124"/>
      <c r="G952" s="124"/>
      <c r="H952" s="124"/>
    </row>
    <row r="953" ht="15.75" customHeight="1">
      <c r="B953" s="334"/>
      <c r="E953" s="124"/>
      <c r="F953" s="124"/>
      <c r="G953" s="124"/>
      <c r="H953" s="124"/>
    </row>
    <row r="954" ht="15.75" customHeight="1">
      <c r="B954" s="334"/>
      <c r="E954" s="124"/>
      <c r="F954" s="124"/>
      <c r="G954" s="124"/>
      <c r="H954" s="124"/>
    </row>
    <row r="955" ht="15.75" customHeight="1">
      <c r="B955" s="334"/>
      <c r="E955" s="124"/>
      <c r="F955" s="124"/>
      <c r="G955" s="124"/>
      <c r="H955" s="124"/>
    </row>
    <row r="956" ht="15.75" customHeight="1">
      <c r="B956" s="334"/>
      <c r="E956" s="124"/>
      <c r="F956" s="124"/>
      <c r="G956" s="124"/>
      <c r="H956" s="124"/>
    </row>
    <row r="957" ht="15.75" customHeight="1">
      <c r="B957" s="334"/>
      <c r="E957" s="124"/>
      <c r="F957" s="124"/>
      <c r="G957" s="124"/>
      <c r="H957" s="124"/>
    </row>
    <row r="958" ht="15.75" customHeight="1">
      <c r="B958" s="334"/>
      <c r="E958" s="124"/>
      <c r="F958" s="124"/>
      <c r="G958" s="124"/>
      <c r="H958" s="124"/>
    </row>
    <row r="959" ht="15.75" customHeight="1">
      <c r="B959" s="334"/>
      <c r="E959" s="124"/>
      <c r="F959" s="124"/>
      <c r="G959" s="124"/>
      <c r="H959" s="124"/>
    </row>
    <row r="960" ht="15.75" customHeight="1">
      <c r="B960" s="334"/>
      <c r="E960" s="124"/>
      <c r="F960" s="124"/>
      <c r="G960" s="124"/>
      <c r="H960" s="124"/>
    </row>
    <row r="961" ht="15.75" customHeight="1">
      <c r="B961" s="334"/>
      <c r="E961" s="124"/>
      <c r="F961" s="124"/>
      <c r="G961" s="124"/>
      <c r="H961" s="124"/>
    </row>
    <row r="962" ht="15.75" customHeight="1">
      <c r="B962" s="334"/>
      <c r="E962" s="124"/>
      <c r="F962" s="124"/>
      <c r="G962" s="124"/>
      <c r="H962" s="124"/>
    </row>
    <row r="963" ht="15.75" customHeight="1">
      <c r="B963" s="334"/>
      <c r="E963" s="124"/>
      <c r="F963" s="124"/>
      <c r="G963" s="124"/>
      <c r="H963" s="124"/>
    </row>
    <row r="964" ht="15.75" customHeight="1">
      <c r="B964" s="334"/>
      <c r="E964" s="124"/>
      <c r="F964" s="124"/>
      <c r="G964" s="124"/>
      <c r="H964" s="124"/>
    </row>
    <row r="965" ht="15.75" customHeight="1">
      <c r="B965" s="334"/>
      <c r="E965" s="124"/>
      <c r="F965" s="124"/>
      <c r="G965" s="124"/>
      <c r="H965" s="124"/>
    </row>
    <row r="966" ht="15.75" customHeight="1">
      <c r="B966" s="334"/>
      <c r="E966" s="124"/>
      <c r="F966" s="124"/>
      <c r="G966" s="124"/>
      <c r="H966" s="124"/>
    </row>
    <row r="967" ht="15.75" customHeight="1">
      <c r="B967" s="334"/>
      <c r="E967" s="124"/>
      <c r="F967" s="124"/>
      <c r="G967" s="124"/>
      <c r="H967" s="124"/>
    </row>
    <row r="968" ht="15.75" customHeight="1">
      <c r="B968" s="334"/>
      <c r="E968" s="124"/>
      <c r="F968" s="124"/>
      <c r="G968" s="124"/>
      <c r="H968" s="124"/>
    </row>
    <row r="969" ht="15.75" customHeight="1">
      <c r="B969" s="334"/>
      <c r="E969" s="124"/>
      <c r="F969" s="124"/>
      <c r="G969" s="124"/>
      <c r="H969" s="124"/>
    </row>
    <row r="970" ht="15.75" customHeight="1">
      <c r="B970" s="334"/>
      <c r="E970" s="124"/>
      <c r="F970" s="124"/>
      <c r="G970" s="124"/>
      <c r="H970" s="124"/>
    </row>
    <row r="971" ht="15.75" customHeight="1">
      <c r="B971" s="334"/>
      <c r="E971" s="124"/>
      <c r="F971" s="124"/>
      <c r="G971" s="124"/>
      <c r="H971" s="124"/>
    </row>
    <row r="972" ht="15.75" customHeight="1">
      <c r="B972" s="334"/>
      <c r="E972" s="124"/>
      <c r="F972" s="124"/>
      <c r="G972" s="124"/>
      <c r="H972" s="124"/>
    </row>
    <row r="973" ht="15.75" customHeight="1">
      <c r="B973" s="334"/>
      <c r="E973" s="124"/>
      <c r="F973" s="124"/>
      <c r="G973" s="124"/>
      <c r="H973" s="124"/>
    </row>
    <row r="974" ht="15.75" customHeight="1">
      <c r="B974" s="334"/>
      <c r="E974" s="124"/>
      <c r="F974" s="124"/>
      <c r="G974" s="124"/>
      <c r="H974" s="124"/>
    </row>
    <row r="975" ht="15.75" customHeight="1">
      <c r="B975" s="334"/>
      <c r="E975" s="124"/>
      <c r="F975" s="124"/>
      <c r="G975" s="124"/>
      <c r="H975" s="124"/>
    </row>
    <row r="976" ht="15.75" customHeight="1">
      <c r="B976" s="334"/>
      <c r="E976" s="124"/>
      <c r="F976" s="124"/>
      <c r="G976" s="124"/>
      <c r="H976" s="124"/>
    </row>
    <row r="977" ht="15.75" customHeight="1">
      <c r="B977" s="334"/>
      <c r="E977" s="124"/>
      <c r="F977" s="124"/>
      <c r="G977" s="124"/>
      <c r="H977" s="124"/>
    </row>
    <row r="978" ht="15.75" customHeight="1">
      <c r="B978" s="334"/>
      <c r="E978" s="124"/>
      <c r="F978" s="124"/>
      <c r="G978" s="124"/>
      <c r="H978" s="124"/>
    </row>
    <row r="979" ht="15.75" customHeight="1">
      <c r="B979" s="334"/>
      <c r="E979" s="124"/>
      <c r="F979" s="124"/>
      <c r="G979" s="124"/>
      <c r="H979" s="124"/>
    </row>
    <row r="980" ht="15.75" customHeight="1">
      <c r="B980" s="334"/>
      <c r="E980" s="124"/>
      <c r="F980" s="124"/>
      <c r="G980" s="124"/>
      <c r="H980" s="124"/>
    </row>
    <row r="981" ht="15.75" customHeight="1">
      <c r="B981" s="334"/>
      <c r="E981" s="124"/>
      <c r="F981" s="124"/>
      <c r="G981" s="124"/>
      <c r="H981" s="124"/>
    </row>
    <row r="982" ht="15.75" customHeight="1">
      <c r="B982" s="334"/>
      <c r="E982" s="124"/>
      <c r="F982" s="124"/>
      <c r="G982" s="124"/>
      <c r="H982" s="124"/>
    </row>
    <row r="983" ht="15.75" customHeight="1">
      <c r="B983" s="334"/>
      <c r="E983" s="124"/>
      <c r="F983" s="124"/>
      <c r="G983" s="124"/>
      <c r="H983" s="124"/>
    </row>
    <row r="984" ht="15.75" customHeight="1">
      <c r="B984" s="334"/>
      <c r="E984" s="124"/>
      <c r="F984" s="124"/>
      <c r="G984" s="124"/>
      <c r="H984" s="124"/>
    </row>
    <row r="985" ht="15.75" customHeight="1">
      <c r="B985" s="334"/>
      <c r="E985" s="124"/>
      <c r="F985" s="124"/>
      <c r="G985" s="124"/>
      <c r="H985" s="124"/>
    </row>
    <row r="986" ht="15.75" customHeight="1">
      <c r="B986" s="334"/>
      <c r="E986" s="124"/>
      <c r="F986" s="124"/>
      <c r="G986" s="124"/>
      <c r="H986" s="124"/>
    </row>
    <row r="987" ht="15.75" customHeight="1">
      <c r="B987" s="334"/>
      <c r="E987" s="124"/>
      <c r="F987" s="124"/>
      <c r="G987" s="124"/>
      <c r="H987" s="124"/>
    </row>
    <row r="988" ht="15.75" customHeight="1">
      <c r="B988" s="334"/>
      <c r="E988" s="124"/>
      <c r="F988" s="124"/>
      <c r="G988" s="124"/>
      <c r="H988" s="124"/>
    </row>
    <row r="989" ht="15.75" customHeight="1">
      <c r="B989" s="334"/>
      <c r="E989" s="124"/>
      <c r="F989" s="124"/>
      <c r="G989" s="124"/>
      <c r="H989" s="124"/>
    </row>
    <row r="990" ht="15.75" customHeight="1">
      <c r="B990" s="334"/>
      <c r="E990" s="124"/>
      <c r="F990" s="124"/>
      <c r="G990" s="124"/>
      <c r="H990" s="124"/>
    </row>
    <row r="991" ht="15.75" customHeight="1">
      <c r="B991" s="334"/>
      <c r="E991" s="124"/>
      <c r="F991" s="124"/>
      <c r="G991" s="124"/>
      <c r="H991" s="124"/>
    </row>
    <row r="992" ht="15.75" customHeight="1">
      <c r="B992" s="334"/>
      <c r="E992" s="124"/>
      <c r="F992" s="124"/>
      <c r="G992" s="124"/>
      <c r="H992" s="124"/>
    </row>
    <row r="993" ht="15.75" customHeight="1">
      <c r="B993" s="334"/>
      <c r="E993" s="124"/>
      <c r="F993" s="124"/>
      <c r="G993" s="124"/>
      <c r="H993" s="124"/>
    </row>
    <row r="994" ht="15.75" customHeight="1">
      <c r="B994" s="334"/>
      <c r="E994" s="124"/>
      <c r="F994" s="124"/>
      <c r="G994" s="124"/>
      <c r="H994" s="124"/>
    </row>
    <row r="995" ht="15.75" customHeight="1">
      <c r="B995" s="334"/>
      <c r="E995" s="124"/>
      <c r="F995" s="124"/>
      <c r="G995" s="124"/>
      <c r="H995" s="124"/>
    </row>
    <row r="996" ht="15.75" customHeight="1">
      <c r="B996" s="334"/>
      <c r="E996" s="124"/>
      <c r="F996" s="124"/>
      <c r="G996" s="124"/>
      <c r="H996" s="124"/>
    </row>
    <row r="997" ht="15.75" customHeight="1">
      <c r="B997" s="334"/>
      <c r="E997" s="124"/>
      <c r="F997" s="124"/>
      <c r="G997" s="124"/>
      <c r="H997" s="124"/>
    </row>
    <row r="998" ht="15.75" customHeight="1">
      <c r="B998" s="334"/>
      <c r="E998" s="124"/>
      <c r="F998" s="124"/>
      <c r="G998" s="124"/>
      <c r="H998" s="124"/>
    </row>
    <row r="999" ht="15.75" customHeight="1">
      <c r="B999" s="334"/>
      <c r="E999" s="124"/>
      <c r="F999" s="124"/>
      <c r="G999" s="124"/>
      <c r="H999" s="124"/>
    </row>
    <row r="1000" ht="15.75" customHeight="1">
      <c r="B1000" s="334"/>
      <c r="E1000" s="124"/>
      <c r="F1000" s="124"/>
      <c r="G1000" s="124"/>
      <c r="H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56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1.89"/>
    <col customWidth="1" min="3" max="4" width="9.11"/>
    <col customWidth="1" min="5" max="5" width="16.44"/>
    <col customWidth="1" min="6" max="6" width="11.33"/>
    <col customWidth="1" min="7" max="7" width="10.78"/>
    <col customWidth="1" min="8" max="8" width="15.44"/>
    <col customWidth="1" min="9" max="9" width="13.22"/>
    <col customWidth="1" min="10" max="10" width="14.44"/>
    <col customWidth="1" min="11" max="11" width="17.11"/>
    <col customWidth="1" min="12" max="12" width="13.22"/>
    <col customWidth="1" min="13" max="13" width="17.67"/>
    <col customWidth="1" min="14" max="26" width="8.56"/>
  </cols>
  <sheetData>
    <row r="1" ht="15.75" customHeight="1">
      <c r="A1" s="179"/>
    </row>
    <row r="2" ht="15.75" customHeight="1">
      <c r="A2" s="180" t="s">
        <v>64</v>
      </c>
      <c r="B2" s="318"/>
      <c r="E2" s="182"/>
      <c r="F2" s="182"/>
      <c r="G2" s="182"/>
      <c r="H2" s="182"/>
      <c r="I2" s="184"/>
      <c r="J2" s="185"/>
      <c r="K2" s="186" t="s">
        <v>65</v>
      </c>
    </row>
    <row r="3" ht="15.75" customHeight="1">
      <c r="A3" s="260" t="s">
        <v>2</v>
      </c>
      <c r="B3" s="319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197" t="s">
        <v>69</v>
      </c>
      <c r="J4" s="198" t="s">
        <v>70</v>
      </c>
      <c r="K4" s="198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'Yakin Pasifik Tuna'!B5</f>
        <v>45137</v>
      </c>
      <c r="C5" s="320">
        <f>SUM('Yakin Pasifik Tuna'!E5:G5)+'Yakin Pasifik Tuna'!K5</f>
        <v>5015</v>
      </c>
      <c r="D5" s="237">
        <f>'Yakin Pasifik Tuna'!V5</f>
        <v>16442.54944</v>
      </c>
      <c r="E5" s="239">
        <f t="shared" ref="E5:E8" si="2">D5*C5</f>
        <v>82459385.45</v>
      </c>
      <c r="F5" s="239"/>
      <c r="G5" s="239"/>
      <c r="H5" s="239"/>
      <c r="I5" s="245">
        <f t="shared" ref="I5:J5" si="1">C5</f>
        <v>5015</v>
      </c>
      <c r="J5" s="247">
        <f t="shared" si="1"/>
        <v>16442.54944</v>
      </c>
      <c r="K5" s="246">
        <f>I5*J5</f>
        <v>82459385.45</v>
      </c>
      <c r="L5" s="183"/>
      <c r="M5" s="207" t="str">
        <f>K6+#REF!</f>
        <v>#REF!</v>
      </c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'Yakin Pasifik Tuna'!B6</f>
        <v>45138</v>
      </c>
      <c r="C6" s="320">
        <f>SUM('Yakin Pasifik Tuna'!E6:G6)+'Yakin Pasifik Tuna'!K6</f>
        <v>9613</v>
      </c>
      <c r="D6" s="237">
        <f>'Yakin Pasifik Tuna'!V6</f>
        <v>16137.87264</v>
      </c>
      <c r="E6" s="239">
        <f t="shared" si="2"/>
        <v>155133369.7</v>
      </c>
      <c r="F6" s="239"/>
      <c r="G6" s="239"/>
      <c r="H6" s="239"/>
      <c r="I6" s="245">
        <f t="shared" ref="I6:I8" si="3">I5+C6</f>
        <v>14628</v>
      </c>
      <c r="J6" s="246">
        <f t="shared" ref="J6:J8" si="4">K6/I6</f>
        <v>16242.32671</v>
      </c>
      <c r="K6" s="246">
        <f t="shared" ref="K6:K8" si="5">K5+E6</f>
        <v>237592755.1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'Yakin Pasifik Tuna'!B7</f>
        <v>45139</v>
      </c>
      <c r="C7" s="320">
        <f>SUM('Yakin Pasifik Tuna'!E7:G7)+'Yakin Pasifik Tuna'!K7</f>
        <v>1784</v>
      </c>
      <c r="D7" s="237">
        <f>'Yakin Pasifik Tuna'!V7</f>
        <v>16444.96644</v>
      </c>
      <c r="E7" s="239">
        <f t="shared" si="2"/>
        <v>29337820.13</v>
      </c>
      <c r="F7" s="239"/>
      <c r="G7" s="239"/>
      <c r="H7" s="239"/>
      <c r="I7" s="245">
        <f t="shared" si="3"/>
        <v>16412</v>
      </c>
      <c r="J7" s="246">
        <f t="shared" si="4"/>
        <v>16264.35384</v>
      </c>
      <c r="K7" s="246">
        <f t="shared" si="5"/>
        <v>266930575.3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'Yakin Pasifik Tuna'!B8</f>
        <v>45149</v>
      </c>
      <c r="C8" s="320">
        <f>SUM('Yakin Pasifik Tuna'!E8:G8)+'Yakin Pasifik Tuna'!K8</f>
        <v>4803</v>
      </c>
      <c r="D8" s="237">
        <f>'Yakin Pasifik Tuna'!V8</f>
        <v>16325.95761</v>
      </c>
      <c r="E8" s="239">
        <f t="shared" si="2"/>
        <v>78413574.4</v>
      </c>
      <c r="F8" s="239"/>
      <c r="G8" s="239"/>
      <c r="H8" s="239"/>
      <c r="I8" s="245">
        <f t="shared" si="3"/>
        <v>21215</v>
      </c>
      <c r="J8" s="246">
        <f t="shared" si="4"/>
        <v>16278.30071</v>
      </c>
      <c r="K8" s="246">
        <f t="shared" si="5"/>
        <v>345344149.7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199">
        <v>5.0</v>
      </c>
      <c r="B9" s="209">
        <v>45154.0</v>
      </c>
      <c r="C9" s="321"/>
      <c r="D9" s="240"/>
      <c r="E9" s="240"/>
      <c r="F9" s="240">
        <v>19059.5</v>
      </c>
      <c r="G9" s="240">
        <f>J8</f>
        <v>16278.30071</v>
      </c>
      <c r="H9" s="240">
        <f>F9*G9</f>
        <v>310256272.5</v>
      </c>
      <c r="I9" s="242">
        <f>I8-F9</f>
        <v>2155.5</v>
      </c>
      <c r="J9" s="243">
        <f>J8</f>
        <v>16278.30071</v>
      </c>
      <c r="K9" s="243">
        <f>K8-H9</f>
        <v>35087877.19</v>
      </c>
      <c r="L9" s="322"/>
      <c r="M9" s="323">
        <v>2.477735E8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199">
        <v>6.0</v>
      </c>
      <c r="B10" s="200">
        <f>'Yakin Pasifik Tuna'!B9</f>
        <v>45165</v>
      </c>
      <c r="C10" s="320">
        <f>SUM('Yakin Pasifik Tuna'!E9:G9)+'Yakin Pasifik Tuna'!K9</f>
        <v>3462</v>
      </c>
      <c r="D10" s="239">
        <f>'Yakin Pasifik Tuna'!V9</f>
        <v>16442.79048</v>
      </c>
      <c r="E10" s="239">
        <f t="shared" ref="E10:E11" si="6">D10*C10</f>
        <v>56924940.64</v>
      </c>
      <c r="F10" s="239"/>
      <c r="G10" s="239"/>
      <c r="H10" s="239"/>
      <c r="I10" s="245">
        <f t="shared" ref="I10:I16" si="7">I9+C10</f>
        <v>5617.5</v>
      </c>
      <c r="J10" s="246">
        <f t="shared" ref="J10:J45" si="8">K10/I10</f>
        <v>16379.67385</v>
      </c>
      <c r="K10" s="246">
        <f t="shared" ref="K10:K16" si="9">K9+E10</f>
        <v>92012817.84</v>
      </c>
      <c r="L10" s="183"/>
      <c r="M10" s="182" t="str">
        <f>M9+'[3]Persediaan &amp; HPP Cakalang PP'!L8</f>
        <v>#REF!</v>
      </c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200">
        <f>'Yakin Pasifik Tuna'!B10</f>
        <v>45167</v>
      </c>
      <c r="C11" s="320">
        <f>SUM('Yakin Pasifik Tuna'!E10:G10)+'Yakin Pasifik Tuna'!K10</f>
        <v>495</v>
      </c>
      <c r="D11" s="239">
        <f>'Yakin Pasifik Tuna'!V10</f>
        <v>16441.59292</v>
      </c>
      <c r="E11" s="239">
        <f t="shared" si="6"/>
        <v>8138588.496</v>
      </c>
      <c r="F11" s="239"/>
      <c r="G11" s="239"/>
      <c r="H11" s="239"/>
      <c r="I11" s="245">
        <f t="shared" si="7"/>
        <v>6112.5</v>
      </c>
      <c r="J11" s="246">
        <f t="shared" si="8"/>
        <v>16384.68815</v>
      </c>
      <c r="K11" s="246">
        <f t="shared" si="9"/>
        <v>100151406.3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200">
        <f>'Yakin Pasifik Tuna'!B11</f>
        <v>45169</v>
      </c>
      <c r="C12" s="320">
        <f>SUM('Yakin Pasifik Tuna'!E11:G11)+'Yakin Pasifik Tuna'!K11</f>
        <v>1774</v>
      </c>
      <c r="D12" s="239">
        <f>'Yakin Pasifik Tuna'!V9</f>
        <v>16442.79048</v>
      </c>
      <c r="E12" s="239">
        <f t="shared" ref="E12:E16" si="10">C12*D12</f>
        <v>29169510.31</v>
      </c>
      <c r="F12" s="239"/>
      <c r="G12" s="239"/>
      <c r="H12" s="239"/>
      <c r="I12" s="245">
        <f t="shared" si="7"/>
        <v>7886.5</v>
      </c>
      <c r="J12" s="246">
        <f t="shared" si="8"/>
        <v>16397.75777</v>
      </c>
      <c r="K12" s="246">
        <f t="shared" si="9"/>
        <v>129320916.6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325">
        <f>'Yakin Pasifik Tuna'!B14</f>
        <v>45170</v>
      </c>
      <c r="C13" s="320">
        <f>SUM('Yakin Pasifik Tuna'!D14:G14)</f>
        <v>6597</v>
      </c>
      <c r="D13" s="237">
        <f>'Yakin Pasifik Tuna'!V14</f>
        <v>16522.8217</v>
      </c>
      <c r="E13" s="239">
        <f t="shared" si="10"/>
        <v>109001054.8</v>
      </c>
      <c r="F13" s="239"/>
      <c r="G13" s="239"/>
      <c r="H13" s="239"/>
      <c r="I13" s="245">
        <f t="shared" si="7"/>
        <v>14483.5</v>
      </c>
      <c r="J13" s="246">
        <f t="shared" si="8"/>
        <v>16454.72237</v>
      </c>
      <c r="K13" s="246">
        <f t="shared" si="9"/>
        <v>238321971.4</v>
      </c>
    </row>
    <row r="14" ht="15.75" customHeight="1">
      <c r="A14" s="199">
        <v>10.0</v>
      </c>
      <c r="B14" s="325">
        <f>'Yakin Pasifik Tuna'!B15</f>
        <v>45171</v>
      </c>
      <c r="C14" s="320">
        <f>SUM('Yakin Pasifik Tuna'!D15:G15)</f>
        <v>2467</v>
      </c>
      <c r="D14" s="237">
        <f>'Yakin Pasifik Tuna'!V15</f>
        <v>16442.8081</v>
      </c>
      <c r="E14" s="239">
        <f t="shared" si="10"/>
        <v>40564407.59</v>
      </c>
      <c r="F14" s="237"/>
      <c r="G14" s="237"/>
      <c r="H14" s="237"/>
      <c r="I14" s="245">
        <f t="shared" si="7"/>
        <v>16950.5</v>
      </c>
      <c r="J14" s="246">
        <f t="shared" si="8"/>
        <v>16452.98835</v>
      </c>
      <c r="K14" s="246">
        <f t="shared" si="9"/>
        <v>278886379</v>
      </c>
    </row>
    <row r="15" ht="15.75" customHeight="1">
      <c r="A15" s="199">
        <v>11.0</v>
      </c>
      <c r="B15" s="325">
        <f>'Yakin Pasifik Tuna'!B16</f>
        <v>45172</v>
      </c>
      <c r="C15" s="320">
        <f>SUM('Yakin Pasifik Tuna'!D16:G16)</f>
        <v>235</v>
      </c>
      <c r="D15" s="237">
        <f>'Yakin Pasifik Tuna'!V16</f>
        <v>16444.92754</v>
      </c>
      <c r="E15" s="239">
        <f t="shared" si="10"/>
        <v>3864557.971</v>
      </c>
      <c r="F15" s="237"/>
      <c r="G15" s="237"/>
      <c r="H15" s="237"/>
      <c r="I15" s="245">
        <f t="shared" si="7"/>
        <v>17185.5</v>
      </c>
      <c r="J15" s="246">
        <f t="shared" si="8"/>
        <v>16452.87812</v>
      </c>
      <c r="K15" s="246">
        <f t="shared" si="9"/>
        <v>282750937</v>
      </c>
    </row>
    <row r="16" ht="15.75" customHeight="1">
      <c r="A16" s="199">
        <v>12.0</v>
      </c>
      <c r="B16" s="325">
        <f>'Yakin Pasifik Tuna'!B17</f>
        <v>45173</v>
      </c>
      <c r="C16" s="320">
        <f>SUM('Yakin Pasifik Tuna'!D17:G17)</f>
        <v>3751</v>
      </c>
      <c r="D16" s="237">
        <f>'Yakin Pasifik Tuna'!V17</f>
        <v>16500.48663</v>
      </c>
      <c r="E16" s="239">
        <f t="shared" si="10"/>
        <v>61893325.34</v>
      </c>
      <c r="F16" s="237"/>
      <c r="G16" s="237"/>
      <c r="H16" s="237"/>
      <c r="I16" s="245">
        <f t="shared" si="7"/>
        <v>20936.5</v>
      </c>
      <c r="J16" s="246">
        <f t="shared" si="8"/>
        <v>16461.4077</v>
      </c>
      <c r="K16" s="246">
        <f t="shared" si="9"/>
        <v>344644262.3</v>
      </c>
    </row>
    <row r="17" ht="15.75" customHeight="1">
      <c r="A17" s="199">
        <v>13.0</v>
      </c>
      <c r="B17" s="326">
        <v>45178.0</v>
      </c>
      <c r="C17" s="228"/>
      <c r="D17" s="228"/>
      <c r="E17" s="248"/>
      <c r="F17" s="248">
        <v>16720.0</v>
      </c>
      <c r="G17" s="248">
        <f t="shared" ref="G17:G18" si="11">J16</f>
        <v>16461.4077</v>
      </c>
      <c r="H17" s="240">
        <f t="shared" ref="H17:H18" si="12">F17*G17</f>
        <v>275234736.7</v>
      </c>
      <c r="I17" s="242">
        <f t="shared" ref="I17:I18" si="13">I16-F17</f>
        <v>4216.5</v>
      </c>
      <c r="J17" s="248">
        <f t="shared" si="8"/>
        <v>16461.4077</v>
      </c>
      <c r="K17" s="248">
        <f t="shared" ref="K17:K18" si="14">K16-H17</f>
        <v>69409525.56</v>
      </c>
      <c r="L17" s="220">
        <f>H17+'Persediaan &amp; HPP Ca PP YPT '!H17</f>
        <v>307822404.5</v>
      </c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ht="15.75" customHeight="1">
      <c r="A18" s="199">
        <v>14.0</v>
      </c>
      <c r="B18" s="326">
        <v>45191.0</v>
      </c>
      <c r="C18" s="228"/>
      <c r="D18" s="228"/>
      <c r="E18" s="248"/>
      <c r="F18" s="248">
        <v>3775.8</v>
      </c>
      <c r="G18" s="248">
        <f t="shared" si="11"/>
        <v>16461.4077</v>
      </c>
      <c r="H18" s="240">
        <f t="shared" si="12"/>
        <v>62154983.19</v>
      </c>
      <c r="I18" s="242">
        <f t="shared" si="13"/>
        <v>440.7</v>
      </c>
      <c r="J18" s="248">
        <f t="shared" si="8"/>
        <v>16461.4077</v>
      </c>
      <c r="K18" s="248">
        <f t="shared" si="14"/>
        <v>7254542.373</v>
      </c>
      <c r="L18" s="220">
        <f>H18+'Persediaan &amp; HPP Ca PP YPT '!H18</f>
        <v>74290756</v>
      </c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199">
        <v>15.0</v>
      </c>
      <c r="B19" s="325">
        <f>'Yakin Pasifik Tuna'!B18</f>
        <v>45195</v>
      </c>
      <c r="C19" s="237">
        <f>SUM('Yakin Pasifik Tuna'!D18:G18)</f>
        <v>818</v>
      </c>
      <c r="D19" s="237">
        <f>'Yakin Pasifik Tuna'!V18</f>
        <v>16442.71357</v>
      </c>
      <c r="E19" s="237">
        <f t="shared" ref="E19:E30" si="15">C19*D19</f>
        <v>13450139.7</v>
      </c>
      <c r="F19" s="237"/>
      <c r="G19" s="237"/>
      <c r="H19" s="237"/>
      <c r="I19" s="335">
        <f t="shared" ref="I19:I30" si="16">I18+C19</f>
        <v>1258.7</v>
      </c>
      <c r="J19" s="237">
        <f t="shared" si="8"/>
        <v>16449.25882</v>
      </c>
      <c r="K19" s="237">
        <f t="shared" ref="K19:K30" si="17">K18+E19</f>
        <v>20704682.07</v>
      </c>
    </row>
    <row r="20" ht="15.75" customHeight="1">
      <c r="A20" s="199">
        <v>16.0</v>
      </c>
      <c r="B20" s="325">
        <f>'Yakin Pasifik Tuna'!B19</f>
        <v>45197</v>
      </c>
      <c r="C20" s="237">
        <f>SUM('Yakin Pasifik Tuna'!D19:G19)</f>
        <v>1309</v>
      </c>
      <c r="D20" s="237">
        <f>'Yakin Pasifik Tuna'!V19</f>
        <v>16442.11886</v>
      </c>
      <c r="E20" s="237">
        <f t="shared" si="15"/>
        <v>21522733.59</v>
      </c>
      <c r="F20" s="237"/>
      <c r="G20" s="237"/>
      <c r="H20" s="237"/>
      <c r="I20" s="335">
        <f t="shared" si="16"/>
        <v>2567.7</v>
      </c>
      <c r="J20" s="237">
        <f t="shared" si="8"/>
        <v>16445.61891</v>
      </c>
      <c r="K20" s="237">
        <f t="shared" si="17"/>
        <v>42227415.66</v>
      </c>
    </row>
    <row r="21" ht="15.75" customHeight="1">
      <c r="A21" s="199">
        <v>17.0</v>
      </c>
      <c r="B21" s="325">
        <f>'Yakin Pasifik Tuna'!B20</f>
        <v>45199</v>
      </c>
      <c r="C21" s="237">
        <f>SUM('Yakin Pasifik Tuna'!D20:G20)</f>
        <v>2250</v>
      </c>
      <c r="D21" s="237">
        <f>'Yakin Pasifik Tuna'!V20</f>
        <v>16443.16305</v>
      </c>
      <c r="E21" s="237">
        <f t="shared" si="15"/>
        <v>36997116.86</v>
      </c>
      <c r="F21" s="237"/>
      <c r="G21" s="237"/>
      <c r="H21" s="237"/>
      <c r="I21" s="335">
        <f t="shared" si="16"/>
        <v>4817.7</v>
      </c>
      <c r="J21" s="237">
        <f t="shared" si="8"/>
        <v>16444.47195</v>
      </c>
      <c r="K21" s="237">
        <f t="shared" si="17"/>
        <v>79224532.52</v>
      </c>
      <c r="L21" s="124">
        <f>SUM(H17:H18)</f>
        <v>337389719.9</v>
      </c>
    </row>
    <row r="22" ht="15.75" customHeight="1">
      <c r="A22" s="199">
        <v>18.0</v>
      </c>
      <c r="B22" s="126">
        <v>45200.0</v>
      </c>
      <c r="C22" s="237">
        <f>SUM('Yakin Pasifik Tuna'!D23:G23)</f>
        <v>855</v>
      </c>
      <c r="D22" s="237">
        <f>'Yakin Pasifik Tuna'!V23</f>
        <v>16441.53328</v>
      </c>
      <c r="E22" s="237">
        <f t="shared" si="15"/>
        <v>14057510.95</v>
      </c>
      <c r="F22" s="237"/>
      <c r="G22" s="237"/>
      <c r="H22" s="237"/>
      <c r="I22" s="335">
        <f t="shared" si="16"/>
        <v>5672.7</v>
      </c>
      <c r="J22" s="237">
        <f t="shared" si="8"/>
        <v>16444.02903</v>
      </c>
      <c r="K22" s="237">
        <f t="shared" si="17"/>
        <v>93282043.47</v>
      </c>
    </row>
    <row r="23" ht="15.75" customHeight="1">
      <c r="A23" s="199">
        <v>19.0</v>
      </c>
      <c r="B23" s="126">
        <v>45202.0</v>
      </c>
      <c r="C23" s="237">
        <f>SUM('Yakin Pasifik Tuna'!D24:G24)</f>
        <v>4470</v>
      </c>
      <c r="D23" s="237">
        <f>'Yakin Pasifik Tuna'!V24</f>
        <v>16442.18972</v>
      </c>
      <c r="E23" s="237">
        <f t="shared" si="15"/>
        <v>73496588.06</v>
      </c>
      <c r="F23" s="237"/>
      <c r="G23" s="237"/>
      <c r="H23" s="237"/>
      <c r="I23" s="335">
        <f t="shared" si="16"/>
        <v>10142.7</v>
      </c>
      <c r="J23" s="237">
        <f t="shared" si="8"/>
        <v>16443.21843</v>
      </c>
      <c r="K23" s="237">
        <f t="shared" si="17"/>
        <v>166778631.5</v>
      </c>
    </row>
    <row r="24" ht="15.75" customHeight="1">
      <c r="A24" s="199">
        <v>20.0</v>
      </c>
      <c r="B24" s="126">
        <v>45203.0</v>
      </c>
      <c r="C24" s="237">
        <f>SUM('Yakin Pasifik Tuna'!D25:G25)</f>
        <v>2975</v>
      </c>
      <c r="D24" s="237">
        <f>'Yakin Pasifik Tuna'!V25</f>
        <v>16444.45828</v>
      </c>
      <c r="E24" s="237">
        <f t="shared" si="15"/>
        <v>48922263.39</v>
      </c>
      <c r="F24" s="237"/>
      <c r="G24" s="237"/>
      <c r="H24" s="237"/>
      <c r="I24" s="335">
        <f t="shared" si="16"/>
        <v>13117.7</v>
      </c>
      <c r="J24" s="237">
        <f t="shared" si="8"/>
        <v>16443.49962</v>
      </c>
      <c r="K24" s="237">
        <f t="shared" si="17"/>
        <v>215700894.9</v>
      </c>
    </row>
    <row r="25" ht="15.75" customHeight="1">
      <c r="A25" s="199">
        <v>21.0</v>
      </c>
      <c r="B25" s="126">
        <v>45204.0</v>
      </c>
      <c r="C25" s="237">
        <f>SUM('Yakin Pasifik Tuna'!D26:G26)</f>
        <v>419</v>
      </c>
      <c r="D25" s="237">
        <f>'Yakin Pasifik Tuna'!V26</f>
        <v>16446.66667</v>
      </c>
      <c r="E25" s="237">
        <f t="shared" si="15"/>
        <v>6891153.333</v>
      </c>
      <c r="F25" s="237"/>
      <c r="G25" s="237"/>
      <c r="H25" s="237"/>
      <c r="I25" s="335">
        <f t="shared" si="16"/>
        <v>13536.7</v>
      </c>
      <c r="J25" s="237">
        <f t="shared" si="8"/>
        <v>16443.59765</v>
      </c>
      <c r="K25" s="237">
        <f t="shared" si="17"/>
        <v>222592048.2</v>
      </c>
    </row>
    <row r="26" ht="15.75" customHeight="1">
      <c r="A26" s="199">
        <v>22.0</v>
      </c>
      <c r="B26" s="126">
        <v>45207.0</v>
      </c>
      <c r="C26" s="237">
        <f>SUM('Yakin Pasifik Tuna'!D27:G27)</f>
        <v>4315</v>
      </c>
      <c r="D26" s="237">
        <f>'Yakin Pasifik Tuna'!V27</f>
        <v>16294.68513</v>
      </c>
      <c r="E26" s="237">
        <f t="shared" si="15"/>
        <v>70311566.36</v>
      </c>
      <c r="F26" s="237"/>
      <c r="G26" s="237"/>
      <c r="H26" s="237"/>
      <c r="I26" s="335">
        <f t="shared" si="16"/>
        <v>17851.7</v>
      </c>
      <c r="J26" s="237">
        <f t="shared" si="8"/>
        <v>16407.60346</v>
      </c>
      <c r="K26" s="237">
        <f t="shared" si="17"/>
        <v>292903614.6</v>
      </c>
    </row>
    <row r="27" ht="15.75" customHeight="1">
      <c r="A27" s="199">
        <v>23.0</v>
      </c>
      <c r="B27" s="126">
        <v>45208.0</v>
      </c>
      <c r="C27" s="237">
        <f>SUM('Yakin Pasifik Tuna'!D28:G28)</f>
        <v>4502</v>
      </c>
      <c r="D27" s="237">
        <f>'Yakin Pasifik Tuna'!V28</f>
        <v>16285.4025</v>
      </c>
      <c r="E27" s="237">
        <f t="shared" si="15"/>
        <v>73316882.04</v>
      </c>
      <c r="F27" s="237"/>
      <c r="G27" s="237"/>
      <c r="H27" s="237"/>
      <c r="I27" s="335">
        <f t="shared" si="16"/>
        <v>22353.7</v>
      </c>
      <c r="J27" s="237">
        <f t="shared" si="8"/>
        <v>16382.99237</v>
      </c>
      <c r="K27" s="237">
        <f t="shared" si="17"/>
        <v>366220496.6</v>
      </c>
    </row>
    <row r="28" ht="15.75" customHeight="1">
      <c r="A28" s="199">
        <v>24.0</v>
      </c>
      <c r="B28" s="126">
        <v>45209.0</v>
      </c>
      <c r="C28" s="237">
        <f>SUM('Yakin Pasifik Tuna'!D29:G29)</f>
        <v>5257</v>
      </c>
      <c r="D28" s="237">
        <f>'Yakin Pasifik Tuna'!V29</f>
        <v>16281.14937</v>
      </c>
      <c r="E28" s="237">
        <f t="shared" si="15"/>
        <v>85590002.25</v>
      </c>
      <c r="F28" s="237"/>
      <c r="G28" s="237"/>
      <c r="H28" s="237"/>
      <c r="I28" s="335">
        <f t="shared" si="16"/>
        <v>27610.7</v>
      </c>
      <c r="J28" s="237">
        <f t="shared" si="8"/>
        <v>16363.60175</v>
      </c>
      <c r="K28" s="237">
        <f t="shared" si="17"/>
        <v>451810498.9</v>
      </c>
    </row>
    <row r="29" ht="15.75" customHeight="1">
      <c r="A29" s="199">
        <v>25.0</v>
      </c>
      <c r="B29" s="126">
        <v>45210.0</v>
      </c>
      <c r="C29" s="237">
        <f>SUM('Yakin Pasifik Tuna'!D30:G30)</f>
        <v>5804</v>
      </c>
      <c r="D29" s="237">
        <f>'Yakin Pasifik Tuna'!V30</f>
        <v>16279.43689</v>
      </c>
      <c r="E29" s="237">
        <f t="shared" si="15"/>
        <v>94485851.73</v>
      </c>
      <c r="F29" s="237"/>
      <c r="G29" s="237"/>
      <c r="H29" s="237"/>
      <c r="I29" s="335">
        <f t="shared" si="16"/>
        <v>33414.7</v>
      </c>
      <c r="J29" s="237">
        <f t="shared" si="8"/>
        <v>16348.98265</v>
      </c>
      <c r="K29" s="237">
        <f t="shared" si="17"/>
        <v>546296350.6</v>
      </c>
    </row>
    <row r="30" ht="15.75" customHeight="1">
      <c r="A30" s="199">
        <v>26.0</v>
      </c>
      <c r="B30" s="126">
        <v>45211.0</v>
      </c>
      <c r="C30" s="237">
        <f>SUM('Yakin Pasifik Tuna'!D31:G31)</f>
        <v>5390</v>
      </c>
      <c r="D30" s="237">
        <f>'Yakin Pasifik Tuna'!V31</f>
        <v>15780.79796</v>
      </c>
      <c r="E30" s="237">
        <f t="shared" si="15"/>
        <v>85058500.99</v>
      </c>
      <c r="F30" s="237"/>
      <c r="G30" s="237"/>
      <c r="H30" s="237"/>
      <c r="I30" s="335">
        <f t="shared" si="16"/>
        <v>38804.7</v>
      </c>
      <c r="J30" s="237">
        <f t="shared" si="8"/>
        <v>16270.0614</v>
      </c>
      <c r="K30" s="237">
        <f t="shared" si="17"/>
        <v>631354851.6</v>
      </c>
    </row>
    <row r="31" ht="15.75" customHeight="1">
      <c r="A31" s="199">
        <v>27.0</v>
      </c>
      <c r="B31" s="329">
        <v>45212.0</v>
      </c>
      <c r="C31" s="228"/>
      <c r="D31" s="228"/>
      <c r="E31" s="248"/>
      <c r="F31" s="248">
        <v>9550.0</v>
      </c>
      <c r="G31" s="248">
        <f>J30</f>
        <v>16270.0614</v>
      </c>
      <c r="H31" s="248">
        <f>F31*G31</f>
        <v>155379086.4</v>
      </c>
      <c r="I31" s="242">
        <f>I30-F31</f>
        <v>29254.7</v>
      </c>
      <c r="J31" s="248">
        <f t="shared" si="8"/>
        <v>16270.0614</v>
      </c>
      <c r="K31" s="248">
        <f>K30-H31</f>
        <v>475975765.2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ht="15.75" customHeight="1">
      <c r="A32" s="199">
        <v>28.0</v>
      </c>
      <c r="B32" s="143">
        <v>45212.0</v>
      </c>
      <c r="C32" s="237">
        <f>SUM('Yakin Pasifik Tuna'!D32:G32)</f>
        <v>5479</v>
      </c>
      <c r="D32" s="237">
        <f>'Yakin Pasifik Tuna'!V32</f>
        <v>15784.48487</v>
      </c>
      <c r="E32" s="237">
        <f t="shared" ref="E32:E42" si="18">C32*D32</f>
        <v>86483192.63</v>
      </c>
      <c r="F32" s="237"/>
      <c r="G32" s="237"/>
      <c r="H32" s="237"/>
      <c r="I32" s="335">
        <f t="shared" ref="I32:I35" si="19">I31+C32</f>
        <v>34733.7</v>
      </c>
      <c r="J32" s="237">
        <f t="shared" si="8"/>
        <v>16193.46507</v>
      </c>
      <c r="K32" s="237">
        <f t="shared" ref="K32:K35" si="20">K31+E32</f>
        <v>562458957.9</v>
      </c>
    </row>
    <row r="33" ht="15.75" customHeight="1">
      <c r="A33" s="199">
        <v>29.0</v>
      </c>
      <c r="B33" s="126">
        <v>45213.0</v>
      </c>
      <c r="C33" s="237">
        <f>SUM('Yakin Pasifik Tuna'!D33:G33)</f>
        <v>4007</v>
      </c>
      <c r="D33" s="237">
        <f>'Yakin Pasifik Tuna'!V33</f>
        <v>15780.38985</v>
      </c>
      <c r="E33" s="237">
        <f t="shared" si="18"/>
        <v>63232022.15</v>
      </c>
      <c r="F33" s="237"/>
      <c r="G33" s="237"/>
      <c r="H33" s="237"/>
      <c r="I33" s="335">
        <f t="shared" si="19"/>
        <v>38740.7</v>
      </c>
      <c r="J33" s="237">
        <f t="shared" si="8"/>
        <v>16150.74018</v>
      </c>
      <c r="K33" s="237">
        <f t="shared" si="20"/>
        <v>625690980</v>
      </c>
    </row>
    <row r="34" ht="15.75" customHeight="1">
      <c r="A34" s="199">
        <v>30.0</v>
      </c>
      <c r="B34" s="126">
        <v>45216.0</v>
      </c>
      <c r="C34" s="237">
        <f>SUM('Yakin Pasifik Tuna'!D34:G34)</f>
        <v>2773</v>
      </c>
      <c r="D34" s="237">
        <f>'Yakin Pasifik Tuna'!V34</f>
        <v>15783.38575</v>
      </c>
      <c r="E34" s="237">
        <f t="shared" si="18"/>
        <v>43767328.68</v>
      </c>
      <c r="F34" s="237"/>
      <c r="G34" s="237"/>
      <c r="H34" s="237"/>
      <c r="I34" s="335">
        <f t="shared" si="19"/>
        <v>41513.7</v>
      </c>
      <c r="J34" s="237">
        <f t="shared" si="8"/>
        <v>16126.20192</v>
      </c>
      <c r="K34" s="237">
        <f t="shared" si="20"/>
        <v>669458308.7</v>
      </c>
    </row>
    <row r="35" ht="15.75" customHeight="1">
      <c r="A35" s="199">
        <v>31.0</v>
      </c>
      <c r="B35" s="126">
        <v>45217.0</v>
      </c>
      <c r="C35" s="237">
        <f>SUM('Yakin Pasifik Tuna'!D35:G35)</f>
        <v>1981</v>
      </c>
      <c r="D35" s="237">
        <f>'Yakin Pasifik Tuna'!V35</f>
        <v>15789.93315</v>
      </c>
      <c r="E35" s="237">
        <f t="shared" si="18"/>
        <v>31279857.57</v>
      </c>
      <c r="F35" s="237"/>
      <c r="G35" s="237"/>
      <c r="H35" s="237"/>
      <c r="I35" s="335">
        <f t="shared" si="19"/>
        <v>43494.7</v>
      </c>
      <c r="J35" s="237">
        <f t="shared" si="8"/>
        <v>16110.8863</v>
      </c>
      <c r="K35" s="237">
        <f t="shared" si="20"/>
        <v>700738166.3</v>
      </c>
    </row>
    <row r="36" ht="15.75" customHeight="1">
      <c r="A36" s="199">
        <v>32.0</v>
      </c>
      <c r="B36" s="329">
        <v>45219.0</v>
      </c>
      <c r="C36" s="228"/>
      <c r="D36" s="228"/>
      <c r="E36" s="248">
        <f t="shared" si="18"/>
        <v>0</v>
      </c>
      <c r="F36" s="248">
        <v>17430.0</v>
      </c>
      <c r="G36" s="248">
        <f>J35</f>
        <v>16110.8863</v>
      </c>
      <c r="H36" s="248">
        <f t="shared" ref="H36:H38" si="21">F36*G36</f>
        <v>280812748.2</v>
      </c>
      <c r="I36" s="242">
        <f>I35-F36</f>
        <v>26064.7</v>
      </c>
      <c r="J36" s="248">
        <f t="shared" si="8"/>
        <v>16110.8863</v>
      </c>
      <c r="K36" s="248">
        <f>K35-H36</f>
        <v>419925418.1</v>
      </c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199">
        <v>33.0</v>
      </c>
      <c r="B37" s="126">
        <v>45220.0</v>
      </c>
      <c r="C37" s="237">
        <f>SUM('Yakin Pasifik Tuna'!D36:G36)</f>
        <v>3258</v>
      </c>
      <c r="D37" s="237">
        <f>'Yakin Pasifik Tuna'!V36</f>
        <v>16290.53207</v>
      </c>
      <c r="E37" s="237">
        <f t="shared" si="18"/>
        <v>53074553.47</v>
      </c>
      <c r="F37" s="237"/>
      <c r="G37" s="237"/>
      <c r="H37" s="330">
        <f t="shared" si="21"/>
        <v>0</v>
      </c>
      <c r="I37" s="335">
        <f>I36+C37</f>
        <v>29322.7</v>
      </c>
      <c r="J37" s="237">
        <f t="shared" si="8"/>
        <v>16130.84646</v>
      </c>
      <c r="K37" s="237">
        <f>K36+E37</f>
        <v>472999971.6</v>
      </c>
    </row>
    <row r="38" ht="15.75" customHeight="1">
      <c r="A38" s="199">
        <v>34.0</v>
      </c>
      <c r="B38" s="329">
        <v>45221.0</v>
      </c>
      <c r="C38" s="228"/>
      <c r="D38" s="228"/>
      <c r="E38" s="248">
        <f t="shared" si="18"/>
        <v>0</v>
      </c>
      <c r="F38" s="248">
        <v>8800.0</v>
      </c>
      <c r="G38" s="248">
        <f>J37</f>
        <v>16130.84646</v>
      </c>
      <c r="H38" s="248">
        <f t="shared" si="21"/>
        <v>141951448.9</v>
      </c>
      <c r="I38" s="242">
        <f>I37-F38</f>
        <v>20522.7</v>
      </c>
      <c r="J38" s="331">
        <f t="shared" si="8"/>
        <v>16130.84646</v>
      </c>
      <c r="K38" s="248">
        <f>K37-H38</f>
        <v>331048522.7</v>
      </c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ht="15.75" customHeight="1">
      <c r="A39" s="199">
        <v>35.0</v>
      </c>
      <c r="B39" s="126">
        <v>45223.0</v>
      </c>
      <c r="C39" s="237">
        <f>SUM('Yakin Pasifik Tuna'!D37:G37)</f>
        <v>9376</v>
      </c>
      <c r="D39" s="237">
        <f>'Yakin Pasifik Tuna'!V37</f>
        <v>16085.48627</v>
      </c>
      <c r="E39" s="237">
        <f t="shared" si="18"/>
        <v>150817519.3</v>
      </c>
      <c r="F39" s="237"/>
      <c r="G39" s="237"/>
      <c r="H39" s="237"/>
      <c r="I39" s="335">
        <f t="shared" ref="I39:I42" si="22">I38+C39</f>
        <v>29898.7</v>
      </c>
      <c r="J39" s="330">
        <f t="shared" si="8"/>
        <v>16116.62186</v>
      </c>
      <c r="K39" s="237">
        <f t="shared" ref="K39:K42" si="23">K38+E39</f>
        <v>481866041.9</v>
      </c>
    </row>
    <row r="40" ht="15.75" customHeight="1">
      <c r="A40" s="199">
        <v>36.0</v>
      </c>
      <c r="B40" s="126">
        <v>45225.0</v>
      </c>
      <c r="C40" s="237">
        <f>SUM('Yakin Pasifik Tuna'!D38:G38)</f>
        <v>2538</v>
      </c>
      <c r="D40" s="237">
        <f>'Yakin Pasifik Tuna'!V38</f>
        <v>16154.04232</v>
      </c>
      <c r="E40" s="237">
        <f t="shared" si="18"/>
        <v>40998959.41</v>
      </c>
      <c r="F40" s="237"/>
      <c r="G40" s="237"/>
      <c r="H40" s="237"/>
      <c r="I40" s="335">
        <f t="shared" si="22"/>
        <v>32436.7</v>
      </c>
      <c r="J40" s="330">
        <f t="shared" si="8"/>
        <v>16119.54981</v>
      </c>
      <c r="K40" s="237">
        <f t="shared" si="23"/>
        <v>522865001.4</v>
      </c>
    </row>
    <row r="41" ht="15.75" customHeight="1">
      <c r="A41" s="199">
        <v>37.0</v>
      </c>
      <c r="B41" s="126">
        <v>45227.0</v>
      </c>
      <c r="C41" s="237">
        <f>SUM('Yakin Pasifik Tuna'!D39:G39)</f>
        <v>2567</v>
      </c>
      <c r="D41" s="237">
        <f>'Yakin Pasifik Tuna'!V39</f>
        <v>15994.53787</v>
      </c>
      <c r="E41" s="237">
        <f t="shared" si="18"/>
        <v>41057978.72</v>
      </c>
      <c r="F41" s="237"/>
      <c r="G41" s="237"/>
      <c r="H41" s="237"/>
      <c r="I41" s="335">
        <f t="shared" si="22"/>
        <v>35003.7</v>
      </c>
      <c r="J41" s="330">
        <f t="shared" si="8"/>
        <v>16110.38205</v>
      </c>
      <c r="K41" s="237">
        <f t="shared" si="23"/>
        <v>563922980.1</v>
      </c>
    </row>
    <row r="42" ht="15.75" customHeight="1">
      <c r="A42" s="199">
        <v>38.0</v>
      </c>
      <c r="B42" s="126">
        <v>45228.0</v>
      </c>
      <c r="C42" s="237">
        <f>SUM('Yakin Pasifik Tuna'!D40:G40)</f>
        <v>5455</v>
      </c>
      <c r="D42" s="237">
        <f>'Yakin Pasifik Tuna'!V40</f>
        <v>15278.68352</v>
      </c>
      <c r="E42" s="237">
        <f t="shared" si="18"/>
        <v>83345218.61</v>
      </c>
      <c r="F42" s="237"/>
      <c r="G42" s="237"/>
      <c r="H42" s="237"/>
      <c r="I42" s="335">
        <f t="shared" si="22"/>
        <v>40458.7</v>
      </c>
      <c r="J42" s="330">
        <f t="shared" si="8"/>
        <v>15998.24509</v>
      </c>
      <c r="K42" s="237">
        <f t="shared" si="23"/>
        <v>647268198.7</v>
      </c>
    </row>
    <row r="43" ht="15.75" customHeight="1">
      <c r="A43" s="208">
        <v>39.0</v>
      </c>
      <c r="B43" s="332">
        <v>45254.0</v>
      </c>
      <c r="C43" s="228"/>
      <c r="D43" s="228"/>
      <c r="E43" s="248"/>
      <c r="F43" s="248">
        <v>18990.0</v>
      </c>
      <c r="G43" s="248">
        <f>J42</f>
        <v>15998.24509</v>
      </c>
      <c r="H43" s="248">
        <f>F43*G43</f>
        <v>303806674.3</v>
      </c>
      <c r="I43" s="242">
        <f>I42-F43</f>
        <v>21468.7</v>
      </c>
      <c r="J43" s="248">
        <f t="shared" si="8"/>
        <v>15998.24509</v>
      </c>
      <c r="K43" s="248">
        <f>K42-H43</f>
        <v>343461524.4</v>
      </c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199">
        <v>40.0</v>
      </c>
      <c r="B44" s="333">
        <f>'Yakin Pasifik Tuna'!B43</f>
        <v>45259</v>
      </c>
      <c r="C44" s="237">
        <f>SUM('Yakin Pasifik Tuna'!D43:G43)</f>
        <v>1214</v>
      </c>
      <c r="D44" s="237">
        <f>'Yakin Pasifik Tuna'!V43</f>
        <v>14788.35115</v>
      </c>
      <c r="E44" s="237">
        <f t="shared" ref="E44:E45" si="24">C44*D44</f>
        <v>17953058.29</v>
      </c>
      <c r="F44" s="237"/>
      <c r="G44" s="237"/>
      <c r="H44" s="237"/>
      <c r="I44" s="335">
        <f t="shared" ref="I44:I45" si="25">I43+C44</f>
        <v>22682.7</v>
      </c>
      <c r="J44" s="237">
        <f t="shared" si="8"/>
        <v>15933.4904</v>
      </c>
      <c r="K44" s="237">
        <f t="shared" ref="K44:K45" si="26">K43+E44</f>
        <v>361414582.7</v>
      </c>
    </row>
    <row r="45" ht="15.75" customHeight="1">
      <c r="A45" s="199">
        <v>40.0</v>
      </c>
      <c r="B45" s="333">
        <f>'Yakin Pasifik Tuna'!B44</f>
        <v>45260</v>
      </c>
      <c r="C45" s="237">
        <f>SUM('Yakin Pasifik Tuna'!D44:G44)</f>
        <v>1887</v>
      </c>
      <c r="D45" s="237">
        <f>'Yakin Pasifik Tuna'!V44</f>
        <v>15291.77283</v>
      </c>
      <c r="E45" s="237">
        <f t="shared" si="24"/>
        <v>28855575.34</v>
      </c>
      <c r="F45" s="237"/>
      <c r="G45" s="237"/>
      <c r="H45" s="237"/>
      <c r="I45" s="335">
        <f t="shared" si="25"/>
        <v>24569.7</v>
      </c>
      <c r="J45" s="237">
        <f t="shared" si="8"/>
        <v>15884.20526</v>
      </c>
      <c r="K45" s="237">
        <f t="shared" si="26"/>
        <v>390270158</v>
      </c>
    </row>
    <row r="46" ht="15.75" customHeight="1">
      <c r="A46" s="199">
        <v>40.0</v>
      </c>
      <c r="B46" s="336"/>
      <c r="C46" s="337"/>
      <c r="D46" s="337"/>
      <c r="E46" s="338"/>
      <c r="F46" s="338"/>
      <c r="G46" s="338"/>
      <c r="H46" s="338"/>
      <c r="I46" s="338">
        <f>I45-'Persediaan &amp; HPP DH A-B YPT '!I46</f>
        <v>19063.7</v>
      </c>
      <c r="J46" s="338">
        <f>J45</f>
        <v>15884.20526</v>
      </c>
      <c r="K46" s="338">
        <f>I46*J46</f>
        <v>302811723.9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ht="15.75" customHeight="1">
      <c r="A47" s="199">
        <v>40.0</v>
      </c>
      <c r="B47" s="333">
        <f>'Yakin Pasifik Tuna'!B49</f>
        <v>45266</v>
      </c>
      <c r="C47" s="237">
        <f>SUM('Yakin Pasifik Tuna'!D49:F49)</f>
        <v>2502.9</v>
      </c>
      <c r="D47" s="237">
        <f>'Yakin Pasifik Tuna'!V49</f>
        <v>15635.75974</v>
      </c>
      <c r="E47" s="237">
        <f t="shared" ref="E47:E51" si="27">C47*D47</f>
        <v>39134743.06</v>
      </c>
      <c r="F47" s="237"/>
      <c r="G47" s="237"/>
      <c r="H47" s="237"/>
      <c r="I47" s="237">
        <f t="shared" ref="I47:I51" si="28">I46+C47</f>
        <v>21566.6</v>
      </c>
      <c r="J47" s="237">
        <f t="shared" ref="J47:J76" si="29">K47/I47</f>
        <v>15855.37205</v>
      </c>
      <c r="K47" s="237">
        <f t="shared" ref="K47:K51" si="30">K46+E47</f>
        <v>341946466.9</v>
      </c>
    </row>
    <row r="48" ht="15.75" customHeight="1">
      <c r="A48" s="199">
        <v>40.0</v>
      </c>
      <c r="B48" s="333">
        <f>'Yakin Pasifik Tuna'!B50</f>
        <v>45267</v>
      </c>
      <c r="C48" s="237">
        <f>142+263</f>
        <v>405</v>
      </c>
      <c r="D48" s="237">
        <f>'Yakin Pasifik Tuna'!V50</f>
        <v>14268.48397</v>
      </c>
      <c r="E48" s="237">
        <f t="shared" si="27"/>
        <v>5778736.008</v>
      </c>
      <c r="F48" s="237"/>
      <c r="G48" s="237"/>
      <c r="H48" s="237"/>
      <c r="I48" s="237">
        <f t="shared" si="28"/>
        <v>21971.6</v>
      </c>
      <c r="J48" s="237">
        <f t="shared" si="29"/>
        <v>15826.12113</v>
      </c>
      <c r="K48" s="237">
        <f t="shared" si="30"/>
        <v>347725202.9</v>
      </c>
    </row>
    <row r="49" ht="15.75" customHeight="1">
      <c r="A49" s="199">
        <v>40.0</v>
      </c>
      <c r="B49" s="333">
        <f>'Yakin Pasifik Tuna'!B51</f>
        <v>45269</v>
      </c>
      <c r="C49" s="237">
        <f>125+145</f>
        <v>270</v>
      </c>
      <c r="D49" s="237">
        <f>'Yakin Pasifik Tuna'!V51</f>
        <v>14853.02707</v>
      </c>
      <c r="E49" s="237">
        <f t="shared" si="27"/>
        <v>4010317.308</v>
      </c>
      <c r="F49" s="237"/>
      <c r="G49" s="237"/>
      <c r="H49" s="237"/>
      <c r="I49" s="237">
        <f t="shared" si="28"/>
        <v>22241.6</v>
      </c>
      <c r="J49" s="237">
        <f t="shared" si="29"/>
        <v>15814.30833</v>
      </c>
      <c r="K49" s="237">
        <f t="shared" si="30"/>
        <v>351735520.2</v>
      </c>
    </row>
    <row r="50" ht="15.75" customHeight="1">
      <c r="A50" s="199">
        <v>40.0</v>
      </c>
      <c r="B50" s="333">
        <f>'Yakin Pasifik Tuna'!B52</f>
        <v>45270</v>
      </c>
      <c r="C50" s="237">
        <f>1135+2705</f>
        <v>3840</v>
      </c>
      <c r="D50" s="237">
        <f>'Yakin Pasifik Tuna'!V52</f>
        <v>14076.10152</v>
      </c>
      <c r="E50" s="237">
        <f t="shared" si="27"/>
        <v>54052229.82</v>
      </c>
      <c r="F50" s="237"/>
      <c r="G50" s="237"/>
      <c r="H50" s="237"/>
      <c r="I50" s="237">
        <f t="shared" si="28"/>
        <v>26081.6</v>
      </c>
      <c r="J50" s="237">
        <f t="shared" si="29"/>
        <v>15558.39174</v>
      </c>
      <c r="K50" s="237">
        <f t="shared" si="30"/>
        <v>405787750</v>
      </c>
    </row>
    <row r="51" ht="15.75" customHeight="1">
      <c r="A51" s="199">
        <v>40.0</v>
      </c>
      <c r="B51" s="333">
        <f>'Yakin Pasifik Tuna'!B53</f>
        <v>45271</v>
      </c>
      <c r="C51" s="166">
        <f>285+1513</f>
        <v>1798</v>
      </c>
      <c r="D51" s="237">
        <f>'Yakin Pasifik Tuna'!V53</f>
        <v>13641.02725</v>
      </c>
      <c r="E51" s="237">
        <f t="shared" si="27"/>
        <v>24526566.99</v>
      </c>
      <c r="F51" s="237"/>
      <c r="G51" s="237"/>
      <c r="H51" s="237"/>
      <c r="I51" s="237">
        <f t="shared" si="28"/>
        <v>27879.6</v>
      </c>
      <c r="J51" s="237">
        <f t="shared" si="29"/>
        <v>15434.73784</v>
      </c>
      <c r="K51" s="237">
        <f t="shared" si="30"/>
        <v>430314317</v>
      </c>
    </row>
    <row r="52" ht="15.75" customHeight="1">
      <c r="A52" s="199">
        <v>40.0</v>
      </c>
      <c r="B52" s="332">
        <v>45277.0</v>
      </c>
      <c r="C52" s="228"/>
      <c r="D52" s="248"/>
      <c r="E52" s="248"/>
      <c r="F52" s="248">
        <v>6570.0</v>
      </c>
      <c r="G52" s="248">
        <f>J51</f>
        <v>15434.73784</v>
      </c>
      <c r="H52" s="248">
        <f>F52*G52</f>
        <v>101406227.6</v>
      </c>
      <c r="I52" s="248">
        <f>I51-F52</f>
        <v>21309.6</v>
      </c>
      <c r="J52" s="248">
        <f t="shared" si="29"/>
        <v>15434.73784</v>
      </c>
      <c r="K52" s="248">
        <f>K51-H52</f>
        <v>328908089.4</v>
      </c>
      <c r="L52" s="220">
        <f>H52</f>
        <v>101406227.6</v>
      </c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ht="15.75" customHeight="1">
      <c r="A53" s="199">
        <v>40.0</v>
      </c>
      <c r="B53" s="333">
        <v>45278.0</v>
      </c>
      <c r="C53" s="237">
        <f>SUM('Yakin Pasifik Tuna'!D54:F54)</f>
        <v>1624.2</v>
      </c>
      <c r="D53" s="237">
        <f>'Yakin Pasifik Tuna'!V54</f>
        <v>13141.39192</v>
      </c>
      <c r="E53" s="237">
        <f t="shared" ref="E53:E76" si="31">C53*D53</f>
        <v>21344248.76</v>
      </c>
      <c r="F53" s="237"/>
      <c r="G53" s="237"/>
      <c r="H53" s="237"/>
      <c r="I53" s="237">
        <f t="shared" ref="I53:I76" si="32">I52+C53</f>
        <v>22933.8</v>
      </c>
      <c r="J53" s="237">
        <f t="shared" si="29"/>
        <v>15272.32025</v>
      </c>
      <c r="K53" s="237">
        <f t="shared" ref="K53:K76" si="33">K52+E53</f>
        <v>350252338.2</v>
      </c>
    </row>
    <row r="54" ht="15.75" customHeight="1">
      <c r="A54" s="199">
        <v>40.0</v>
      </c>
      <c r="B54" s="333">
        <v>45279.0</v>
      </c>
      <c r="C54" s="237">
        <f>SUM('Yakin Pasifik Tuna'!D55:F55)</f>
        <v>1586.1</v>
      </c>
      <c r="D54" s="237">
        <f>'Yakin Pasifik Tuna'!V55</f>
        <v>13607.25601</v>
      </c>
      <c r="E54" s="237">
        <f t="shared" si="31"/>
        <v>21582468.76</v>
      </c>
      <c r="F54" s="237"/>
      <c r="G54" s="237"/>
      <c r="H54" s="237"/>
      <c r="I54" s="237">
        <f t="shared" si="32"/>
        <v>24519.9</v>
      </c>
      <c r="J54" s="237">
        <f t="shared" si="29"/>
        <v>15164.61352</v>
      </c>
      <c r="K54" s="237">
        <f t="shared" si="33"/>
        <v>371834807</v>
      </c>
    </row>
    <row r="55" ht="15.75" customHeight="1">
      <c r="A55" s="199">
        <v>40.0</v>
      </c>
      <c r="B55" s="333">
        <v>45280.0</v>
      </c>
      <c r="C55" s="237">
        <f>SUM('Yakin Pasifik Tuna'!D56:F56)</f>
        <v>0</v>
      </c>
      <c r="D55" s="237">
        <f>'Yakin Pasifik Tuna'!V56</f>
        <v>0</v>
      </c>
      <c r="E55" s="237">
        <f t="shared" si="31"/>
        <v>0</v>
      </c>
      <c r="F55" s="237"/>
      <c r="G55" s="237"/>
      <c r="H55" s="237"/>
      <c r="I55" s="237">
        <f t="shared" si="32"/>
        <v>24519.9</v>
      </c>
      <c r="J55" s="237">
        <f t="shared" si="29"/>
        <v>15164.61352</v>
      </c>
      <c r="K55" s="237">
        <f t="shared" si="33"/>
        <v>371834807</v>
      </c>
    </row>
    <row r="56" ht="15.75" customHeight="1">
      <c r="A56" s="199">
        <v>40.0</v>
      </c>
      <c r="B56" s="333">
        <v>45281.0</v>
      </c>
      <c r="C56" s="237">
        <f>SUM('Yakin Pasifik Tuna'!D57:F57)</f>
        <v>3118</v>
      </c>
      <c r="D56" s="237">
        <f>'Yakin Pasifik Tuna'!V57</f>
        <v>14062.5969</v>
      </c>
      <c r="E56" s="237">
        <f t="shared" si="31"/>
        <v>43847177.13</v>
      </c>
      <c r="F56" s="237"/>
      <c r="G56" s="237"/>
      <c r="H56" s="237"/>
      <c r="I56" s="237">
        <f t="shared" si="32"/>
        <v>27637.9</v>
      </c>
      <c r="J56" s="237">
        <f t="shared" si="29"/>
        <v>15040.2883</v>
      </c>
      <c r="K56" s="237">
        <f t="shared" si="33"/>
        <v>415681984.1</v>
      </c>
    </row>
    <row r="57" ht="15.75" customHeight="1">
      <c r="A57" s="199">
        <v>40.0</v>
      </c>
      <c r="B57" s="333">
        <v>45282.0</v>
      </c>
      <c r="C57" s="237">
        <f>SUM('Yakin Pasifik Tuna'!D58:F58)</f>
        <v>2877</v>
      </c>
      <c r="D57" s="237">
        <f>'Yakin Pasifik Tuna'!V58</f>
        <v>12550.61507</v>
      </c>
      <c r="E57" s="237">
        <f t="shared" si="31"/>
        <v>36108119.55</v>
      </c>
      <c r="F57" s="237"/>
      <c r="G57" s="237"/>
      <c r="H57" s="237"/>
      <c r="I57" s="237">
        <f t="shared" si="32"/>
        <v>30514.9</v>
      </c>
      <c r="J57" s="237">
        <f t="shared" si="29"/>
        <v>14805.5574</v>
      </c>
      <c r="K57" s="237">
        <f t="shared" si="33"/>
        <v>451790103.6</v>
      </c>
    </row>
    <row r="58" ht="15.75" customHeight="1">
      <c r="A58" s="199">
        <v>40.0</v>
      </c>
      <c r="B58" s="333">
        <v>45283.0</v>
      </c>
      <c r="C58" s="237">
        <f>SUM('Yakin Pasifik Tuna'!D59:F59)</f>
        <v>0</v>
      </c>
      <c r="D58" s="237">
        <f>'Yakin Pasifik Tuna'!V59</f>
        <v>0</v>
      </c>
      <c r="E58" s="237">
        <f t="shared" si="31"/>
        <v>0</v>
      </c>
      <c r="F58" s="237"/>
      <c r="G58" s="237"/>
      <c r="H58" s="237"/>
      <c r="I58" s="237">
        <f t="shared" si="32"/>
        <v>30514.9</v>
      </c>
      <c r="J58" s="237">
        <f t="shared" si="29"/>
        <v>14805.5574</v>
      </c>
      <c r="K58" s="237">
        <f t="shared" si="33"/>
        <v>451790103.6</v>
      </c>
    </row>
    <row r="59" ht="15.75" customHeight="1">
      <c r="A59" s="199">
        <v>40.0</v>
      </c>
      <c r="B59" s="333">
        <v>45284.0</v>
      </c>
      <c r="C59" s="237">
        <f>SUM('Yakin Pasifik Tuna'!D60:F60)</f>
        <v>5522</v>
      </c>
      <c r="D59" s="237">
        <f>'Yakin Pasifik Tuna'!V60</f>
        <v>13431.54652</v>
      </c>
      <c r="E59" s="237">
        <f t="shared" si="31"/>
        <v>74168999.91</v>
      </c>
      <c r="F59" s="237"/>
      <c r="G59" s="237"/>
      <c r="H59" s="237"/>
      <c r="I59" s="237">
        <f t="shared" si="32"/>
        <v>36036.9</v>
      </c>
      <c r="J59" s="237">
        <f t="shared" si="29"/>
        <v>14595.01521</v>
      </c>
      <c r="K59" s="237">
        <f t="shared" si="33"/>
        <v>525959103.5</v>
      </c>
    </row>
    <row r="60" ht="15.75" customHeight="1">
      <c r="A60" s="199">
        <v>40.0</v>
      </c>
      <c r="B60" s="333">
        <v>45295.0</v>
      </c>
      <c r="C60" s="237">
        <f>SUM('Yakin Pasifik Tuna'!D65:F65)</f>
        <v>2921</v>
      </c>
      <c r="D60" s="237">
        <f>'Yakin Pasifik Tuna'!W65</f>
        <v>11278.79623</v>
      </c>
      <c r="E60" s="237">
        <f t="shared" si="31"/>
        <v>32945363.78</v>
      </c>
      <c r="F60" s="237"/>
      <c r="G60" s="237"/>
      <c r="H60" s="237"/>
      <c r="I60" s="237">
        <f t="shared" si="32"/>
        <v>38957.9</v>
      </c>
      <c r="J60" s="237">
        <f t="shared" si="29"/>
        <v>14346.3705</v>
      </c>
      <c r="K60" s="237">
        <f t="shared" si="33"/>
        <v>558904467.3</v>
      </c>
    </row>
    <row r="61" ht="15.75" customHeight="1">
      <c r="A61" s="199">
        <v>40.0</v>
      </c>
      <c r="B61" s="333">
        <v>45297.0</v>
      </c>
      <c r="C61" s="237">
        <f>SUM('Yakin Pasifik Tuna'!D66:F66)</f>
        <v>7920.2</v>
      </c>
      <c r="D61" s="237">
        <f>'Yakin Pasifik Tuna'!W66</f>
        <v>13842.20627</v>
      </c>
      <c r="E61" s="237">
        <f t="shared" si="31"/>
        <v>109633042.1</v>
      </c>
      <c r="F61" s="237"/>
      <c r="G61" s="237"/>
      <c r="H61" s="237"/>
      <c r="I61" s="237">
        <f t="shared" si="32"/>
        <v>46878.1</v>
      </c>
      <c r="J61" s="237">
        <f t="shared" si="29"/>
        <v>14261.19039</v>
      </c>
      <c r="K61" s="237">
        <f t="shared" si="33"/>
        <v>668537509.4</v>
      </c>
    </row>
    <row r="62" ht="15.75" customHeight="1">
      <c r="A62" s="199">
        <v>40.0</v>
      </c>
      <c r="B62" s="333">
        <v>45298.0</v>
      </c>
      <c r="C62" s="237">
        <f>SUM('Yakin Pasifik Tuna'!D67:F67)</f>
        <v>325.6</v>
      </c>
      <c r="D62" s="237">
        <f>'Yakin Pasifik Tuna'!W67</f>
        <v>14139.34769</v>
      </c>
      <c r="E62" s="237">
        <f t="shared" si="31"/>
        <v>4603771.607</v>
      </c>
      <c r="F62" s="237"/>
      <c r="G62" s="237"/>
      <c r="H62" s="237"/>
      <c r="I62" s="237">
        <f t="shared" si="32"/>
        <v>47203.7</v>
      </c>
      <c r="J62" s="237">
        <f t="shared" si="29"/>
        <v>14260.34995</v>
      </c>
      <c r="K62" s="237">
        <f t="shared" si="33"/>
        <v>673141281</v>
      </c>
    </row>
    <row r="63" ht="15.75" customHeight="1">
      <c r="A63" s="199">
        <v>40.0</v>
      </c>
      <c r="B63" s="333">
        <v>45300.0</v>
      </c>
      <c r="C63" s="237">
        <f>SUM('Yakin Pasifik Tuna'!D68:F68)</f>
        <v>6023.8</v>
      </c>
      <c r="D63" s="237">
        <f>'Yakin Pasifik Tuna'!W68</f>
        <v>11883.95154</v>
      </c>
      <c r="E63" s="237">
        <f t="shared" si="31"/>
        <v>71586547.28</v>
      </c>
      <c r="F63" s="237"/>
      <c r="G63" s="237"/>
      <c r="H63" s="237"/>
      <c r="I63" s="237">
        <f t="shared" si="32"/>
        <v>53227.5</v>
      </c>
      <c r="J63" s="237">
        <f t="shared" si="29"/>
        <v>13991.41099</v>
      </c>
      <c r="K63" s="237">
        <f t="shared" si="33"/>
        <v>744727828.3</v>
      </c>
    </row>
    <row r="64" ht="15.75" customHeight="1">
      <c r="A64" s="199">
        <v>40.0</v>
      </c>
      <c r="B64" s="333">
        <f>'Yakin Pasifik Tuna'!B69</f>
        <v>45301</v>
      </c>
      <c r="C64" s="237">
        <f>SUM('Yakin Pasifik Tuna'!D69:F69)</f>
        <v>0</v>
      </c>
      <c r="D64" s="237">
        <v>0.0</v>
      </c>
      <c r="E64" s="237">
        <f t="shared" si="31"/>
        <v>0</v>
      </c>
      <c r="F64" s="237"/>
      <c r="G64" s="237"/>
      <c r="H64" s="237"/>
      <c r="I64" s="237">
        <f t="shared" si="32"/>
        <v>53227.5</v>
      </c>
      <c r="J64" s="237">
        <f t="shared" si="29"/>
        <v>13991.41099</v>
      </c>
      <c r="K64" s="237">
        <f t="shared" si="33"/>
        <v>744727828.3</v>
      </c>
    </row>
    <row r="65" ht="15.75" customHeight="1">
      <c r="A65" s="199">
        <v>40.0</v>
      </c>
      <c r="B65" s="333">
        <f>'Yakin Pasifik Tuna'!B70</f>
        <v>45302</v>
      </c>
      <c r="C65" s="237">
        <f>SUM('Yakin Pasifik Tuna'!D70:F70)</f>
        <v>5003.6</v>
      </c>
      <c r="D65" s="237">
        <f>'Yakin Pasifik Tuna'!W70</f>
        <v>10593.25098</v>
      </c>
      <c r="E65" s="237">
        <f t="shared" si="31"/>
        <v>53004390.6</v>
      </c>
      <c r="F65" s="237"/>
      <c r="G65" s="237"/>
      <c r="H65" s="237"/>
      <c r="I65" s="237">
        <f t="shared" si="32"/>
        <v>58231.1</v>
      </c>
      <c r="J65" s="237">
        <f t="shared" si="29"/>
        <v>13699.41868</v>
      </c>
      <c r="K65" s="237">
        <f t="shared" si="33"/>
        <v>797732218.9</v>
      </c>
    </row>
    <row r="66" ht="15.75" customHeight="1">
      <c r="A66" s="199">
        <v>40.0</v>
      </c>
      <c r="B66" s="333">
        <f>'Yakin Pasifik Tuna'!B71</f>
        <v>45304</v>
      </c>
      <c r="C66" s="237">
        <f>SUM('Yakin Pasifik Tuna'!D71:F71)</f>
        <v>9557</v>
      </c>
      <c r="D66" s="237">
        <f>'Yakin Pasifik Tuna'!W71</f>
        <v>12334.81168</v>
      </c>
      <c r="E66" s="237">
        <f t="shared" si="31"/>
        <v>117883795.2</v>
      </c>
      <c r="F66" s="237"/>
      <c r="G66" s="237"/>
      <c r="H66" s="237"/>
      <c r="I66" s="237">
        <f t="shared" si="32"/>
        <v>67788.1</v>
      </c>
      <c r="J66" s="237">
        <f t="shared" si="29"/>
        <v>13507.03168</v>
      </c>
      <c r="K66" s="237">
        <f t="shared" si="33"/>
        <v>915616014.1</v>
      </c>
    </row>
    <row r="67" ht="15.75" customHeight="1">
      <c r="A67" s="199">
        <v>40.0</v>
      </c>
      <c r="B67" s="333">
        <f>'Yakin Pasifik Tuna'!B72</f>
        <v>45306</v>
      </c>
      <c r="C67" s="237">
        <f>SUM('Yakin Pasifik Tuna'!D72:F72)</f>
        <v>6101.1</v>
      </c>
      <c r="D67" s="237">
        <f>'Yakin Pasifik Tuna'!W72</f>
        <v>12626.63013</v>
      </c>
      <c r="E67" s="237">
        <f t="shared" si="31"/>
        <v>77036333.11</v>
      </c>
      <c r="F67" s="237"/>
      <c r="G67" s="237"/>
      <c r="H67" s="237"/>
      <c r="I67" s="237">
        <f t="shared" si="32"/>
        <v>73889.2</v>
      </c>
      <c r="J67" s="237">
        <f t="shared" si="29"/>
        <v>13434.3361</v>
      </c>
      <c r="K67" s="237">
        <f t="shared" si="33"/>
        <v>992652347.2</v>
      </c>
    </row>
    <row r="68" ht="15.75" customHeight="1">
      <c r="A68" s="199">
        <v>40.0</v>
      </c>
      <c r="B68" s="333">
        <f>'Yakin Pasifik Tuna'!B73</f>
        <v>45307</v>
      </c>
      <c r="C68" s="237">
        <f>SUM('Yakin Pasifik Tuna'!D73:F73)</f>
        <v>4561</v>
      </c>
      <c r="D68" s="237">
        <f>'Yakin Pasifik Tuna'!W73</f>
        <v>13296.97677</v>
      </c>
      <c r="E68" s="237">
        <f t="shared" si="31"/>
        <v>60647511.03</v>
      </c>
      <c r="F68" s="237"/>
      <c r="G68" s="237"/>
      <c r="H68" s="237"/>
      <c r="I68" s="237">
        <f t="shared" si="32"/>
        <v>78450.2</v>
      </c>
      <c r="J68" s="237">
        <f t="shared" si="29"/>
        <v>13426.3502</v>
      </c>
      <c r="K68" s="237">
        <f t="shared" si="33"/>
        <v>1053299858</v>
      </c>
    </row>
    <row r="69" ht="15.75" customHeight="1">
      <c r="A69" s="199">
        <v>40.0</v>
      </c>
      <c r="B69" s="333">
        <f>'Yakin Pasifik Tuna'!B74</f>
        <v>45308</v>
      </c>
      <c r="C69" s="237">
        <f>SUM('Yakin Pasifik Tuna'!D74:F74)</f>
        <v>8816</v>
      </c>
      <c r="D69" s="237">
        <f>'Yakin Pasifik Tuna'!W74</f>
        <v>13367.21343</v>
      </c>
      <c r="E69" s="237">
        <f t="shared" si="31"/>
        <v>117845353.6</v>
      </c>
      <c r="F69" s="237"/>
      <c r="G69" s="237"/>
      <c r="H69" s="237"/>
      <c r="I69" s="237">
        <f t="shared" si="32"/>
        <v>87266.2</v>
      </c>
      <c r="J69" s="237">
        <f t="shared" si="29"/>
        <v>13420.37595</v>
      </c>
      <c r="K69" s="237">
        <f t="shared" si="33"/>
        <v>1171145212</v>
      </c>
    </row>
    <row r="70" ht="15.75" customHeight="1">
      <c r="A70" s="199">
        <v>40.0</v>
      </c>
      <c r="B70" s="333">
        <f>'Yakin Pasifik Tuna'!B75</f>
        <v>45309</v>
      </c>
      <c r="C70" s="237">
        <f>SUM('Yakin Pasifik Tuna'!D75:F75)</f>
        <v>1009.5</v>
      </c>
      <c r="D70" s="237">
        <f>'Yakin Pasifik Tuna'!W75</f>
        <v>14885.31583</v>
      </c>
      <c r="E70" s="237">
        <f t="shared" si="31"/>
        <v>15026726.33</v>
      </c>
      <c r="F70" s="237"/>
      <c r="G70" s="237"/>
      <c r="H70" s="237"/>
      <c r="I70" s="237">
        <f t="shared" si="32"/>
        <v>88275.7</v>
      </c>
      <c r="J70" s="237">
        <f t="shared" si="29"/>
        <v>13437.12866</v>
      </c>
      <c r="K70" s="237">
        <f t="shared" si="33"/>
        <v>1186171938</v>
      </c>
    </row>
    <row r="71" ht="15.75" customHeight="1">
      <c r="A71" s="199">
        <v>40.0</v>
      </c>
      <c r="B71" s="333">
        <f>'Yakin Pasifik Tuna'!B76</f>
        <v>45311</v>
      </c>
      <c r="C71" s="237">
        <f>SUM('Yakin Pasifik Tuna'!D76:F76)</f>
        <v>596.6</v>
      </c>
      <c r="D71" s="237">
        <f>'Yakin Pasifik Tuna'!W76</f>
        <v>12276.47607</v>
      </c>
      <c r="E71" s="237">
        <f t="shared" si="31"/>
        <v>7324145.626</v>
      </c>
      <c r="F71" s="237"/>
      <c r="G71" s="237"/>
      <c r="H71" s="237"/>
      <c r="I71" s="237">
        <f t="shared" si="32"/>
        <v>88872.3</v>
      </c>
      <c r="J71" s="237">
        <f t="shared" si="29"/>
        <v>13429.33719</v>
      </c>
      <c r="K71" s="237">
        <f t="shared" si="33"/>
        <v>1193496084</v>
      </c>
    </row>
    <row r="72" ht="15.75" customHeight="1">
      <c r="A72" s="199">
        <v>40.0</v>
      </c>
      <c r="B72" s="333">
        <f>'Yakin Pasifik Tuna'!B77</f>
        <v>45312</v>
      </c>
      <c r="C72" s="237">
        <f>SUM('Yakin Pasifik Tuna'!D77:F77)</f>
        <v>2854</v>
      </c>
      <c r="D72" s="237">
        <f>'Yakin Pasifik Tuna'!W77</f>
        <v>11747.67266</v>
      </c>
      <c r="E72" s="237">
        <f t="shared" si="31"/>
        <v>33527857.78</v>
      </c>
      <c r="F72" s="237"/>
      <c r="G72" s="237"/>
      <c r="H72" s="237"/>
      <c r="I72" s="237">
        <f t="shared" si="32"/>
        <v>91726.3</v>
      </c>
      <c r="J72" s="237">
        <f t="shared" si="29"/>
        <v>13377.01337</v>
      </c>
      <c r="K72" s="237">
        <f t="shared" si="33"/>
        <v>1227023942</v>
      </c>
    </row>
    <row r="73" ht="15.75" customHeight="1">
      <c r="A73" s="199">
        <v>40.0</v>
      </c>
      <c r="B73" s="333">
        <f>'Yakin Pasifik Tuna'!B78</f>
        <v>45313</v>
      </c>
      <c r="C73" s="237">
        <f>SUM('Yakin Pasifik Tuna'!D78:F78)</f>
        <v>2939</v>
      </c>
      <c r="D73" s="237">
        <f>'Yakin Pasifik Tuna'!W78</f>
        <v>12276.52628</v>
      </c>
      <c r="E73" s="237">
        <f t="shared" si="31"/>
        <v>36080710.73</v>
      </c>
      <c r="F73" s="237"/>
      <c r="G73" s="237"/>
      <c r="H73" s="237"/>
      <c r="I73" s="237">
        <f t="shared" si="32"/>
        <v>94665.3</v>
      </c>
      <c r="J73" s="237">
        <f t="shared" si="29"/>
        <v>13342.8474</v>
      </c>
      <c r="K73" s="237">
        <f t="shared" si="33"/>
        <v>1263104652</v>
      </c>
    </row>
    <row r="74" ht="15.75" customHeight="1">
      <c r="A74" s="199">
        <v>40.0</v>
      </c>
      <c r="B74" s="333">
        <f>'Yakin Pasifik Tuna'!B79</f>
        <v>45314</v>
      </c>
      <c r="C74" s="237">
        <f>SUM('Yakin Pasifik Tuna'!D79:F79)</f>
        <v>3192</v>
      </c>
      <c r="D74" s="237">
        <f>'Yakin Pasifik Tuna'!W79</f>
        <v>13276.85714</v>
      </c>
      <c r="E74" s="237">
        <f t="shared" si="31"/>
        <v>42379728</v>
      </c>
      <c r="F74" s="237"/>
      <c r="G74" s="237"/>
      <c r="H74" s="237"/>
      <c r="I74" s="237">
        <f t="shared" si="32"/>
        <v>97857.3</v>
      </c>
      <c r="J74" s="237">
        <f t="shared" si="29"/>
        <v>13340.69487</v>
      </c>
      <c r="K74" s="237">
        <f t="shared" si="33"/>
        <v>1305484380</v>
      </c>
    </row>
    <row r="75" ht="15.75" customHeight="1">
      <c r="A75" s="199">
        <v>40.0</v>
      </c>
      <c r="B75" s="333">
        <f>'Yakin Pasifik Tuna'!B80</f>
        <v>45315</v>
      </c>
      <c r="C75" s="237">
        <f>SUM('Yakin Pasifik Tuna'!D80:F80)</f>
        <v>1346.9</v>
      </c>
      <c r="D75" s="237">
        <f>'Yakin Pasifik Tuna'!W80</f>
        <v>13559.7915</v>
      </c>
      <c r="E75" s="237">
        <f t="shared" si="31"/>
        <v>18263683.17</v>
      </c>
      <c r="F75" s="237"/>
      <c r="G75" s="237"/>
      <c r="H75" s="237"/>
      <c r="I75" s="237">
        <f t="shared" si="32"/>
        <v>99204.2</v>
      </c>
      <c r="J75" s="237">
        <f t="shared" si="29"/>
        <v>13343.66956</v>
      </c>
      <c r="K75" s="237">
        <f t="shared" si="33"/>
        <v>1323748063</v>
      </c>
    </row>
    <row r="76" ht="15.75" customHeight="1">
      <c r="A76" s="199">
        <v>40.0</v>
      </c>
      <c r="B76" s="333">
        <f>'Yakin Pasifik Tuna'!B81</f>
        <v>45318</v>
      </c>
      <c r="C76" s="237">
        <f>SUM('Yakin Pasifik Tuna'!D81:F81)</f>
        <v>3373.5</v>
      </c>
      <c r="D76" s="237">
        <f>'Yakin Pasifik Tuna'!W81</f>
        <v>13488.64211</v>
      </c>
      <c r="E76" s="237">
        <f t="shared" si="31"/>
        <v>45503934.16</v>
      </c>
      <c r="F76" s="237"/>
      <c r="G76" s="237"/>
      <c r="H76" s="237"/>
      <c r="I76" s="237">
        <f t="shared" si="32"/>
        <v>102577.7</v>
      </c>
      <c r="J76" s="237">
        <f t="shared" si="29"/>
        <v>13348.43731</v>
      </c>
      <c r="K76" s="237">
        <f t="shared" si="33"/>
        <v>1369251998</v>
      </c>
    </row>
    <row r="77" ht="15.75" customHeight="1">
      <c r="A77" s="199">
        <v>40.0</v>
      </c>
      <c r="B77" s="333" t="str">
        <f>'Yakin Pasifik Tuna'!B82</f>
        <v/>
      </c>
      <c r="C77" s="237"/>
      <c r="D77" s="237" t="str">
        <f>'Yakin Pasifik Tuna'!W82</f>
        <v/>
      </c>
      <c r="E77" s="237"/>
      <c r="F77" s="237"/>
      <c r="G77" s="237"/>
      <c r="H77" s="237"/>
      <c r="I77" s="237"/>
      <c r="J77" s="339"/>
      <c r="K77" s="237"/>
    </row>
    <row r="78" ht="15.75" customHeight="1">
      <c r="A78" s="199">
        <v>40.0</v>
      </c>
      <c r="B78" s="333" t="str">
        <f>'Yakin Pasifik Tuna'!B83</f>
        <v/>
      </c>
      <c r="C78" s="340"/>
      <c r="D78" s="340"/>
      <c r="E78" s="237"/>
      <c r="F78" s="237"/>
      <c r="G78" s="237"/>
      <c r="H78" s="237"/>
      <c r="I78" s="237"/>
      <c r="J78" s="340"/>
      <c r="K78" s="340"/>
    </row>
    <row r="79" ht="15.75" customHeight="1">
      <c r="A79" s="199">
        <v>40.0</v>
      </c>
      <c r="B79" s="333" t="str">
        <f>'Yakin Pasifik Tuna'!B84</f>
        <v/>
      </c>
      <c r="C79" s="340"/>
      <c r="D79" s="340"/>
      <c r="E79" s="237"/>
      <c r="F79" s="237"/>
      <c r="G79" s="237"/>
      <c r="H79" s="237"/>
      <c r="I79" s="237"/>
      <c r="J79" s="340"/>
      <c r="K79" s="340"/>
    </row>
    <row r="80" ht="15.75" customHeight="1">
      <c r="A80" s="199">
        <v>40.0</v>
      </c>
      <c r="B80" s="333"/>
      <c r="C80" s="340"/>
      <c r="D80" s="340"/>
      <c r="E80" s="237"/>
      <c r="F80" s="237"/>
      <c r="G80" s="237"/>
      <c r="H80" s="237"/>
      <c r="I80" s="237"/>
      <c r="J80" s="340"/>
      <c r="K80" s="340"/>
    </row>
    <row r="81" ht="15.75" customHeight="1">
      <c r="A81" s="199">
        <v>40.0</v>
      </c>
      <c r="B81" s="333"/>
      <c r="C81" s="340"/>
      <c r="D81" s="340"/>
      <c r="E81" s="237"/>
      <c r="F81" s="237"/>
      <c r="G81" s="237"/>
      <c r="H81" s="237"/>
      <c r="I81" s="237"/>
      <c r="J81" s="340"/>
      <c r="K81" s="340"/>
    </row>
    <row r="82" ht="15.75" customHeight="1">
      <c r="B82" s="334"/>
      <c r="E82" s="124"/>
      <c r="F82" s="124"/>
      <c r="G82" s="124"/>
      <c r="H82" s="124"/>
      <c r="I82" s="124"/>
    </row>
    <row r="83" ht="15.75" customHeight="1">
      <c r="B83" s="334"/>
      <c r="E83" s="124"/>
      <c r="F83" s="124"/>
      <c r="G83" s="124"/>
      <c r="H83" s="124"/>
      <c r="I83" s="124"/>
    </row>
    <row r="84" ht="15.75" customHeight="1">
      <c r="B84" s="334"/>
      <c r="E84" s="124"/>
      <c r="F84" s="124"/>
      <c r="G84" s="124"/>
      <c r="H84" s="124"/>
      <c r="I84" s="124"/>
    </row>
    <row r="85" ht="15.75" customHeight="1">
      <c r="B85" s="334"/>
      <c r="E85" s="124"/>
      <c r="F85" s="124"/>
      <c r="G85" s="124"/>
      <c r="H85" s="124"/>
      <c r="I85" s="124"/>
    </row>
    <row r="86" ht="15.75" customHeight="1">
      <c r="B86" s="334"/>
      <c r="E86" s="124"/>
      <c r="F86" s="124"/>
      <c r="G86" s="124"/>
      <c r="H86" s="124"/>
      <c r="I86" s="124"/>
    </row>
    <row r="87" ht="15.75" customHeight="1">
      <c r="B87" s="334"/>
      <c r="E87" s="124"/>
      <c r="F87" s="124"/>
      <c r="G87" s="124"/>
      <c r="H87" s="124"/>
      <c r="I87" s="124"/>
    </row>
    <row r="88" ht="15.75" customHeight="1">
      <c r="B88" s="334"/>
      <c r="E88" s="124"/>
      <c r="F88" s="124"/>
      <c r="G88" s="124"/>
      <c r="H88" s="124"/>
      <c r="I88" s="124"/>
    </row>
    <row r="89" ht="15.75" customHeight="1">
      <c r="B89" s="334"/>
      <c r="E89" s="124"/>
      <c r="F89" s="124"/>
      <c r="G89" s="124"/>
      <c r="H89" s="124"/>
      <c r="I89" s="124"/>
    </row>
    <row r="90" ht="15.75" customHeight="1">
      <c r="B90" s="334"/>
      <c r="E90" s="124"/>
      <c r="F90" s="124"/>
      <c r="G90" s="124"/>
      <c r="H90" s="124"/>
      <c r="I90" s="124"/>
    </row>
    <row r="91" ht="15.75" customHeight="1">
      <c r="B91" s="334"/>
      <c r="E91" s="124"/>
      <c r="F91" s="124"/>
      <c r="G91" s="124"/>
      <c r="H91" s="124"/>
      <c r="I91" s="124"/>
    </row>
    <row r="92" ht="15.75" customHeight="1">
      <c r="B92" s="334"/>
      <c r="E92" s="124"/>
      <c r="F92" s="124"/>
      <c r="G92" s="124"/>
      <c r="H92" s="124"/>
      <c r="I92" s="124"/>
    </row>
    <row r="93" ht="15.75" customHeight="1">
      <c r="B93" s="334"/>
      <c r="E93" s="124"/>
      <c r="F93" s="124"/>
      <c r="G93" s="124"/>
      <c r="H93" s="124"/>
      <c r="I93" s="124"/>
    </row>
    <row r="94" ht="15.75" customHeight="1">
      <c r="B94" s="334"/>
      <c r="E94" s="124"/>
      <c r="F94" s="124"/>
      <c r="G94" s="124"/>
      <c r="H94" s="124"/>
      <c r="I94" s="124"/>
    </row>
    <row r="95" ht="15.75" customHeight="1">
      <c r="B95" s="334"/>
      <c r="E95" s="124"/>
      <c r="F95" s="124"/>
      <c r="G95" s="124"/>
      <c r="H95" s="124"/>
      <c r="I95" s="124"/>
    </row>
    <row r="96" ht="15.75" customHeight="1">
      <c r="B96" s="334"/>
      <c r="E96" s="124"/>
      <c r="F96" s="124"/>
      <c r="G96" s="124"/>
      <c r="H96" s="124"/>
      <c r="I96" s="124"/>
    </row>
    <row r="97" ht="15.75" customHeight="1">
      <c r="B97" s="334"/>
      <c r="E97" s="124"/>
      <c r="F97" s="124"/>
      <c r="G97" s="124"/>
      <c r="H97" s="124"/>
      <c r="I97" s="124"/>
    </row>
    <row r="98" ht="15.75" customHeight="1">
      <c r="B98" s="334"/>
      <c r="E98" s="124"/>
      <c r="F98" s="124"/>
      <c r="G98" s="124"/>
      <c r="H98" s="124"/>
      <c r="I98" s="124"/>
    </row>
    <row r="99" ht="15.75" customHeight="1">
      <c r="B99" s="334"/>
      <c r="E99" s="124"/>
      <c r="F99" s="124"/>
      <c r="G99" s="124"/>
      <c r="H99" s="124"/>
      <c r="I99" s="124"/>
    </row>
    <row r="100" ht="15.75" customHeight="1">
      <c r="B100" s="334"/>
      <c r="E100" s="124"/>
      <c r="F100" s="124"/>
      <c r="G100" s="124"/>
      <c r="H100" s="124"/>
      <c r="I100" s="124"/>
    </row>
    <row r="101" ht="15.75" customHeight="1">
      <c r="B101" s="334"/>
      <c r="E101" s="124"/>
      <c r="F101" s="124"/>
      <c r="G101" s="124"/>
      <c r="H101" s="124"/>
      <c r="I101" s="124"/>
    </row>
    <row r="102" ht="15.75" customHeight="1">
      <c r="B102" s="334"/>
      <c r="E102" s="124"/>
      <c r="F102" s="124"/>
      <c r="G102" s="124"/>
      <c r="H102" s="124"/>
      <c r="I102" s="124"/>
    </row>
    <row r="103" ht="15.75" customHeight="1">
      <c r="B103" s="334"/>
      <c r="E103" s="124"/>
      <c r="F103" s="124"/>
      <c r="G103" s="124"/>
      <c r="H103" s="124"/>
      <c r="I103" s="124"/>
    </row>
    <row r="104" ht="15.75" customHeight="1">
      <c r="B104" s="334"/>
      <c r="E104" s="124"/>
      <c r="F104" s="124"/>
      <c r="G104" s="124"/>
      <c r="H104" s="124"/>
      <c r="I104" s="124"/>
    </row>
    <row r="105" ht="15.75" customHeight="1">
      <c r="B105" s="334"/>
      <c r="E105" s="124"/>
      <c r="F105" s="124"/>
      <c r="G105" s="124"/>
      <c r="H105" s="124"/>
      <c r="I105" s="124"/>
    </row>
    <row r="106" ht="15.75" customHeight="1">
      <c r="B106" s="334"/>
      <c r="E106" s="124"/>
      <c r="F106" s="124"/>
      <c r="G106" s="124"/>
      <c r="H106" s="124"/>
      <c r="I106" s="124"/>
    </row>
    <row r="107" ht="15.75" customHeight="1">
      <c r="B107" s="334"/>
      <c r="E107" s="124"/>
      <c r="F107" s="124"/>
      <c r="G107" s="124"/>
      <c r="H107" s="124"/>
      <c r="I107" s="124"/>
    </row>
    <row r="108" ht="15.75" customHeight="1">
      <c r="B108" s="334"/>
      <c r="E108" s="124"/>
      <c r="F108" s="124"/>
      <c r="G108" s="124"/>
      <c r="H108" s="124"/>
      <c r="I108" s="124"/>
    </row>
    <row r="109" ht="15.75" customHeight="1">
      <c r="B109" s="334"/>
      <c r="E109" s="124"/>
      <c r="F109" s="124"/>
      <c r="G109" s="124"/>
      <c r="H109" s="124"/>
      <c r="I109" s="124"/>
    </row>
    <row r="110" ht="15.75" customHeight="1">
      <c r="B110" s="334"/>
      <c r="E110" s="124"/>
      <c r="F110" s="124"/>
      <c r="G110" s="124"/>
      <c r="H110" s="124"/>
      <c r="I110" s="124"/>
    </row>
    <row r="111" ht="15.75" customHeight="1">
      <c r="B111" s="334"/>
      <c r="E111" s="124"/>
      <c r="F111" s="124"/>
      <c r="G111" s="124"/>
      <c r="H111" s="124"/>
      <c r="I111" s="124"/>
    </row>
    <row r="112" ht="15.75" customHeight="1">
      <c r="B112" s="334"/>
      <c r="E112" s="124"/>
      <c r="F112" s="124"/>
      <c r="G112" s="124"/>
      <c r="H112" s="124"/>
      <c r="I112" s="124"/>
    </row>
    <row r="113" ht="15.75" customHeight="1">
      <c r="B113" s="334"/>
      <c r="E113" s="124"/>
      <c r="F113" s="124"/>
      <c r="G113" s="124"/>
      <c r="H113" s="124"/>
      <c r="I113" s="124"/>
    </row>
    <row r="114" ht="15.75" customHeight="1">
      <c r="B114" s="334"/>
      <c r="E114" s="124"/>
      <c r="F114" s="124"/>
      <c r="G114" s="124"/>
      <c r="H114" s="124"/>
      <c r="I114" s="124"/>
    </row>
    <row r="115" ht="15.75" customHeight="1">
      <c r="B115" s="334"/>
      <c r="E115" s="124"/>
      <c r="F115" s="124"/>
      <c r="G115" s="124"/>
      <c r="H115" s="124"/>
      <c r="I115" s="124"/>
    </row>
    <row r="116" ht="15.75" customHeight="1">
      <c r="B116" s="334"/>
      <c r="E116" s="124"/>
      <c r="F116" s="124"/>
      <c r="G116" s="124"/>
      <c r="H116" s="124"/>
      <c r="I116" s="124"/>
    </row>
    <row r="117" ht="15.75" customHeight="1">
      <c r="B117" s="334"/>
      <c r="E117" s="124"/>
      <c r="F117" s="124"/>
      <c r="G117" s="124"/>
      <c r="H117" s="124"/>
      <c r="I117" s="124"/>
    </row>
    <row r="118" ht="15.75" customHeight="1">
      <c r="B118" s="334"/>
      <c r="E118" s="124"/>
      <c r="F118" s="124"/>
      <c r="G118" s="124"/>
      <c r="H118" s="124"/>
      <c r="I118" s="124"/>
    </row>
    <row r="119" ht="15.75" customHeight="1">
      <c r="B119" s="334"/>
      <c r="E119" s="124"/>
      <c r="F119" s="124"/>
      <c r="G119" s="124"/>
      <c r="H119" s="124"/>
      <c r="I119" s="124"/>
    </row>
    <row r="120" ht="15.75" customHeight="1">
      <c r="B120" s="334"/>
      <c r="E120" s="124"/>
      <c r="F120" s="124"/>
      <c r="G120" s="124"/>
      <c r="H120" s="124"/>
      <c r="I120" s="124"/>
    </row>
    <row r="121" ht="15.75" customHeight="1">
      <c r="B121" s="334"/>
      <c r="E121" s="124"/>
      <c r="F121" s="124"/>
      <c r="G121" s="124"/>
      <c r="H121" s="124"/>
      <c r="I121" s="124"/>
    </row>
    <row r="122" ht="15.75" customHeight="1">
      <c r="B122" s="334"/>
      <c r="E122" s="124"/>
      <c r="F122" s="124"/>
      <c r="G122" s="124"/>
      <c r="H122" s="124"/>
      <c r="I122" s="124"/>
    </row>
    <row r="123" ht="15.75" customHeight="1">
      <c r="B123" s="334"/>
      <c r="E123" s="124"/>
      <c r="F123" s="124"/>
      <c r="G123" s="124"/>
      <c r="H123" s="124"/>
      <c r="I123" s="124"/>
    </row>
    <row r="124" ht="15.75" customHeight="1">
      <c r="B124" s="334"/>
      <c r="E124" s="124"/>
      <c r="F124" s="124"/>
      <c r="G124" s="124"/>
      <c r="H124" s="124"/>
      <c r="I124" s="124"/>
    </row>
    <row r="125" ht="15.75" customHeight="1">
      <c r="B125" s="334"/>
      <c r="E125" s="124"/>
      <c r="F125" s="124"/>
      <c r="G125" s="124"/>
      <c r="H125" s="124"/>
      <c r="I125" s="124"/>
    </row>
    <row r="126" ht="15.75" customHeight="1">
      <c r="B126" s="334"/>
      <c r="E126" s="124"/>
      <c r="F126" s="124"/>
      <c r="G126" s="124"/>
      <c r="H126" s="124"/>
      <c r="I126" s="124"/>
    </row>
    <row r="127" ht="15.75" customHeight="1">
      <c r="B127" s="334"/>
      <c r="E127" s="124"/>
      <c r="F127" s="124"/>
      <c r="G127" s="124"/>
      <c r="H127" s="124"/>
      <c r="I127" s="124"/>
    </row>
    <row r="128" ht="15.75" customHeight="1">
      <c r="B128" s="334"/>
      <c r="E128" s="124"/>
      <c r="F128" s="124"/>
      <c r="G128" s="124"/>
      <c r="H128" s="124"/>
      <c r="I128" s="124"/>
    </row>
    <row r="129" ht="15.75" customHeight="1">
      <c r="B129" s="334"/>
      <c r="E129" s="124"/>
      <c r="F129" s="124"/>
      <c r="G129" s="124"/>
      <c r="H129" s="124"/>
      <c r="I129" s="124"/>
    </row>
    <row r="130" ht="15.75" customHeight="1">
      <c r="B130" s="334"/>
      <c r="E130" s="124"/>
      <c r="F130" s="124"/>
      <c r="G130" s="124"/>
      <c r="H130" s="124"/>
      <c r="I130" s="124"/>
    </row>
    <row r="131" ht="15.75" customHeight="1">
      <c r="B131" s="334"/>
      <c r="E131" s="124"/>
      <c r="F131" s="124"/>
      <c r="G131" s="124"/>
      <c r="H131" s="124"/>
      <c r="I131" s="124"/>
    </row>
    <row r="132" ht="15.75" customHeight="1">
      <c r="B132" s="334"/>
      <c r="E132" s="124"/>
      <c r="F132" s="124"/>
      <c r="G132" s="124"/>
      <c r="H132" s="124"/>
      <c r="I132" s="124"/>
    </row>
    <row r="133" ht="15.75" customHeight="1">
      <c r="B133" s="334"/>
      <c r="E133" s="124"/>
      <c r="F133" s="124"/>
      <c r="G133" s="124"/>
      <c r="H133" s="124"/>
      <c r="I133" s="124"/>
    </row>
    <row r="134" ht="15.75" customHeight="1">
      <c r="B134" s="334"/>
      <c r="E134" s="124"/>
      <c r="F134" s="124"/>
      <c r="G134" s="124"/>
      <c r="H134" s="124"/>
      <c r="I134" s="124"/>
    </row>
    <row r="135" ht="15.75" customHeight="1">
      <c r="B135" s="334"/>
      <c r="E135" s="124"/>
      <c r="F135" s="124"/>
      <c r="G135" s="124"/>
      <c r="H135" s="124"/>
      <c r="I135" s="124"/>
    </row>
    <row r="136" ht="15.75" customHeight="1">
      <c r="B136" s="334"/>
      <c r="E136" s="124"/>
      <c r="F136" s="124"/>
      <c r="G136" s="124"/>
      <c r="H136" s="124"/>
      <c r="I136" s="124"/>
    </row>
    <row r="137" ht="15.75" customHeight="1">
      <c r="B137" s="334"/>
      <c r="E137" s="124"/>
      <c r="F137" s="124"/>
      <c r="G137" s="124"/>
      <c r="H137" s="124"/>
      <c r="I137" s="124"/>
    </row>
    <row r="138" ht="15.75" customHeight="1">
      <c r="B138" s="334"/>
      <c r="E138" s="124"/>
      <c r="F138" s="124"/>
      <c r="G138" s="124"/>
      <c r="H138" s="124"/>
      <c r="I138" s="124"/>
    </row>
    <row r="139" ht="15.75" customHeight="1">
      <c r="B139" s="334"/>
      <c r="E139" s="124"/>
      <c r="F139" s="124"/>
      <c r="G139" s="124"/>
      <c r="H139" s="124"/>
      <c r="I139" s="124"/>
    </row>
    <row r="140" ht="15.75" customHeight="1">
      <c r="B140" s="334"/>
      <c r="E140" s="124"/>
      <c r="F140" s="124"/>
      <c r="G140" s="124"/>
      <c r="H140" s="124"/>
      <c r="I140" s="124"/>
    </row>
    <row r="141" ht="15.75" customHeight="1">
      <c r="B141" s="334"/>
      <c r="E141" s="124"/>
      <c r="F141" s="124"/>
      <c r="G141" s="124"/>
      <c r="H141" s="124"/>
      <c r="I141" s="124"/>
    </row>
    <row r="142" ht="15.75" customHeight="1">
      <c r="B142" s="334"/>
      <c r="E142" s="124"/>
      <c r="F142" s="124"/>
      <c r="G142" s="124"/>
      <c r="H142" s="124"/>
      <c r="I142" s="124"/>
    </row>
    <row r="143" ht="15.75" customHeight="1">
      <c r="B143" s="334"/>
      <c r="E143" s="124"/>
      <c r="F143" s="124"/>
      <c r="G143" s="124"/>
      <c r="H143" s="124"/>
      <c r="I143" s="124"/>
    </row>
    <row r="144" ht="15.75" customHeight="1">
      <c r="B144" s="334"/>
      <c r="E144" s="124"/>
      <c r="F144" s="124"/>
      <c r="G144" s="124"/>
      <c r="H144" s="124"/>
      <c r="I144" s="124"/>
    </row>
    <row r="145" ht="15.75" customHeight="1">
      <c r="B145" s="334"/>
      <c r="E145" s="124"/>
      <c r="F145" s="124"/>
      <c r="G145" s="124"/>
      <c r="H145" s="124"/>
      <c r="I145" s="124"/>
    </row>
    <row r="146" ht="15.75" customHeight="1">
      <c r="B146" s="334"/>
      <c r="E146" s="124"/>
      <c r="F146" s="124"/>
      <c r="G146" s="124"/>
      <c r="H146" s="124"/>
      <c r="I146" s="124"/>
    </row>
    <row r="147" ht="15.75" customHeight="1">
      <c r="B147" s="334"/>
      <c r="E147" s="124"/>
      <c r="F147" s="124"/>
      <c r="G147" s="124"/>
      <c r="H147" s="124"/>
      <c r="I147" s="124"/>
    </row>
    <row r="148" ht="15.75" customHeight="1">
      <c r="B148" s="334"/>
      <c r="E148" s="124"/>
      <c r="F148" s="124"/>
      <c r="G148" s="124"/>
      <c r="H148" s="124"/>
      <c r="I148" s="124"/>
    </row>
    <row r="149" ht="15.75" customHeight="1">
      <c r="B149" s="334"/>
      <c r="E149" s="124"/>
      <c r="F149" s="124"/>
      <c r="G149" s="124"/>
      <c r="H149" s="124"/>
      <c r="I149" s="124"/>
    </row>
    <row r="150" ht="15.75" customHeight="1">
      <c r="B150" s="334"/>
      <c r="E150" s="124"/>
      <c r="F150" s="124"/>
      <c r="G150" s="124"/>
      <c r="H150" s="124"/>
      <c r="I150" s="124"/>
    </row>
    <row r="151" ht="15.75" customHeight="1">
      <c r="B151" s="334"/>
      <c r="E151" s="124"/>
      <c r="F151" s="124"/>
      <c r="G151" s="124"/>
      <c r="H151" s="124"/>
      <c r="I151" s="124"/>
    </row>
    <row r="152" ht="15.75" customHeight="1">
      <c r="B152" s="334"/>
      <c r="E152" s="124"/>
      <c r="F152" s="124"/>
      <c r="G152" s="124"/>
      <c r="H152" s="124"/>
      <c r="I152" s="124"/>
    </row>
    <row r="153" ht="15.75" customHeight="1">
      <c r="B153" s="334"/>
      <c r="E153" s="124"/>
      <c r="F153" s="124"/>
      <c r="G153" s="124"/>
      <c r="H153" s="124"/>
      <c r="I153" s="124"/>
    </row>
    <row r="154" ht="15.75" customHeight="1">
      <c r="B154" s="334"/>
      <c r="E154" s="124"/>
      <c r="F154" s="124"/>
      <c r="G154" s="124"/>
      <c r="H154" s="124"/>
      <c r="I154" s="124"/>
    </row>
    <row r="155" ht="15.75" customHeight="1">
      <c r="B155" s="334"/>
      <c r="E155" s="124"/>
      <c r="F155" s="124"/>
      <c r="G155" s="124"/>
      <c r="H155" s="124"/>
      <c r="I155" s="124"/>
    </row>
    <row r="156" ht="15.75" customHeight="1">
      <c r="B156" s="334"/>
      <c r="E156" s="124"/>
      <c r="F156" s="124"/>
      <c r="G156" s="124"/>
      <c r="H156" s="124"/>
      <c r="I156" s="124"/>
    </row>
    <row r="157" ht="15.75" customHeight="1">
      <c r="B157" s="334"/>
      <c r="E157" s="124"/>
      <c r="F157" s="124"/>
      <c r="G157" s="124"/>
      <c r="H157" s="124"/>
      <c r="I157" s="124"/>
    </row>
    <row r="158" ht="15.75" customHeight="1">
      <c r="B158" s="334"/>
      <c r="E158" s="124"/>
      <c r="F158" s="124"/>
      <c r="G158" s="124"/>
      <c r="H158" s="124"/>
      <c r="I158" s="124"/>
    </row>
    <row r="159" ht="15.75" customHeight="1">
      <c r="B159" s="334"/>
      <c r="E159" s="124"/>
      <c r="F159" s="124"/>
      <c r="G159" s="124"/>
      <c r="H159" s="124"/>
      <c r="I159" s="124"/>
    </row>
    <row r="160" ht="15.75" customHeight="1">
      <c r="B160" s="334"/>
      <c r="E160" s="124"/>
      <c r="F160" s="124"/>
      <c r="G160" s="124"/>
      <c r="H160" s="124"/>
      <c r="I160" s="124"/>
    </row>
    <row r="161" ht="15.75" customHeight="1">
      <c r="B161" s="334"/>
      <c r="E161" s="124"/>
      <c r="F161" s="124"/>
      <c r="G161" s="124"/>
      <c r="H161" s="124"/>
      <c r="I161" s="124"/>
    </row>
    <row r="162" ht="15.75" customHeight="1">
      <c r="B162" s="334"/>
      <c r="E162" s="124"/>
      <c r="F162" s="124"/>
      <c r="G162" s="124"/>
      <c r="H162" s="124"/>
      <c r="I162" s="124"/>
    </row>
    <row r="163" ht="15.75" customHeight="1">
      <c r="B163" s="334"/>
      <c r="E163" s="124"/>
      <c r="F163" s="124"/>
      <c r="G163" s="124"/>
      <c r="H163" s="124"/>
      <c r="I163" s="124"/>
    </row>
    <row r="164" ht="15.75" customHeight="1">
      <c r="B164" s="334"/>
      <c r="E164" s="124"/>
      <c r="F164" s="124"/>
      <c r="G164" s="124"/>
      <c r="H164" s="124"/>
      <c r="I164" s="124"/>
    </row>
    <row r="165" ht="15.75" customHeight="1">
      <c r="B165" s="334"/>
      <c r="E165" s="124"/>
      <c r="F165" s="124"/>
      <c r="G165" s="124"/>
      <c r="H165" s="124"/>
      <c r="I165" s="124"/>
    </row>
    <row r="166" ht="15.75" customHeight="1">
      <c r="B166" s="334"/>
      <c r="E166" s="124"/>
      <c r="F166" s="124"/>
      <c r="G166" s="124"/>
      <c r="H166" s="124"/>
      <c r="I166" s="124"/>
    </row>
    <row r="167" ht="15.75" customHeight="1">
      <c r="B167" s="334"/>
      <c r="E167" s="124"/>
      <c r="F167" s="124"/>
      <c r="G167" s="124"/>
      <c r="H167" s="124"/>
      <c r="I167" s="124"/>
    </row>
    <row r="168" ht="15.75" customHeight="1">
      <c r="B168" s="334"/>
      <c r="E168" s="124"/>
      <c r="F168" s="124"/>
      <c r="G168" s="124"/>
      <c r="H168" s="124"/>
      <c r="I168" s="124"/>
    </row>
    <row r="169" ht="15.75" customHeight="1">
      <c r="B169" s="334"/>
      <c r="E169" s="124"/>
      <c r="F169" s="124"/>
      <c r="G169" s="124"/>
      <c r="H169" s="124"/>
      <c r="I169" s="124"/>
    </row>
    <row r="170" ht="15.75" customHeight="1">
      <c r="B170" s="334"/>
      <c r="E170" s="124"/>
      <c r="F170" s="124"/>
      <c r="G170" s="124"/>
      <c r="H170" s="124"/>
      <c r="I170" s="124"/>
    </row>
    <row r="171" ht="15.75" customHeight="1">
      <c r="B171" s="334"/>
      <c r="E171" s="124"/>
      <c r="F171" s="124"/>
      <c r="G171" s="124"/>
      <c r="H171" s="124"/>
      <c r="I171" s="124"/>
    </row>
    <row r="172" ht="15.75" customHeight="1">
      <c r="B172" s="334"/>
      <c r="E172" s="124"/>
      <c r="F172" s="124"/>
      <c r="G172" s="124"/>
      <c r="H172" s="124"/>
      <c r="I172" s="124"/>
    </row>
    <row r="173" ht="15.75" customHeight="1">
      <c r="B173" s="334"/>
      <c r="E173" s="124"/>
      <c r="F173" s="124"/>
      <c r="G173" s="124"/>
      <c r="H173" s="124"/>
      <c r="I173" s="124"/>
    </row>
    <row r="174" ht="15.75" customHeight="1">
      <c r="B174" s="334"/>
      <c r="E174" s="124"/>
      <c r="F174" s="124"/>
      <c r="G174" s="124"/>
      <c r="H174" s="124"/>
      <c r="I174" s="124"/>
    </row>
    <row r="175" ht="15.75" customHeight="1">
      <c r="B175" s="334"/>
      <c r="E175" s="124"/>
      <c r="F175" s="124"/>
      <c r="G175" s="124"/>
      <c r="H175" s="124"/>
      <c r="I175" s="124"/>
    </row>
    <row r="176" ht="15.75" customHeight="1">
      <c r="B176" s="334"/>
      <c r="E176" s="124"/>
      <c r="F176" s="124"/>
      <c r="G176" s="124"/>
      <c r="H176" s="124"/>
      <c r="I176" s="124"/>
    </row>
    <row r="177" ht="15.75" customHeight="1">
      <c r="B177" s="334"/>
      <c r="E177" s="124"/>
      <c r="F177" s="124"/>
      <c r="G177" s="124"/>
      <c r="H177" s="124"/>
      <c r="I177" s="124"/>
    </row>
    <row r="178" ht="15.75" customHeight="1">
      <c r="B178" s="334"/>
      <c r="E178" s="124"/>
      <c r="F178" s="124"/>
      <c r="G178" s="124"/>
      <c r="H178" s="124"/>
      <c r="I178" s="124"/>
    </row>
    <row r="179" ht="15.75" customHeight="1">
      <c r="B179" s="334"/>
      <c r="E179" s="124"/>
      <c r="F179" s="124"/>
      <c r="G179" s="124"/>
      <c r="H179" s="124"/>
      <c r="I179" s="124"/>
    </row>
    <row r="180" ht="15.75" customHeight="1">
      <c r="B180" s="334"/>
      <c r="E180" s="124"/>
      <c r="F180" s="124"/>
      <c r="G180" s="124"/>
      <c r="H180" s="124"/>
      <c r="I180" s="124"/>
    </row>
    <row r="181" ht="15.75" customHeight="1">
      <c r="B181" s="334"/>
      <c r="E181" s="124"/>
      <c r="F181" s="124"/>
      <c r="G181" s="124"/>
      <c r="H181" s="124"/>
      <c r="I181" s="124"/>
    </row>
    <row r="182" ht="15.75" customHeight="1">
      <c r="B182" s="334"/>
      <c r="E182" s="124"/>
      <c r="F182" s="124"/>
      <c r="G182" s="124"/>
      <c r="H182" s="124"/>
      <c r="I182" s="124"/>
    </row>
    <row r="183" ht="15.75" customHeight="1">
      <c r="B183" s="334"/>
      <c r="E183" s="124"/>
      <c r="F183" s="124"/>
      <c r="G183" s="124"/>
      <c r="H183" s="124"/>
      <c r="I183" s="124"/>
    </row>
    <row r="184" ht="15.75" customHeight="1">
      <c r="B184" s="334"/>
      <c r="E184" s="124"/>
      <c r="F184" s="124"/>
      <c r="G184" s="124"/>
      <c r="H184" s="124"/>
      <c r="I184" s="124"/>
    </row>
    <row r="185" ht="15.75" customHeight="1">
      <c r="B185" s="334"/>
      <c r="E185" s="124"/>
      <c r="F185" s="124"/>
      <c r="G185" s="124"/>
      <c r="H185" s="124"/>
      <c r="I185" s="124"/>
    </row>
    <row r="186" ht="15.75" customHeight="1">
      <c r="B186" s="334"/>
      <c r="E186" s="124"/>
      <c r="F186" s="124"/>
      <c r="G186" s="124"/>
      <c r="H186" s="124"/>
      <c r="I186" s="124"/>
    </row>
    <row r="187" ht="15.75" customHeight="1">
      <c r="B187" s="334"/>
      <c r="E187" s="124"/>
      <c r="F187" s="124"/>
      <c r="G187" s="124"/>
      <c r="H187" s="124"/>
      <c r="I187" s="124"/>
    </row>
    <row r="188" ht="15.75" customHeight="1">
      <c r="B188" s="334"/>
      <c r="E188" s="124"/>
      <c r="F188" s="124"/>
      <c r="G188" s="124"/>
      <c r="H188" s="124"/>
      <c r="I188" s="124"/>
    </row>
    <row r="189" ht="15.75" customHeight="1">
      <c r="B189" s="334"/>
      <c r="E189" s="124"/>
      <c r="F189" s="124"/>
      <c r="G189" s="124"/>
      <c r="H189" s="124"/>
      <c r="I189" s="124"/>
    </row>
    <row r="190" ht="15.75" customHeight="1">
      <c r="B190" s="334"/>
      <c r="E190" s="124"/>
      <c r="F190" s="124"/>
      <c r="G190" s="124"/>
      <c r="H190" s="124"/>
      <c r="I190" s="124"/>
    </row>
    <row r="191" ht="15.75" customHeight="1">
      <c r="B191" s="334"/>
      <c r="E191" s="124"/>
      <c r="F191" s="124"/>
      <c r="G191" s="124"/>
      <c r="H191" s="124"/>
      <c r="I191" s="124"/>
    </row>
    <row r="192" ht="15.75" customHeight="1">
      <c r="B192" s="334"/>
      <c r="E192" s="124"/>
      <c r="F192" s="124"/>
      <c r="G192" s="124"/>
      <c r="H192" s="124"/>
      <c r="I192" s="124"/>
    </row>
    <row r="193" ht="15.75" customHeight="1">
      <c r="B193" s="334"/>
      <c r="E193" s="124"/>
      <c r="F193" s="124"/>
      <c r="G193" s="124"/>
      <c r="H193" s="124"/>
      <c r="I193" s="124"/>
    </row>
    <row r="194" ht="15.75" customHeight="1">
      <c r="B194" s="334"/>
      <c r="E194" s="124"/>
      <c r="F194" s="124"/>
      <c r="G194" s="124"/>
      <c r="H194" s="124"/>
      <c r="I194" s="124"/>
    </row>
    <row r="195" ht="15.75" customHeight="1">
      <c r="B195" s="334"/>
      <c r="E195" s="124"/>
      <c r="F195" s="124"/>
      <c r="G195" s="124"/>
      <c r="H195" s="124"/>
      <c r="I195" s="124"/>
    </row>
    <row r="196" ht="15.75" customHeight="1">
      <c r="B196" s="334"/>
      <c r="E196" s="124"/>
      <c r="F196" s="124"/>
      <c r="G196" s="124"/>
      <c r="H196" s="124"/>
      <c r="I196" s="124"/>
    </row>
    <row r="197" ht="15.75" customHeight="1">
      <c r="B197" s="334"/>
      <c r="E197" s="124"/>
      <c r="F197" s="124"/>
      <c r="G197" s="124"/>
      <c r="H197" s="124"/>
      <c r="I197" s="124"/>
    </row>
    <row r="198" ht="15.75" customHeight="1">
      <c r="B198" s="334"/>
      <c r="E198" s="124"/>
      <c r="F198" s="124"/>
      <c r="G198" s="124"/>
      <c r="H198" s="124"/>
      <c r="I198" s="124"/>
    </row>
    <row r="199" ht="15.75" customHeight="1">
      <c r="B199" s="334"/>
      <c r="E199" s="124"/>
      <c r="F199" s="124"/>
      <c r="G199" s="124"/>
      <c r="H199" s="124"/>
      <c r="I199" s="124"/>
    </row>
    <row r="200" ht="15.75" customHeight="1">
      <c r="B200" s="334"/>
      <c r="E200" s="124"/>
      <c r="F200" s="124"/>
      <c r="G200" s="124"/>
      <c r="H200" s="124"/>
      <c r="I200" s="124"/>
    </row>
    <row r="201" ht="15.75" customHeight="1">
      <c r="B201" s="334"/>
      <c r="E201" s="124"/>
      <c r="F201" s="124"/>
      <c r="G201" s="124"/>
      <c r="H201" s="124"/>
      <c r="I201" s="124"/>
    </row>
    <row r="202" ht="15.75" customHeight="1">
      <c r="B202" s="334"/>
      <c r="E202" s="124"/>
      <c r="F202" s="124"/>
      <c r="G202" s="124"/>
      <c r="H202" s="124"/>
      <c r="I202" s="124"/>
    </row>
    <row r="203" ht="15.75" customHeight="1">
      <c r="B203" s="334"/>
      <c r="E203" s="124"/>
      <c r="F203" s="124"/>
      <c r="G203" s="124"/>
      <c r="H203" s="124"/>
      <c r="I203" s="124"/>
    </row>
    <row r="204" ht="15.75" customHeight="1">
      <c r="B204" s="334"/>
      <c r="E204" s="124"/>
      <c r="F204" s="124"/>
      <c r="G204" s="124"/>
      <c r="H204" s="124"/>
      <c r="I204" s="124"/>
    </row>
    <row r="205" ht="15.75" customHeight="1">
      <c r="B205" s="334"/>
      <c r="E205" s="124"/>
      <c r="F205" s="124"/>
      <c r="G205" s="124"/>
      <c r="H205" s="124"/>
      <c r="I205" s="124"/>
    </row>
    <row r="206" ht="15.75" customHeight="1">
      <c r="B206" s="334"/>
      <c r="E206" s="124"/>
      <c r="F206" s="124"/>
      <c r="G206" s="124"/>
      <c r="H206" s="124"/>
      <c r="I206" s="124"/>
    </row>
    <row r="207" ht="15.75" customHeight="1">
      <c r="B207" s="334"/>
      <c r="E207" s="124"/>
      <c r="F207" s="124"/>
      <c r="G207" s="124"/>
      <c r="H207" s="124"/>
      <c r="I207" s="124"/>
    </row>
    <row r="208" ht="15.75" customHeight="1">
      <c r="B208" s="334"/>
      <c r="E208" s="124"/>
      <c r="F208" s="124"/>
      <c r="G208" s="124"/>
      <c r="H208" s="124"/>
      <c r="I208" s="124"/>
    </row>
    <row r="209" ht="15.75" customHeight="1">
      <c r="B209" s="334"/>
      <c r="E209" s="124"/>
      <c r="F209" s="124"/>
      <c r="G209" s="124"/>
      <c r="H209" s="124"/>
      <c r="I209" s="124"/>
    </row>
    <row r="210" ht="15.75" customHeight="1">
      <c r="B210" s="334"/>
      <c r="E210" s="124"/>
      <c r="F210" s="124"/>
      <c r="G210" s="124"/>
      <c r="H210" s="124"/>
      <c r="I210" s="124"/>
    </row>
    <row r="211" ht="15.75" customHeight="1">
      <c r="B211" s="334"/>
      <c r="E211" s="124"/>
      <c r="F211" s="124"/>
      <c r="G211" s="124"/>
      <c r="H211" s="124"/>
      <c r="I211" s="124"/>
    </row>
    <row r="212" ht="15.75" customHeight="1">
      <c r="B212" s="334"/>
      <c r="E212" s="124"/>
      <c r="F212" s="124"/>
      <c r="G212" s="124"/>
      <c r="H212" s="124"/>
      <c r="I212" s="124"/>
    </row>
    <row r="213" ht="15.75" customHeight="1">
      <c r="B213" s="334"/>
      <c r="E213" s="124"/>
      <c r="F213" s="124"/>
      <c r="G213" s="124"/>
      <c r="H213" s="124"/>
      <c r="I213" s="124"/>
    </row>
    <row r="214" ht="15.75" customHeight="1">
      <c r="B214" s="334"/>
      <c r="E214" s="124"/>
      <c r="F214" s="124"/>
      <c r="G214" s="124"/>
      <c r="H214" s="124"/>
      <c r="I214" s="124"/>
    </row>
    <row r="215" ht="15.75" customHeight="1">
      <c r="B215" s="334"/>
      <c r="E215" s="124"/>
      <c r="F215" s="124"/>
      <c r="G215" s="124"/>
      <c r="H215" s="124"/>
      <c r="I215" s="124"/>
    </row>
    <row r="216" ht="15.75" customHeight="1">
      <c r="B216" s="334"/>
      <c r="E216" s="124"/>
      <c r="F216" s="124"/>
      <c r="G216" s="124"/>
      <c r="H216" s="124"/>
      <c r="I216" s="124"/>
    </row>
    <row r="217" ht="15.75" customHeight="1">
      <c r="B217" s="334"/>
      <c r="E217" s="124"/>
      <c r="F217" s="124"/>
      <c r="G217" s="124"/>
      <c r="H217" s="124"/>
      <c r="I217" s="124"/>
    </row>
    <row r="218" ht="15.75" customHeight="1">
      <c r="B218" s="334"/>
      <c r="E218" s="124"/>
      <c r="F218" s="124"/>
      <c r="G218" s="124"/>
      <c r="H218" s="124"/>
      <c r="I218" s="124"/>
    </row>
    <row r="219" ht="15.75" customHeight="1">
      <c r="B219" s="334"/>
      <c r="E219" s="124"/>
      <c r="F219" s="124"/>
      <c r="G219" s="124"/>
      <c r="H219" s="124"/>
      <c r="I219" s="124"/>
    </row>
    <row r="220" ht="15.75" customHeight="1">
      <c r="B220" s="334"/>
      <c r="E220" s="124"/>
      <c r="F220" s="124"/>
      <c r="G220" s="124"/>
      <c r="H220" s="124"/>
      <c r="I220" s="124"/>
    </row>
    <row r="221" ht="15.75" customHeight="1">
      <c r="B221" s="334"/>
      <c r="E221" s="124"/>
      <c r="F221" s="124"/>
      <c r="G221" s="124"/>
      <c r="H221" s="124"/>
      <c r="I221" s="124"/>
    </row>
    <row r="222" ht="15.75" customHeight="1">
      <c r="B222" s="334"/>
      <c r="E222" s="124"/>
      <c r="F222" s="124"/>
      <c r="G222" s="124"/>
      <c r="H222" s="124"/>
      <c r="I222" s="124"/>
    </row>
    <row r="223" ht="15.75" customHeight="1">
      <c r="B223" s="334"/>
      <c r="E223" s="124"/>
      <c r="F223" s="124"/>
      <c r="G223" s="124"/>
      <c r="H223" s="124"/>
      <c r="I223" s="124"/>
    </row>
    <row r="224" ht="15.75" customHeight="1">
      <c r="B224" s="334"/>
      <c r="E224" s="124"/>
      <c r="F224" s="124"/>
      <c r="G224" s="124"/>
      <c r="H224" s="124"/>
      <c r="I224" s="124"/>
    </row>
    <row r="225" ht="15.75" customHeight="1">
      <c r="B225" s="334"/>
      <c r="E225" s="124"/>
      <c r="F225" s="124"/>
      <c r="G225" s="124"/>
      <c r="H225" s="124"/>
      <c r="I225" s="124"/>
    </row>
    <row r="226" ht="15.75" customHeight="1">
      <c r="B226" s="334"/>
      <c r="E226" s="124"/>
      <c r="F226" s="124"/>
      <c r="G226" s="124"/>
      <c r="H226" s="124"/>
      <c r="I226" s="124"/>
    </row>
    <row r="227" ht="15.75" customHeight="1">
      <c r="B227" s="334"/>
      <c r="E227" s="124"/>
      <c r="F227" s="124"/>
      <c r="G227" s="124"/>
      <c r="H227" s="124"/>
      <c r="I227" s="124"/>
    </row>
    <row r="228" ht="15.75" customHeight="1">
      <c r="B228" s="334"/>
      <c r="E228" s="124"/>
      <c r="F228" s="124"/>
      <c r="G228" s="124"/>
      <c r="H228" s="124"/>
      <c r="I228" s="124"/>
    </row>
    <row r="229" ht="15.75" customHeight="1">
      <c r="B229" s="334"/>
      <c r="E229" s="124"/>
      <c r="F229" s="124"/>
      <c r="G229" s="124"/>
      <c r="H229" s="124"/>
      <c r="I229" s="124"/>
    </row>
    <row r="230" ht="15.75" customHeight="1">
      <c r="B230" s="334"/>
      <c r="E230" s="124"/>
      <c r="F230" s="124"/>
      <c r="G230" s="124"/>
      <c r="H230" s="124"/>
      <c r="I230" s="124"/>
    </row>
    <row r="231" ht="15.75" customHeight="1">
      <c r="B231" s="334"/>
      <c r="E231" s="124"/>
      <c r="F231" s="124"/>
      <c r="G231" s="124"/>
      <c r="H231" s="124"/>
      <c r="I231" s="124"/>
    </row>
    <row r="232" ht="15.75" customHeight="1">
      <c r="B232" s="334"/>
      <c r="E232" s="124"/>
      <c r="F232" s="124"/>
      <c r="G232" s="124"/>
      <c r="H232" s="124"/>
      <c r="I232" s="124"/>
    </row>
    <row r="233" ht="15.75" customHeight="1">
      <c r="B233" s="334"/>
      <c r="E233" s="124"/>
      <c r="F233" s="124"/>
      <c r="G233" s="124"/>
      <c r="H233" s="124"/>
      <c r="I233" s="124"/>
    </row>
    <row r="234" ht="15.75" customHeight="1">
      <c r="B234" s="334"/>
      <c r="E234" s="124"/>
      <c r="F234" s="124"/>
      <c r="G234" s="124"/>
      <c r="H234" s="124"/>
      <c r="I234" s="124"/>
    </row>
    <row r="235" ht="15.75" customHeight="1">
      <c r="B235" s="334"/>
      <c r="E235" s="124"/>
      <c r="F235" s="124"/>
      <c r="G235" s="124"/>
      <c r="H235" s="124"/>
      <c r="I235" s="124"/>
    </row>
    <row r="236" ht="15.75" customHeight="1">
      <c r="B236" s="334"/>
      <c r="E236" s="124"/>
      <c r="F236" s="124"/>
      <c r="G236" s="124"/>
      <c r="H236" s="124"/>
      <c r="I236" s="124"/>
    </row>
    <row r="237" ht="15.75" customHeight="1">
      <c r="B237" s="334"/>
      <c r="E237" s="124"/>
      <c r="F237" s="124"/>
      <c r="G237" s="124"/>
      <c r="H237" s="124"/>
      <c r="I237" s="124"/>
    </row>
    <row r="238" ht="15.75" customHeight="1">
      <c r="B238" s="334"/>
      <c r="E238" s="124"/>
      <c r="F238" s="124"/>
      <c r="G238" s="124"/>
      <c r="H238" s="124"/>
      <c r="I238" s="124"/>
    </row>
    <row r="239" ht="15.75" customHeight="1">
      <c r="B239" s="334"/>
      <c r="E239" s="124"/>
      <c r="F239" s="124"/>
      <c r="G239" s="124"/>
      <c r="H239" s="124"/>
      <c r="I239" s="124"/>
    </row>
    <row r="240" ht="15.75" customHeight="1">
      <c r="B240" s="334"/>
      <c r="E240" s="124"/>
      <c r="F240" s="124"/>
      <c r="G240" s="124"/>
      <c r="H240" s="124"/>
      <c r="I240" s="124"/>
    </row>
    <row r="241" ht="15.75" customHeight="1">
      <c r="B241" s="334"/>
      <c r="E241" s="124"/>
      <c r="F241" s="124"/>
      <c r="G241" s="124"/>
      <c r="H241" s="124"/>
      <c r="I241" s="124"/>
    </row>
    <row r="242" ht="15.75" customHeight="1">
      <c r="B242" s="334"/>
      <c r="E242" s="124"/>
      <c r="F242" s="124"/>
      <c r="G242" s="124"/>
      <c r="H242" s="124"/>
      <c r="I242" s="124"/>
    </row>
    <row r="243" ht="15.75" customHeight="1">
      <c r="B243" s="334"/>
      <c r="E243" s="124"/>
      <c r="F243" s="124"/>
      <c r="G243" s="124"/>
      <c r="H243" s="124"/>
      <c r="I243" s="124"/>
    </row>
    <row r="244" ht="15.75" customHeight="1">
      <c r="B244" s="334"/>
      <c r="E244" s="124"/>
      <c r="F244" s="124"/>
      <c r="G244" s="124"/>
      <c r="H244" s="124"/>
      <c r="I244" s="124"/>
    </row>
    <row r="245" ht="15.75" customHeight="1">
      <c r="B245" s="334"/>
      <c r="E245" s="124"/>
      <c r="F245" s="124"/>
      <c r="G245" s="124"/>
      <c r="H245" s="124"/>
      <c r="I245" s="124"/>
    </row>
    <row r="246" ht="15.75" customHeight="1">
      <c r="B246" s="334"/>
      <c r="E246" s="124"/>
      <c r="F246" s="124"/>
      <c r="G246" s="124"/>
      <c r="H246" s="124"/>
      <c r="I246" s="124"/>
    </row>
    <row r="247" ht="15.75" customHeight="1">
      <c r="B247" s="334"/>
      <c r="E247" s="124"/>
      <c r="F247" s="124"/>
      <c r="G247" s="124"/>
      <c r="H247" s="124"/>
      <c r="I247" s="124"/>
    </row>
    <row r="248" ht="15.75" customHeight="1">
      <c r="B248" s="334"/>
      <c r="E248" s="124"/>
      <c r="F248" s="124"/>
      <c r="G248" s="124"/>
      <c r="H248" s="124"/>
      <c r="I248" s="124"/>
    </row>
    <row r="249" ht="15.75" customHeight="1">
      <c r="B249" s="334"/>
      <c r="E249" s="124"/>
      <c r="F249" s="124"/>
      <c r="G249" s="124"/>
      <c r="H249" s="124"/>
      <c r="I249" s="124"/>
    </row>
    <row r="250" ht="15.75" customHeight="1">
      <c r="B250" s="334"/>
      <c r="E250" s="124"/>
      <c r="F250" s="124"/>
      <c r="G250" s="124"/>
      <c r="H250" s="124"/>
      <c r="I250" s="124"/>
    </row>
    <row r="251" ht="15.75" customHeight="1">
      <c r="B251" s="334"/>
      <c r="E251" s="124"/>
      <c r="F251" s="124"/>
      <c r="G251" s="124"/>
      <c r="H251" s="124"/>
      <c r="I251" s="124"/>
    </row>
    <row r="252" ht="15.75" customHeight="1">
      <c r="B252" s="334"/>
      <c r="E252" s="124"/>
      <c r="F252" s="124"/>
      <c r="G252" s="124"/>
      <c r="H252" s="124"/>
      <c r="I252" s="124"/>
    </row>
    <row r="253" ht="15.75" customHeight="1">
      <c r="B253" s="334"/>
      <c r="E253" s="124"/>
      <c r="F253" s="124"/>
      <c r="G253" s="124"/>
      <c r="H253" s="124"/>
      <c r="I253" s="124"/>
    </row>
    <row r="254" ht="15.75" customHeight="1">
      <c r="B254" s="334"/>
      <c r="E254" s="124"/>
      <c r="F254" s="124"/>
      <c r="G254" s="124"/>
      <c r="H254" s="124"/>
      <c r="I254" s="124"/>
    </row>
    <row r="255" ht="15.75" customHeight="1">
      <c r="B255" s="334"/>
      <c r="E255" s="124"/>
      <c r="F255" s="124"/>
      <c r="G255" s="124"/>
      <c r="H255" s="124"/>
      <c r="I255" s="124"/>
    </row>
    <row r="256" ht="15.75" customHeight="1">
      <c r="B256" s="334"/>
      <c r="E256" s="124"/>
      <c r="F256" s="124"/>
      <c r="G256" s="124"/>
      <c r="H256" s="124"/>
      <c r="I256" s="124"/>
    </row>
    <row r="257" ht="15.75" customHeight="1">
      <c r="B257" s="334"/>
      <c r="E257" s="124"/>
      <c r="F257" s="124"/>
      <c r="G257" s="124"/>
      <c r="H257" s="124"/>
      <c r="I257" s="124"/>
    </row>
    <row r="258" ht="15.75" customHeight="1">
      <c r="B258" s="334"/>
      <c r="E258" s="124"/>
      <c r="F258" s="124"/>
      <c r="G258" s="124"/>
      <c r="H258" s="124"/>
      <c r="I258" s="124"/>
    </row>
    <row r="259" ht="15.75" customHeight="1">
      <c r="B259" s="334"/>
      <c r="E259" s="124"/>
      <c r="F259" s="124"/>
      <c r="G259" s="124"/>
      <c r="H259" s="124"/>
      <c r="I259" s="124"/>
    </row>
    <row r="260" ht="15.75" customHeight="1">
      <c r="B260" s="334"/>
      <c r="E260" s="124"/>
      <c r="F260" s="124"/>
      <c r="G260" s="124"/>
      <c r="H260" s="124"/>
      <c r="I260" s="124"/>
    </row>
    <row r="261" ht="15.75" customHeight="1">
      <c r="B261" s="334"/>
      <c r="E261" s="124"/>
      <c r="F261" s="124"/>
      <c r="G261" s="124"/>
      <c r="H261" s="124"/>
      <c r="I261" s="124"/>
    </row>
    <row r="262" ht="15.75" customHeight="1">
      <c r="B262" s="334"/>
      <c r="E262" s="124"/>
      <c r="F262" s="124"/>
      <c r="G262" s="124"/>
      <c r="H262" s="124"/>
      <c r="I262" s="124"/>
    </row>
    <row r="263" ht="15.75" customHeight="1">
      <c r="B263" s="334"/>
      <c r="E263" s="124"/>
      <c r="F263" s="124"/>
      <c r="G263" s="124"/>
      <c r="H263" s="124"/>
      <c r="I263" s="124"/>
    </row>
    <row r="264" ht="15.75" customHeight="1">
      <c r="B264" s="334"/>
      <c r="E264" s="124"/>
      <c r="F264" s="124"/>
      <c r="G264" s="124"/>
      <c r="H264" s="124"/>
      <c r="I264" s="124"/>
    </row>
    <row r="265" ht="15.75" customHeight="1">
      <c r="B265" s="334"/>
      <c r="E265" s="124"/>
      <c r="F265" s="124"/>
      <c r="G265" s="124"/>
      <c r="H265" s="124"/>
      <c r="I265" s="124"/>
    </row>
    <row r="266" ht="15.75" customHeight="1">
      <c r="B266" s="334"/>
      <c r="E266" s="124"/>
      <c r="F266" s="124"/>
      <c r="G266" s="124"/>
      <c r="H266" s="124"/>
      <c r="I266" s="124"/>
    </row>
    <row r="267" ht="15.75" customHeight="1">
      <c r="B267" s="334"/>
      <c r="E267" s="124"/>
      <c r="F267" s="124"/>
      <c r="G267" s="124"/>
      <c r="H267" s="124"/>
      <c r="I267" s="124"/>
    </row>
    <row r="268" ht="15.75" customHeight="1">
      <c r="B268" s="334"/>
      <c r="E268" s="124"/>
      <c r="F268" s="124"/>
      <c r="G268" s="124"/>
      <c r="H268" s="124"/>
      <c r="I268" s="124"/>
    </row>
    <row r="269" ht="15.75" customHeight="1">
      <c r="B269" s="334"/>
      <c r="E269" s="124"/>
      <c r="F269" s="124"/>
      <c r="G269" s="124"/>
      <c r="H269" s="124"/>
      <c r="I269" s="124"/>
    </row>
    <row r="270" ht="15.75" customHeight="1">
      <c r="B270" s="334"/>
      <c r="E270" s="124"/>
      <c r="F270" s="124"/>
      <c r="G270" s="124"/>
      <c r="H270" s="124"/>
      <c r="I270" s="124"/>
    </row>
    <row r="271" ht="15.75" customHeight="1">
      <c r="B271" s="334"/>
      <c r="E271" s="124"/>
      <c r="F271" s="124"/>
      <c r="G271" s="124"/>
      <c r="H271" s="124"/>
      <c r="I271" s="124"/>
    </row>
    <row r="272" ht="15.75" customHeight="1">
      <c r="B272" s="334"/>
      <c r="E272" s="124"/>
      <c r="F272" s="124"/>
      <c r="G272" s="124"/>
      <c r="H272" s="124"/>
      <c r="I272" s="124"/>
    </row>
    <row r="273" ht="15.75" customHeight="1">
      <c r="B273" s="334"/>
      <c r="E273" s="124"/>
      <c r="F273" s="124"/>
      <c r="G273" s="124"/>
      <c r="H273" s="124"/>
      <c r="I273" s="124"/>
    </row>
    <row r="274" ht="15.75" customHeight="1">
      <c r="B274" s="334"/>
      <c r="E274" s="124"/>
      <c r="F274" s="124"/>
      <c r="G274" s="124"/>
      <c r="H274" s="124"/>
      <c r="I274" s="124"/>
    </row>
    <row r="275" ht="15.75" customHeight="1">
      <c r="B275" s="334"/>
      <c r="E275" s="124"/>
      <c r="F275" s="124"/>
      <c r="G275" s="124"/>
      <c r="H275" s="124"/>
      <c r="I275" s="124"/>
    </row>
    <row r="276" ht="15.75" customHeight="1">
      <c r="B276" s="334"/>
      <c r="E276" s="124"/>
      <c r="F276" s="124"/>
      <c r="G276" s="124"/>
      <c r="H276" s="124"/>
      <c r="I276" s="124"/>
    </row>
    <row r="277" ht="15.75" customHeight="1">
      <c r="B277" s="334"/>
      <c r="E277" s="124"/>
      <c r="F277" s="124"/>
      <c r="G277" s="124"/>
      <c r="H277" s="124"/>
      <c r="I277" s="124"/>
    </row>
    <row r="278" ht="15.75" customHeight="1">
      <c r="B278" s="334"/>
      <c r="E278" s="124"/>
      <c r="F278" s="124"/>
      <c r="G278" s="124"/>
      <c r="H278" s="124"/>
      <c r="I278" s="124"/>
    </row>
    <row r="279" ht="15.75" customHeight="1">
      <c r="B279" s="334"/>
      <c r="E279" s="124"/>
      <c r="F279" s="124"/>
      <c r="G279" s="124"/>
      <c r="H279" s="124"/>
      <c r="I279" s="124"/>
    </row>
    <row r="280" ht="15.75" customHeight="1">
      <c r="B280" s="334"/>
      <c r="E280" s="124"/>
      <c r="F280" s="124"/>
      <c r="G280" s="124"/>
      <c r="H280" s="124"/>
      <c r="I280" s="124"/>
    </row>
    <row r="281" ht="15.75" customHeight="1">
      <c r="B281" s="334"/>
      <c r="E281" s="124"/>
      <c r="F281" s="124"/>
      <c r="G281" s="124"/>
      <c r="H281" s="124"/>
      <c r="I281" s="124"/>
    </row>
    <row r="282" ht="15.75" customHeight="1">
      <c r="B282" s="334"/>
      <c r="E282" s="124"/>
      <c r="F282" s="124"/>
      <c r="G282" s="124"/>
      <c r="H282" s="124"/>
      <c r="I282" s="124"/>
    </row>
    <row r="283" ht="15.75" customHeight="1">
      <c r="B283" s="334"/>
      <c r="E283" s="124"/>
      <c r="F283" s="124"/>
      <c r="G283" s="124"/>
      <c r="H283" s="124"/>
      <c r="I283" s="124"/>
    </row>
    <row r="284" ht="15.75" customHeight="1">
      <c r="B284" s="334"/>
      <c r="E284" s="124"/>
      <c r="F284" s="124"/>
      <c r="G284" s="124"/>
      <c r="H284" s="124"/>
      <c r="I284" s="124"/>
    </row>
    <row r="285" ht="15.75" customHeight="1">
      <c r="B285" s="334"/>
      <c r="E285" s="124"/>
      <c r="F285" s="124"/>
      <c r="G285" s="124"/>
      <c r="H285" s="124"/>
      <c r="I285" s="124"/>
    </row>
    <row r="286" ht="15.75" customHeight="1">
      <c r="B286" s="334"/>
      <c r="E286" s="124"/>
      <c r="F286" s="124"/>
      <c r="G286" s="124"/>
      <c r="H286" s="124"/>
      <c r="I286" s="124"/>
    </row>
    <row r="287" ht="15.75" customHeight="1">
      <c r="B287" s="334"/>
      <c r="E287" s="124"/>
      <c r="F287" s="124"/>
      <c r="G287" s="124"/>
      <c r="H287" s="124"/>
      <c r="I287" s="124"/>
    </row>
    <row r="288" ht="15.75" customHeight="1">
      <c r="B288" s="334"/>
      <c r="E288" s="124"/>
      <c r="F288" s="124"/>
      <c r="G288" s="124"/>
      <c r="H288" s="124"/>
      <c r="I288" s="124"/>
    </row>
    <row r="289" ht="15.75" customHeight="1">
      <c r="B289" s="334"/>
      <c r="E289" s="124"/>
      <c r="F289" s="124"/>
      <c r="G289" s="124"/>
      <c r="H289" s="124"/>
      <c r="I289" s="124"/>
    </row>
    <row r="290" ht="15.75" customHeight="1">
      <c r="B290" s="334"/>
      <c r="E290" s="124"/>
      <c r="F290" s="124"/>
      <c r="G290" s="124"/>
      <c r="H290" s="124"/>
      <c r="I290" s="124"/>
    </row>
    <row r="291" ht="15.75" customHeight="1">
      <c r="B291" s="334"/>
      <c r="E291" s="124"/>
      <c r="F291" s="124"/>
      <c r="G291" s="124"/>
      <c r="H291" s="124"/>
      <c r="I291" s="124"/>
    </row>
    <row r="292" ht="15.75" customHeight="1">
      <c r="B292" s="334"/>
      <c r="E292" s="124"/>
      <c r="F292" s="124"/>
      <c r="G292" s="124"/>
      <c r="H292" s="124"/>
      <c r="I292" s="124"/>
    </row>
    <row r="293" ht="15.75" customHeight="1">
      <c r="B293" s="334"/>
      <c r="E293" s="124"/>
      <c r="F293" s="124"/>
      <c r="G293" s="124"/>
      <c r="H293" s="124"/>
      <c r="I293" s="124"/>
    </row>
    <row r="294" ht="15.75" customHeight="1">
      <c r="B294" s="334"/>
      <c r="E294" s="124"/>
      <c r="F294" s="124"/>
      <c r="G294" s="124"/>
      <c r="H294" s="124"/>
      <c r="I294" s="124"/>
    </row>
    <row r="295" ht="15.75" customHeight="1">
      <c r="B295" s="334"/>
      <c r="E295" s="124"/>
      <c r="F295" s="124"/>
      <c r="G295" s="124"/>
      <c r="H295" s="124"/>
      <c r="I295" s="124"/>
    </row>
    <row r="296" ht="15.75" customHeight="1">
      <c r="B296" s="334"/>
      <c r="E296" s="124"/>
      <c r="F296" s="124"/>
      <c r="G296" s="124"/>
      <c r="H296" s="124"/>
      <c r="I296" s="124"/>
    </row>
    <row r="297" ht="15.75" customHeight="1">
      <c r="B297" s="334"/>
      <c r="E297" s="124"/>
      <c r="F297" s="124"/>
      <c r="G297" s="124"/>
      <c r="H297" s="124"/>
      <c r="I297" s="124"/>
    </row>
    <row r="298" ht="15.75" customHeight="1">
      <c r="B298" s="334"/>
      <c r="E298" s="124"/>
      <c r="F298" s="124"/>
      <c r="G298" s="124"/>
      <c r="H298" s="124"/>
      <c r="I298" s="124"/>
    </row>
    <row r="299" ht="15.75" customHeight="1">
      <c r="B299" s="334"/>
      <c r="E299" s="124"/>
      <c r="F299" s="124"/>
      <c r="G299" s="124"/>
      <c r="H299" s="124"/>
      <c r="I299" s="124"/>
    </row>
    <row r="300" ht="15.75" customHeight="1">
      <c r="B300" s="334"/>
      <c r="E300" s="124"/>
      <c r="F300" s="124"/>
      <c r="G300" s="124"/>
      <c r="H300" s="124"/>
      <c r="I300" s="124"/>
    </row>
    <row r="301" ht="15.75" customHeight="1">
      <c r="B301" s="334"/>
      <c r="E301" s="124"/>
      <c r="F301" s="124"/>
      <c r="G301" s="124"/>
      <c r="H301" s="124"/>
      <c r="I301" s="124"/>
    </row>
    <row r="302" ht="15.75" customHeight="1">
      <c r="B302" s="334"/>
      <c r="E302" s="124"/>
      <c r="F302" s="124"/>
      <c r="G302" s="124"/>
      <c r="H302" s="124"/>
      <c r="I302" s="124"/>
    </row>
    <row r="303" ht="15.75" customHeight="1">
      <c r="B303" s="334"/>
      <c r="E303" s="124"/>
      <c r="F303" s="124"/>
      <c r="G303" s="124"/>
      <c r="H303" s="124"/>
      <c r="I303" s="124"/>
    </row>
    <row r="304" ht="15.75" customHeight="1">
      <c r="B304" s="334"/>
      <c r="E304" s="124"/>
      <c r="F304" s="124"/>
      <c r="G304" s="124"/>
      <c r="H304" s="124"/>
      <c r="I304" s="124"/>
    </row>
    <row r="305" ht="15.75" customHeight="1">
      <c r="B305" s="334"/>
      <c r="E305" s="124"/>
      <c r="F305" s="124"/>
      <c r="G305" s="124"/>
      <c r="H305" s="124"/>
      <c r="I305" s="124"/>
    </row>
    <row r="306" ht="15.75" customHeight="1">
      <c r="B306" s="334"/>
      <c r="E306" s="124"/>
      <c r="F306" s="124"/>
      <c r="G306" s="124"/>
      <c r="H306" s="124"/>
      <c r="I306" s="124"/>
    </row>
    <row r="307" ht="15.75" customHeight="1">
      <c r="B307" s="334"/>
      <c r="E307" s="124"/>
      <c r="F307" s="124"/>
      <c r="G307" s="124"/>
      <c r="H307" s="124"/>
      <c r="I307" s="124"/>
    </row>
    <row r="308" ht="15.75" customHeight="1">
      <c r="B308" s="334"/>
      <c r="E308" s="124"/>
      <c r="F308" s="124"/>
      <c r="G308" s="124"/>
      <c r="H308" s="124"/>
      <c r="I308" s="124"/>
    </row>
    <row r="309" ht="15.75" customHeight="1">
      <c r="B309" s="334"/>
      <c r="E309" s="124"/>
      <c r="F309" s="124"/>
      <c r="G309" s="124"/>
      <c r="H309" s="124"/>
      <c r="I309" s="124"/>
    </row>
    <row r="310" ht="15.75" customHeight="1">
      <c r="B310" s="334"/>
      <c r="E310" s="124"/>
      <c r="F310" s="124"/>
      <c r="G310" s="124"/>
      <c r="H310" s="124"/>
      <c r="I310" s="124"/>
    </row>
    <row r="311" ht="15.75" customHeight="1">
      <c r="B311" s="334"/>
      <c r="E311" s="124"/>
      <c r="F311" s="124"/>
      <c r="G311" s="124"/>
      <c r="H311" s="124"/>
      <c r="I311" s="124"/>
    </row>
    <row r="312" ht="15.75" customHeight="1">
      <c r="B312" s="334"/>
      <c r="E312" s="124"/>
      <c r="F312" s="124"/>
      <c r="G312" s="124"/>
      <c r="H312" s="124"/>
      <c r="I312" s="124"/>
    </row>
    <row r="313" ht="15.75" customHeight="1">
      <c r="B313" s="334"/>
      <c r="E313" s="124"/>
      <c r="F313" s="124"/>
      <c r="G313" s="124"/>
      <c r="H313" s="124"/>
      <c r="I313" s="124"/>
    </row>
    <row r="314" ht="15.75" customHeight="1">
      <c r="B314" s="334"/>
      <c r="E314" s="124"/>
      <c r="F314" s="124"/>
      <c r="G314" s="124"/>
      <c r="H314" s="124"/>
      <c r="I314" s="124"/>
    </row>
    <row r="315" ht="15.75" customHeight="1">
      <c r="B315" s="334"/>
      <c r="E315" s="124"/>
      <c r="F315" s="124"/>
      <c r="G315" s="124"/>
      <c r="H315" s="124"/>
      <c r="I315" s="124"/>
    </row>
    <row r="316" ht="15.75" customHeight="1">
      <c r="B316" s="334"/>
      <c r="E316" s="124"/>
      <c r="F316" s="124"/>
      <c r="G316" s="124"/>
      <c r="H316" s="124"/>
      <c r="I316" s="124"/>
    </row>
    <row r="317" ht="15.75" customHeight="1">
      <c r="B317" s="334"/>
      <c r="E317" s="124"/>
      <c r="F317" s="124"/>
      <c r="G317" s="124"/>
      <c r="H317" s="124"/>
      <c r="I317" s="124"/>
    </row>
    <row r="318" ht="15.75" customHeight="1">
      <c r="B318" s="334"/>
      <c r="E318" s="124"/>
      <c r="F318" s="124"/>
      <c r="G318" s="124"/>
      <c r="H318" s="124"/>
      <c r="I318" s="124"/>
    </row>
    <row r="319" ht="15.75" customHeight="1">
      <c r="B319" s="334"/>
      <c r="E319" s="124"/>
      <c r="F319" s="124"/>
      <c r="G319" s="124"/>
      <c r="H319" s="124"/>
      <c r="I319" s="124"/>
    </row>
    <row r="320" ht="15.75" customHeight="1">
      <c r="B320" s="334"/>
      <c r="E320" s="124"/>
      <c r="F320" s="124"/>
      <c r="G320" s="124"/>
      <c r="H320" s="124"/>
      <c r="I320" s="124"/>
    </row>
    <row r="321" ht="15.75" customHeight="1">
      <c r="B321" s="334"/>
      <c r="E321" s="124"/>
      <c r="F321" s="124"/>
      <c r="G321" s="124"/>
      <c r="H321" s="124"/>
      <c r="I321" s="124"/>
    </row>
    <row r="322" ht="15.75" customHeight="1">
      <c r="B322" s="334"/>
      <c r="E322" s="124"/>
      <c r="F322" s="124"/>
      <c r="G322" s="124"/>
      <c r="H322" s="124"/>
      <c r="I322" s="124"/>
    </row>
    <row r="323" ht="15.75" customHeight="1">
      <c r="B323" s="334"/>
      <c r="E323" s="124"/>
      <c r="F323" s="124"/>
      <c r="G323" s="124"/>
      <c r="H323" s="124"/>
      <c r="I323" s="124"/>
    </row>
    <row r="324" ht="15.75" customHeight="1">
      <c r="B324" s="334"/>
      <c r="E324" s="124"/>
      <c r="F324" s="124"/>
      <c r="G324" s="124"/>
      <c r="H324" s="124"/>
      <c r="I324" s="124"/>
    </row>
    <row r="325" ht="15.75" customHeight="1">
      <c r="B325" s="334"/>
      <c r="E325" s="124"/>
      <c r="F325" s="124"/>
      <c r="G325" s="124"/>
      <c r="H325" s="124"/>
      <c r="I325" s="124"/>
    </row>
    <row r="326" ht="15.75" customHeight="1">
      <c r="B326" s="334"/>
      <c r="E326" s="124"/>
      <c r="F326" s="124"/>
      <c r="G326" s="124"/>
      <c r="H326" s="124"/>
      <c r="I326" s="124"/>
    </row>
    <row r="327" ht="15.75" customHeight="1">
      <c r="B327" s="334"/>
      <c r="E327" s="124"/>
      <c r="F327" s="124"/>
      <c r="G327" s="124"/>
      <c r="H327" s="124"/>
      <c r="I327" s="124"/>
    </row>
    <row r="328" ht="15.75" customHeight="1">
      <c r="B328" s="334"/>
      <c r="E328" s="124"/>
      <c r="F328" s="124"/>
      <c r="G328" s="124"/>
      <c r="H328" s="124"/>
      <c r="I328" s="124"/>
    </row>
    <row r="329" ht="15.75" customHeight="1">
      <c r="B329" s="334"/>
      <c r="E329" s="124"/>
      <c r="F329" s="124"/>
      <c r="G329" s="124"/>
      <c r="H329" s="124"/>
      <c r="I329" s="124"/>
    </row>
    <row r="330" ht="15.75" customHeight="1">
      <c r="B330" s="334"/>
      <c r="E330" s="124"/>
      <c r="F330" s="124"/>
      <c r="G330" s="124"/>
      <c r="H330" s="124"/>
      <c r="I330" s="124"/>
    </row>
    <row r="331" ht="15.75" customHeight="1">
      <c r="B331" s="334"/>
      <c r="E331" s="124"/>
      <c r="F331" s="124"/>
      <c r="G331" s="124"/>
      <c r="H331" s="124"/>
      <c r="I331" s="124"/>
    </row>
    <row r="332" ht="15.75" customHeight="1">
      <c r="B332" s="334"/>
      <c r="E332" s="124"/>
      <c r="F332" s="124"/>
      <c r="G332" s="124"/>
      <c r="H332" s="124"/>
      <c r="I332" s="124"/>
    </row>
    <row r="333" ht="15.75" customHeight="1">
      <c r="B333" s="334"/>
      <c r="E333" s="124"/>
      <c r="F333" s="124"/>
      <c r="G333" s="124"/>
      <c r="H333" s="124"/>
      <c r="I333" s="124"/>
    </row>
    <row r="334" ht="15.75" customHeight="1">
      <c r="B334" s="334"/>
      <c r="E334" s="124"/>
      <c r="F334" s="124"/>
      <c r="G334" s="124"/>
      <c r="H334" s="124"/>
      <c r="I334" s="124"/>
    </row>
    <row r="335" ht="15.75" customHeight="1">
      <c r="B335" s="334"/>
      <c r="E335" s="124"/>
      <c r="F335" s="124"/>
      <c r="G335" s="124"/>
      <c r="H335" s="124"/>
      <c r="I335" s="124"/>
    </row>
    <row r="336" ht="15.75" customHeight="1">
      <c r="B336" s="334"/>
      <c r="E336" s="124"/>
      <c r="F336" s="124"/>
      <c r="G336" s="124"/>
      <c r="H336" s="124"/>
      <c r="I336" s="124"/>
    </row>
    <row r="337" ht="15.75" customHeight="1">
      <c r="B337" s="334"/>
      <c r="E337" s="124"/>
      <c r="F337" s="124"/>
      <c r="G337" s="124"/>
      <c r="H337" s="124"/>
      <c r="I337" s="124"/>
    </row>
    <row r="338" ht="15.75" customHeight="1">
      <c r="B338" s="334"/>
      <c r="E338" s="124"/>
      <c r="F338" s="124"/>
      <c r="G338" s="124"/>
      <c r="H338" s="124"/>
      <c r="I338" s="124"/>
    </row>
    <row r="339" ht="15.75" customHeight="1">
      <c r="B339" s="334"/>
      <c r="E339" s="124"/>
      <c r="F339" s="124"/>
      <c r="G339" s="124"/>
      <c r="H339" s="124"/>
      <c r="I339" s="124"/>
    </row>
    <row r="340" ht="15.75" customHeight="1">
      <c r="B340" s="334"/>
      <c r="E340" s="124"/>
      <c r="F340" s="124"/>
      <c r="G340" s="124"/>
      <c r="H340" s="124"/>
      <c r="I340" s="124"/>
    </row>
    <row r="341" ht="15.75" customHeight="1">
      <c r="B341" s="334"/>
      <c r="E341" s="124"/>
      <c r="F341" s="124"/>
      <c r="G341" s="124"/>
      <c r="H341" s="124"/>
      <c r="I341" s="124"/>
    </row>
    <row r="342" ht="15.75" customHeight="1">
      <c r="B342" s="334"/>
      <c r="E342" s="124"/>
      <c r="F342" s="124"/>
      <c r="G342" s="124"/>
      <c r="H342" s="124"/>
      <c r="I342" s="124"/>
    </row>
    <row r="343" ht="15.75" customHeight="1">
      <c r="B343" s="334"/>
      <c r="E343" s="124"/>
      <c r="F343" s="124"/>
      <c r="G343" s="124"/>
      <c r="H343" s="124"/>
      <c r="I343" s="124"/>
    </row>
    <row r="344" ht="15.75" customHeight="1">
      <c r="B344" s="334"/>
      <c r="E344" s="124"/>
      <c r="F344" s="124"/>
      <c r="G344" s="124"/>
      <c r="H344" s="124"/>
      <c r="I344" s="124"/>
    </row>
    <row r="345" ht="15.75" customHeight="1">
      <c r="B345" s="334"/>
      <c r="E345" s="124"/>
      <c r="F345" s="124"/>
      <c r="G345" s="124"/>
      <c r="H345" s="124"/>
      <c r="I345" s="124"/>
    </row>
    <row r="346" ht="15.75" customHeight="1">
      <c r="B346" s="334"/>
      <c r="E346" s="124"/>
      <c r="F346" s="124"/>
      <c r="G346" s="124"/>
      <c r="H346" s="124"/>
      <c r="I346" s="124"/>
    </row>
    <row r="347" ht="15.75" customHeight="1">
      <c r="B347" s="334"/>
      <c r="E347" s="124"/>
      <c r="F347" s="124"/>
      <c r="G347" s="124"/>
      <c r="H347" s="124"/>
      <c r="I347" s="124"/>
    </row>
    <row r="348" ht="15.75" customHeight="1">
      <c r="B348" s="334"/>
      <c r="E348" s="124"/>
      <c r="F348" s="124"/>
      <c r="G348" s="124"/>
      <c r="H348" s="124"/>
      <c r="I348" s="124"/>
    </row>
    <row r="349" ht="15.75" customHeight="1">
      <c r="B349" s="334"/>
      <c r="E349" s="124"/>
      <c r="F349" s="124"/>
      <c r="G349" s="124"/>
      <c r="H349" s="124"/>
      <c r="I349" s="124"/>
    </row>
    <row r="350" ht="15.75" customHeight="1">
      <c r="B350" s="334"/>
      <c r="E350" s="124"/>
      <c r="F350" s="124"/>
      <c r="G350" s="124"/>
      <c r="H350" s="124"/>
      <c r="I350" s="124"/>
    </row>
    <row r="351" ht="15.75" customHeight="1">
      <c r="B351" s="334"/>
      <c r="E351" s="124"/>
      <c r="F351" s="124"/>
      <c r="G351" s="124"/>
      <c r="H351" s="124"/>
      <c r="I351" s="124"/>
    </row>
    <row r="352" ht="15.75" customHeight="1">
      <c r="B352" s="334"/>
      <c r="E352" s="124"/>
      <c r="F352" s="124"/>
      <c r="G352" s="124"/>
      <c r="H352" s="124"/>
      <c r="I352" s="124"/>
    </row>
    <row r="353" ht="15.75" customHeight="1">
      <c r="B353" s="334"/>
      <c r="E353" s="124"/>
      <c r="F353" s="124"/>
      <c r="G353" s="124"/>
      <c r="H353" s="124"/>
      <c r="I353" s="124"/>
    </row>
    <row r="354" ht="15.75" customHeight="1">
      <c r="B354" s="334"/>
      <c r="E354" s="124"/>
      <c r="F354" s="124"/>
      <c r="G354" s="124"/>
      <c r="H354" s="124"/>
      <c r="I354" s="124"/>
    </row>
    <row r="355" ht="15.75" customHeight="1">
      <c r="B355" s="334"/>
      <c r="E355" s="124"/>
      <c r="F355" s="124"/>
      <c r="G355" s="124"/>
      <c r="H355" s="124"/>
      <c r="I355" s="124"/>
    </row>
    <row r="356" ht="15.75" customHeight="1">
      <c r="B356" s="334"/>
      <c r="E356" s="124"/>
      <c r="F356" s="124"/>
      <c r="G356" s="124"/>
      <c r="H356" s="124"/>
      <c r="I356" s="124"/>
    </row>
    <row r="357" ht="15.75" customHeight="1">
      <c r="B357" s="334"/>
      <c r="E357" s="124"/>
      <c r="F357" s="124"/>
      <c r="G357" s="124"/>
      <c r="H357" s="124"/>
      <c r="I357" s="124"/>
    </row>
    <row r="358" ht="15.75" customHeight="1">
      <c r="B358" s="334"/>
      <c r="E358" s="124"/>
      <c r="F358" s="124"/>
      <c r="G358" s="124"/>
      <c r="H358" s="124"/>
      <c r="I358" s="124"/>
    </row>
    <row r="359" ht="15.75" customHeight="1">
      <c r="B359" s="334"/>
      <c r="E359" s="124"/>
      <c r="F359" s="124"/>
      <c r="G359" s="124"/>
      <c r="H359" s="124"/>
      <c r="I359" s="124"/>
    </row>
    <row r="360" ht="15.75" customHeight="1">
      <c r="B360" s="334"/>
      <c r="E360" s="124"/>
      <c r="F360" s="124"/>
      <c r="G360" s="124"/>
      <c r="H360" s="124"/>
      <c r="I360" s="124"/>
    </row>
    <row r="361" ht="15.75" customHeight="1">
      <c r="B361" s="334"/>
      <c r="E361" s="124"/>
      <c r="F361" s="124"/>
      <c r="G361" s="124"/>
      <c r="H361" s="124"/>
      <c r="I361" s="124"/>
    </row>
    <row r="362" ht="15.75" customHeight="1">
      <c r="B362" s="334"/>
      <c r="E362" s="124"/>
      <c r="F362" s="124"/>
      <c r="G362" s="124"/>
      <c r="H362" s="124"/>
      <c r="I362" s="124"/>
    </row>
    <row r="363" ht="15.75" customHeight="1">
      <c r="B363" s="334"/>
      <c r="E363" s="124"/>
      <c r="F363" s="124"/>
      <c r="G363" s="124"/>
      <c r="H363" s="124"/>
      <c r="I363" s="124"/>
    </row>
    <row r="364" ht="15.75" customHeight="1">
      <c r="B364" s="334"/>
      <c r="E364" s="124"/>
      <c r="F364" s="124"/>
      <c r="G364" s="124"/>
      <c r="H364" s="124"/>
      <c r="I364" s="124"/>
    </row>
    <row r="365" ht="15.75" customHeight="1">
      <c r="B365" s="334"/>
      <c r="E365" s="124"/>
      <c r="F365" s="124"/>
      <c r="G365" s="124"/>
      <c r="H365" s="124"/>
      <c r="I365" s="124"/>
    </row>
    <row r="366" ht="15.75" customHeight="1">
      <c r="B366" s="334"/>
      <c r="E366" s="124"/>
      <c r="F366" s="124"/>
      <c r="G366" s="124"/>
      <c r="H366" s="124"/>
      <c r="I366" s="124"/>
    </row>
    <row r="367" ht="15.75" customHeight="1">
      <c r="B367" s="334"/>
      <c r="E367" s="124"/>
      <c r="F367" s="124"/>
      <c r="G367" s="124"/>
      <c r="H367" s="124"/>
      <c r="I367" s="124"/>
    </row>
    <row r="368" ht="15.75" customHeight="1">
      <c r="B368" s="334"/>
      <c r="E368" s="124"/>
      <c r="F368" s="124"/>
      <c r="G368" s="124"/>
      <c r="H368" s="124"/>
      <c r="I368" s="124"/>
    </row>
    <row r="369" ht="15.75" customHeight="1">
      <c r="B369" s="334"/>
      <c r="E369" s="124"/>
      <c r="F369" s="124"/>
      <c r="G369" s="124"/>
      <c r="H369" s="124"/>
      <c r="I369" s="124"/>
    </row>
    <row r="370" ht="15.75" customHeight="1">
      <c r="B370" s="334"/>
      <c r="E370" s="124"/>
      <c r="F370" s="124"/>
      <c r="G370" s="124"/>
      <c r="H370" s="124"/>
      <c r="I370" s="124"/>
    </row>
    <row r="371" ht="15.75" customHeight="1">
      <c r="B371" s="334"/>
      <c r="E371" s="124"/>
      <c r="F371" s="124"/>
      <c r="G371" s="124"/>
      <c r="H371" s="124"/>
      <c r="I371" s="124"/>
    </row>
    <row r="372" ht="15.75" customHeight="1">
      <c r="B372" s="334"/>
      <c r="E372" s="124"/>
      <c r="F372" s="124"/>
      <c r="G372" s="124"/>
      <c r="H372" s="124"/>
      <c r="I372" s="124"/>
    </row>
    <row r="373" ht="15.75" customHeight="1">
      <c r="B373" s="334"/>
      <c r="E373" s="124"/>
      <c r="F373" s="124"/>
      <c r="G373" s="124"/>
      <c r="H373" s="124"/>
      <c r="I373" s="124"/>
    </row>
    <row r="374" ht="15.75" customHeight="1">
      <c r="B374" s="334"/>
      <c r="E374" s="124"/>
      <c r="F374" s="124"/>
      <c r="G374" s="124"/>
      <c r="H374" s="124"/>
      <c r="I374" s="124"/>
    </row>
    <row r="375" ht="15.75" customHeight="1">
      <c r="B375" s="334"/>
      <c r="E375" s="124"/>
      <c r="F375" s="124"/>
      <c r="G375" s="124"/>
      <c r="H375" s="124"/>
      <c r="I375" s="124"/>
    </row>
    <row r="376" ht="15.75" customHeight="1">
      <c r="B376" s="334"/>
      <c r="E376" s="124"/>
      <c r="F376" s="124"/>
      <c r="G376" s="124"/>
      <c r="H376" s="124"/>
      <c r="I376" s="124"/>
    </row>
    <row r="377" ht="15.75" customHeight="1">
      <c r="B377" s="334"/>
      <c r="E377" s="124"/>
      <c r="F377" s="124"/>
      <c r="G377" s="124"/>
      <c r="H377" s="124"/>
      <c r="I377" s="124"/>
    </row>
    <row r="378" ht="15.75" customHeight="1">
      <c r="B378" s="334"/>
      <c r="E378" s="124"/>
      <c r="F378" s="124"/>
      <c r="G378" s="124"/>
      <c r="H378" s="124"/>
      <c r="I378" s="124"/>
    </row>
    <row r="379" ht="15.75" customHeight="1">
      <c r="B379" s="334"/>
      <c r="E379" s="124"/>
      <c r="F379" s="124"/>
      <c r="G379" s="124"/>
      <c r="H379" s="124"/>
      <c r="I379" s="124"/>
    </row>
    <row r="380" ht="15.75" customHeight="1">
      <c r="B380" s="334"/>
      <c r="E380" s="124"/>
      <c r="F380" s="124"/>
      <c r="G380" s="124"/>
      <c r="H380" s="124"/>
      <c r="I380" s="124"/>
    </row>
    <row r="381" ht="15.75" customHeight="1">
      <c r="B381" s="334"/>
      <c r="E381" s="124"/>
      <c r="F381" s="124"/>
      <c r="G381" s="124"/>
      <c r="H381" s="124"/>
      <c r="I381" s="124"/>
    </row>
    <row r="382" ht="15.75" customHeight="1">
      <c r="B382" s="334"/>
      <c r="E382" s="124"/>
      <c r="F382" s="124"/>
      <c r="G382" s="124"/>
      <c r="H382" s="124"/>
      <c r="I382" s="124"/>
    </row>
    <row r="383" ht="15.75" customHeight="1">
      <c r="B383" s="334"/>
      <c r="E383" s="124"/>
      <c r="F383" s="124"/>
      <c r="G383" s="124"/>
      <c r="H383" s="124"/>
      <c r="I383" s="124"/>
    </row>
    <row r="384" ht="15.75" customHeight="1">
      <c r="B384" s="334"/>
      <c r="E384" s="124"/>
      <c r="F384" s="124"/>
      <c r="G384" s="124"/>
      <c r="H384" s="124"/>
      <c r="I384" s="124"/>
    </row>
    <row r="385" ht="15.75" customHeight="1">
      <c r="B385" s="334"/>
      <c r="E385" s="124"/>
      <c r="F385" s="124"/>
      <c r="G385" s="124"/>
      <c r="H385" s="124"/>
      <c r="I385" s="124"/>
    </row>
    <row r="386" ht="15.75" customHeight="1">
      <c r="B386" s="334"/>
      <c r="E386" s="124"/>
      <c r="F386" s="124"/>
      <c r="G386" s="124"/>
      <c r="H386" s="124"/>
      <c r="I386" s="124"/>
    </row>
    <row r="387" ht="15.75" customHeight="1">
      <c r="B387" s="334"/>
      <c r="E387" s="124"/>
      <c r="F387" s="124"/>
      <c r="G387" s="124"/>
      <c r="H387" s="124"/>
      <c r="I387" s="124"/>
    </row>
    <row r="388" ht="15.75" customHeight="1">
      <c r="B388" s="334"/>
      <c r="E388" s="124"/>
      <c r="F388" s="124"/>
      <c r="G388" s="124"/>
      <c r="H388" s="124"/>
      <c r="I388" s="124"/>
    </row>
    <row r="389" ht="15.75" customHeight="1">
      <c r="B389" s="334"/>
      <c r="E389" s="124"/>
      <c r="F389" s="124"/>
      <c r="G389" s="124"/>
      <c r="H389" s="124"/>
      <c r="I389" s="124"/>
    </row>
    <row r="390" ht="15.75" customHeight="1">
      <c r="B390" s="334"/>
      <c r="E390" s="124"/>
      <c r="F390" s="124"/>
      <c r="G390" s="124"/>
      <c r="H390" s="124"/>
      <c r="I390" s="124"/>
    </row>
    <row r="391" ht="15.75" customHeight="1">
      <c r="B391" s="334"/>
      <c r="E391" s="124"/>
      <c r="F391" s="124"/>
      <c r="G391" s="124"/>
      <c r="H391" s="124"/>
      <c r="I391" s="124"/>
    </row>
    <row r="392" ht="15.75" customHeight="1">
      <c r="B392" s="334"/>
      <c r="E392" s="124"/>
      <c r="F392" s="124"/>
      <c r="G392" s="124"/>
      <c r="H392" s="124"/>
      <c r="I392" s="124"/>
    </row>
    <row r="393" ht="15.75" customHeight="1">
      <c r="B393" s="334"/>
      <c r="E393" s="124"/>
      <c r="F393" s="124"/>
      <c r="G393" s="124"/>
      <c r="H393" s="124"/>
      <c r="I393" s="124"/>
    </row>
    <row r="394" ht="15.75" customHeight="1">
      <c r="B394" s="334"/>
      <c r="E394" s="124"/>
      <c r="F394" s="124"/>
      <c r="G394" s="124"/>
      <c r="H394" s="124"/>
      <c r="I394" s="124"/>
    </row>
    <row r="395" ht="15.75" customHeight="1">
      <c r="B395" s="334"/>
      <c r="E395" s="124"/>
      <c r="F395" s="124"/>
      <c r="G395" s="124"/>
      <c r="H395" s="124"/>
      <c r="I395" s="124"/>
    </row>
    <row r="396" ht="15.75" customHeight="1">
      <c r="B396" s="334"/>
      <c r="E396" s="124"/>
      <c r="F396" s="124"/>
      <c r="G396" s="124"/>
      <c r="H396" s="124"/>
      <c r="I396" s="124"/>
    </row>
    <row r="397" ht="15.75" customHeight="1">
      <c r="B397" s="334"/>
      <c r="E397" s="124"/>
      <c r="F397" s="124"/>
      <c r="G397" s="124"/>
      <c r="H397" s="124"/>
      <c r="I397" s="124"/>
    </row>
    <row r="398" ht="15.75" customHeight="1">
      <c r="B398" s="334"/>
      <c r="E398" s="124"/>
      <c r="F398" s="124"/>
      <c r="G398" s="124"/>
      <c r="H398" s="124"/>
      <c r="I398" s="124"/>
    </row>
    <row r="399" ht="15.75" customHeight="1">
      <c r="B399" s="334"/>
      <c r="E399" s="124"/>
      <c r="F399" s="124"/>
      <c r="G399" s="124"/>
      <c r="H399" s="124"/>
      <c r="I399" s="124"/>
    </row>
    <row r="400" ht="15.75" customHeight="1">
      <c r="B400" s="334"/>
      <c r="E400" s="124"/>
      <c r="F400" s="124"/>
      <c r="G400" s="124"/>
      <c r="H400" s="124"/>
      <c r="I400" s="124"/>
    </row>
    <row r="401" ht="15.75" customHeight="1">
      <c r="B401" s="334"/>
      <c r="E401" s="124"/>
      <c r="F401" s="124"/>
      <c r="G401" s="124"/>
      <c r="H401" s="124"/>
      <c r="I401" s="124"/>
    </row>
    <row r="402" ht="15.75" customHeight="1">
      <c r="B402" s="334"/>
      <c r="E402" s="124"/>
      <c r="F402" s="124"/>
      <c r="G402" s="124"/>
      <c r="H402" s="124"/>
      <c r="I402" s="124"/>
    </row>
    <row r="403" ht="15.75" customHeight="1">
      <c r="B403" s="334"/>
      <c r="E403" s="124"/>
      <c r="F403" s="124"/>
      <c r="G403" s="124"/>
      <c r="H403" s="124"/>
      <c r="I403" s="124"/>
    </row>
    <row r="404" ht="15.75" customHeight="1">
      <c r="B404" s="334"/>
      <c r="E404" s="124"/>
      <c r="F404" s="124"/>
      <c r="G404" s="124"/>
      <c r="H404" s="124"/>
      <c r="I404" s="124"/>
    </row>
    <row r="405" ht="15.75" customHeight="1">
      <c r="B405" s="334"/>
      <c r="E405" s="124"/>
      <c r="F405" s="124"/>
      <c r="G405" s="124"/>
      <c r="H405" s="124"/>
      <c r="I405" s="124"/>
    </row>
    <row r="406" ht="15.75" customHeight="1">
      <c r="B406" s="334"/>
      <c r="E406" s="124"/>
      <c r="F406" s="124"/>
      <c r="G406" s="124"/>
      <c r="H406" s="124"/>
      <c r="I406" s="124"/>
    </row>
    <row r="407" ht="15.75" customHeight="1">
      <c r="B407" s="334"/>
      <c r="E407" s="124"/>
      <c r="F407" s="124"/>
      <c r="G407" s="124"/>
      <c r="H407" s="124"/>
      <c r="I407" s="124"/>
    </row>
    <row r="408" ht="15.75" customHeight="1">
      <c r="B408" s="334"/>
      <c r="E408" s="124"/>
      <c r="F408" s="124"/>
      <c r="G408" s="124"/>
      <c r="H408" s="124"/>
      <c r="I408" s="124"/>
    </row>
    <row r="409" ht="15.75" customHeight="1">
      <c r="B409" s="334"/>
      <c r="E409" s="124"/>
      <c r="F409" s="124"/>
      <c r="G409" s="124"/>
      <c r="H409" s="124"/>
      <c r="I409" s="124"/>
    </row>
    <row r="410" ht="15.75" customHeight="1">
      <c r="B410" s="334"/>
      <c r="E410" s="124"/>
      <c r="F410" s="124"/>
      <c r="G410" s="124"/>
      <c r="H410" s="124"/>
      <c r="I410" s="124"/>
    </row>
    <row r="411" ht="15.75" customHeight="1">
      <c r="B411" s="334"/>
      <c r="E411" s="124"/>
      <c r="F411" s="124"/>
      <c r="G411" s="124"/>
      <c r="H411" s="124"/>
      <c r="I411" s="124"/>
    </row>
    <row r="412" ht="15.75" customHeight="1">
      <c r="B412" s="334"/>
      <c r="E412" s="124"/>
      <c r="F412" s="124"/>
      <c r="G412" s="124"/>
      <c r="H412" s="124"/>
      <c r="I412" s="124"/>
    </row>
    <row r="413" ht="15.75" customHeight="1">
      <c r="B413" s="334"/>
      <c r="E413" s="124"/>
      <c r="F413" s="124"/>
      <c r="G413" s="124"/>
      <c r="H413" s="124"/>
      <c r="I413" s="124"/>
    </row>
    <row r="414" ht="15.75" customHeight="1">
      <c r="B414" s="334"/>
      <c r="E414" s="124"/>
      <c r="F414" s="124"/>
      <c r="G414" s="124"/>
      <c r="H414" s="124"/>
      <c r="I414" s="124"/>
    </row>
    <row r="415" ht="15.75" customHeight="1">
      <c r="B415" s="334"/>
      <c r="E415" s="124"/>
      <c r="F415" s="124"/>
      <c r="G415" s="124"/>
      <c r="H415" s="124"/>
      <c r="I415" s="124"/>
    </row>
    <row r="416" ht="15.75" customHeight="1">
      <c r="B416" s="334"/>
      <c r="E416" s="124"/>
      <c r="F416" s="124"/>
      <c r="G416" s="124"/>
      <c r="H416" s="124"/>
      <c r="I416" s="124"/>
    </row>
    <row r="417" ht="15.75" customHeight="1">
      <c r="B417" s="334"/>
      <c r="E417" s="124"/>
      <c r="F417" s="124"/>
      <c r="G417" s="124"/>
      <c r="H417" s="124"/>
      <c r="I417" s="124"/>
    </row>
    <row r="418" ht="15.75" customHeight="1">
      <c r="B418" s="334"/>
      <c r="E418" s="124"/>
      <c r="F418" s="124"/>
      <c r="G418" s="124"/>
      <c r="H418" s="124"/>
      <c r="I418" s="124"/>
    </row>
    <row r="419" ht="15.75" customHeight="1">
      <c r="B419" s="334"/>
      <c r="E419" s="124"/>
      <c r="F419" s="124"/>
      <c r="G419" s="124"/>
      <c r="H419" s="124"/>
      <c r="I419" s="124"/>
    </row>
    <row r="420" ht="15.75" customHeight="1">
      <c r="B420" s="334"/>
      <c r="E420" s="124"/>
      <c r="F420" s="124"/>
      <c r="G420" s="124"/>
      <c r="H420" s="124"/>
      <c r="I420" s="124"/>
    </row>
    <row r="421" ht="15.75" customHeight="1">
      <c r="B421" s="334"/>
      <c r="E421" s="124"/>
      <c r="F421" s="124"/>
      <c r="G421" s="124"/>
      <c r="H421" s="124"/>
      <c r="I421" s="124"/>
    </row>
    <row r="422" ht="15.75" customHeight="1">
      <c r="B422" s="334"/>
      <c r="E422" s="124"/>
      <c r="F422" s="124"/>
      <c r="G422" s="124"/>
      <c r="H422" s="124"/>
      <c r="I422" s="124"/>
    </row>
    <row r="423" ht="15.75" customHeight="1">
      <c r="B423" s="334"/>
      <c r="E423" s="124"/>
      <c r="F423" s="124"/>
      <c r="G423" s="124"/>
      <c r="H423" s="124"/>
      <c r="I423" s="124"/>
    </row>
    <row r="424" ht="15.75" customHeight="1">
      <c r="B424" s="334"/>
      <c r="E424" s="124"/>
      <c r="F424" s="124"/>
      <c r="G424" s="124"/>
      <c r="H424" s="124"/>
      <c r="I424" s="124"/>
    </row>
    <row r="425" ht="15.75" customHeight="1">
      <c r="B425" s="334"/>
      <c r="E425" s="124"/>
      <c r="F425" s="124"/>
      <c r="G425" s="124"/>
      <c r="H425" s="124"/>
      <c r="I425" s="124"/>
    </row>
    <row r="426" ht="15.75" customHeight="1">
      <c r="B426" s="334"/>
      <c r="E426" s="124"/>
      <c r="F426" s="124"/>
      <c r="G426" s="124"/>
      <c r="H426" s="124"/>
      <c r="I426" s="124"/>
    </row>
    <row r="427" ht="15.75" customHeight="1">
      <c r="B427" s="334"/>
      <c r="E427" s="124"/>
      <c r="F427" s="124"/>
      <c r="G427" s="124"/>
      <c r="H427" s="124"/>
      <c r="I427" s="124"/>
    </row>
    <row r="428" ht="15.75" customHeight="1">
      <c r="B428" s="334"/>
      <c r="E428" s="124"/>
      <c r="F428" s="124"/>
      <c r="G428" s="124"/>
      <c r="H428" s="124"/>
      <c r="I428" s="124"/>
    </row>
    <row r="429" ht="15.75" customHeight="1">
      <c r="B429" s="334"/>
      <c r="E429" s="124"/>
      <c r="F429" s="124"/>
      <c r="G429" s="124"/>
      <c r="H429" s="124"/>
      <c r="I429" s="124"/>
    </row>
    <row r="430" ht="15.75" customHeight="1">
      <c r="B430" s="334"/>
      <c r="E430" s="124"/>
      <c r="F430" s="124"/>
      <c r="G430" s="124"/>
      <c r="H430" s="124"/>
      <c r="I430" s="124"/>
    </row>
    <row r="431" ht="15.75" customHeight="1">
      <c r="B431" s="334"/>
      <c r="E431" s="124"/>
      <c r="F431" s="124"/>
      <c r="G431" s="124"/>
      <c r="H431" s="124"/>
      <c r="I431" s="124"/>
    </row>
    <row r="432" ht="15.75" customHeight="1">
      <c r="B432" s="334"/>
      <c r="E432" s="124"/>
      <c r="F432" s="124"/>
      <c r="G432" s="124"/>
      <c r="H432" s="124"/>
      <c r="I432" s="124"/>
    </row>
    <row r="433" ht="15.75" customHeight="1">
      <c r="B433" s="334"/>
      <c r="E433" s="124"/>
      <c r="F433" s="124"/>
      <c r="G433" s="124"/>
      <c r="H433" s="124"/>
      <c r="I433" s="124"/>
    </row>
    <row r="434" ht="15.75" customHeight="1">
      <c r="B434" s="334"/>
      <c r="E434" s="124"/>
      <c r="F434" s="124"/>
      <c r="G434" s="124"/>
      <c r="H434" s="124"/>
      <c r="I434" s="124"/>
    </row>
    <row r="435" ht="15.75" customHeight="1">
      <c r="B435" s="334"/>
      <c r="E435" s="124"/>
      <c r="F435" s="124"/>
      <c r="G435" s="124"/>
      <c r="H435" s="124"/>
      <c r="I435" s="124"/>
    </row>
    <row r="436" ht="15.75" customHeight="1">
      <c r="B436" s="334"/>
      <c r="E436" s="124"/>
      <c r="F436" s="124"/>
      <c r="G436" s="124"/>
      <c r="H436" s="124"/>
      <c r="I436" s="124"/>
    </row>
    <row r="437" ht="15.75" customHeight="1">
      <c r="B437" s="334"/>
      <c r="E437" s="124"/>
      <c r="F437" s="124"/>
      <c r="G437" s="124"/>
      <c r="H437" s="124"/>
      <c r="I437" s="124"/>
    </row>
    <row r="438" ht="15.75" customHeight="1">
      <c r="B438" s="334"/>
      <c r="E438" s="124"/>
      <c r="F438" s="124"/>
      <c r="G438" s="124"/>
      <c r="H438" s="124"/>
      <c r="I438" s="124"/>
    </row>
    <row r="439" ht="15.75" customHeight="1">
      <c r="B439" s="334"/>
      <c r="E439" s="124"/>
      <c r="F439" s="124"/>
      <c r="G439" s="124"/>
      <c r="H439" s="124"/>
      <c r="I439" s="124"/>
    </row>
    <row r="440" ht="15.75" customHeight="1">
      <c r="B440" s="334"/>
      <c r="E440" s="124"/>
      <c r="F440" s="124"/>
      <c r="G440" s="124"/>
      <c r="H440" s="124"/>
      <c r="I440" s="124"/>
    </row>
    <row r="441" ht="15.75" customHeight="1">
      <c r="B441" s="334"/>
      <c r="E441" s="124"/>
      <c r="F441" s="124"/>
      <c r="G441" s="124"/>
      <c r="H441" s="124"/>
      <c r="I441" s="124"/>
    </row>
    <row r="442" ht="15.75" customHeight="1">
      <c r="B442" s="334"/>
      <c r="E442" s="124"/>
      <c r="F442" s="124"/>
      <c r="G442" s="124"/>
      <c r="H442" s="124"/>
      <c r="I442" s="124"/>
    </row>
    <row r="443" ht="15.75" customHeight="1">
      <c r="B443" s="334"/>
      <c r="E443" s="124"/>
      <c r="F443" s="124"/>
      <c r="G443" s="124"/>
      <c r="H443" s="124"/>
      <c r="I443" s="124"/>
    </row>
    <row r="444" ht="15.75" customHeight="1">
      <c r="B444" s="334"/>
      <c r="E444" s="124"/>
      <c r="F444" s="124"/>
      <c r="G444" s="124"/>
      <c r="H444" s="124"/>
      <c r="I444" s="124"/>
    </row>
    <row r="445" ht="15.75" customHeight="1">
      <c r="B445" s="334"/>
      <c r="E445" s="124"/>
      <c r="F445" s="124"/>
      <c r="G445" s="124"/>
      <c r="H445" s="124"/>
      <c r="I445" s="124"/>
    </row>
    <row r="446" ht="15.75" customHeight="1">
      <c r="B446" s="334"/>
      <c r="E446" s="124"/>
      <c r="F446" s="124"/>
      <c r="G446" s="124"/>
      <c r="H446" s="124"/>
      <c r="I446" s="124"/>
    </row>
    <row r="447" ht="15.75" customHeight="1">
      <c r="B447" s="334"/>
      <c r="E447" s="124"/>
      <c r="F447" s="124"/>
      <c r="G447" s="124"/>
      <c r="H447" s="124"/>
      <c r="I447" s="124"/>
    </row>
    <row r="448" ht="15.75" customHeight="1">
      <c r="B448" s="334"/>
      <c r="E448" s="124"/>
      <c r="F448" s="124"/>
      <c r="G448" s="124"/>
      <c r="H448" s="124"/>
      <c r="I448" s="124"/>
    </row>
    <row r="449" ht="15.75" customHeight="1">
      <c r="B449" s="334"/>
      <c r="E449" s="124"/>
      <c r="F449" s="124"/>
      <c r="G449" s="124"/>
      <c r="H449" s="124"/>
      <c r="I449" s="124"/>
    </row>
    <row r="450" ht="15.75" customHeight="1">
      <c r="B450" s="334"/>
      <c r="E450" s="124"/>
      <c r="F450" s="124"/>
      <c r="G450" s="124"/>
      <c r="H450" s="124"/>
      <c r="I450" s="124"/>
    </row>
    <row r="451" ht="15.75" customHeight="1">
      <c r="B451" s="334"/>
      <c r="E451" s="124"/>
      <c r="F451" s="124"/>
      <c r="G451" s="124"/>
      <c r="H451" s="124"/>
      <c r="I451" s="124"/>
    </row>
    <row r="452" ht="15.75" customHeight="1">
      <c r="B452" s="334"/>
      <c r="E452" s="124"/>
      <c r="F452" s="124"/>
      <c r="G452" s="124"/>
      <c r="H452" s="124"/>
      <c r="I452" s="124"/>
    </row>
    <row r="453" ht="15.75" customHeight="1">
      <c r="B453" s="334"/>
      <c r="E453" s="124"/>
      <c r="F453" s="124"/>
      <c r="G453" s="124"/>
      <c r="H453" s="124"/>
      <c r="I453" s="124"/>
    </row>
    <row r="454" ht="15.75" customHeight="1">
      <c r="B454" s="334"/>
      <c r="E454" s="124"/>
      <c r="F454" s="124"/>
      <c r="G454" s="124"/>
      <c r="H454" s="124"/>
      <c r="I454" s="124"/>
    </row>
    <row r="455" ht="15.75" customHeight="1">
      <c r="B455" s="334"/>
      <c r="E455" s="124"/>
      <c r="F455" s="124"/>
      <c r="G455" s="124"/>
      <c r="H455" s="124"/>
      <c r="I455" s="124"/>
    </row>
    <row r="456" ht="15.75" customHeight="1">
      <c r="B456" s="334"/>
      <c r="E456" s="124"/>
      <c r="F456" s="124"/>
      <c r="G456" s="124"/>
      <c r="H456" s="124"/>
      <c r="I456" s="124"/>
    </row>
    <row r="457" ht="15.75" customHeight="1">
      <c r="B457" s="334"/>
      <c r="E457" s="124"/>
      <c r="F457" s="124"/>
      <c r="G457" s="124"/>
      <c r="H457" s="124"/>
      <c r="I457" s="124"/>
    </row>
    <row r="458" ht="15.75" customHeight="1">
      <c r="B458" s="334"/>
      <c r="E458" s="124"/>
      <c r="F458" s="124"/>
      <c r="G458" s="124"/>
      <c r="H458" s="124"/>
      <c r="I458" s="124"/>
    </row>
    <row r="459" ht="15.75" customHeight="1">
      <c r="B459" s="334"/>
      <c r="E459" s="124"/>
      <c r="F459" s="124"/>
      <c r="G459" s="124"/>
      <c r="H459" s="124"/>
      <c r="I459" s="124"/>
    </row>
    <row r="460" ht="15.75" customHeight="1">
      <c r="B460" s="334"/>
      <c r="E460" s="124"/>
      <c r="F460" s="124"/>
      <c r="G460" s="124"/>
      <c r="H460" s="124"/>
      <c r="I460" s="124"/>
    </row>
    <row r="461" ht="15.75" customHeight="1">
      <c r="B461" s="334"/>
      <c r="E461" s="124"/>
      <c r="F461" s="124"/>
      <c r="G461" s="124"/>
      <c r="H461" s="124"/>
      <c r="I461" s="124"/>
    </row>
    <row r="462" ht="15.75" customHeight="1">
      <c r="B462" s="334"/>
      <c r="E462" s="124"/>
      <c r="F462" s="124"/>
      <c r="G462" s="124"/>
      <c r="H462" s="124"/>
      <c r="I462" s="124"/>
    </row>
    <row r="463" ht="15.75" customHeight="1">
      <c r="B463" s="334"/>
      <c r="E463" s="124"/>
      <c r="F463" s="124"/>
      <c r="G463" s="124"/>
      <c r="H463" s="124"/>
      <c r="I463" s="124"/>
    </row>
    <row r="464" ht="15.75" customHeight="1">
      <c r="B464" s="334"/>
      <c r="E464" s="124"/>
      <c r="F464" s="124"/>
      <c r="G464" s="124"/>
      <c r="H464" s="124"/>
      <c r="I464" s="124"/>
    </row>
    <row r="465" ht="15.75" customHeight="1">
      <c r="B465" s="334"/>
      <c r="E465" s="124"/>
      <c r="F465" s="124"/>
      <c r="G465" s="124"/>
      <c r="H465" s="124"/>
      <c r="I465" s="124"/>
    </row>
    <row r="466" ht="15.75" customHeight="1">
      <c r="B466" s="334"/>
      <c r="E466" s="124"/>
      <c r="F466" s="124"/>
      <c r="G466" s="124"/>
      <c r="H466" s="124"/>
      <c r="I466" s="124"/>
    </row>
    <row r="467" ht="15.75" customHeight="1">
      <c r="B467" s="334"/>
      <c r="E467" s="124"/>
      <c r="F467" s="124"/>
      <c r="G467" s="124"/>
      <c r="H467" s="124"/>
      <c r="I467" s="124"/>
    </row>
    <row r="468" ht="15.75" customHeight="1">
      <c r="B468" s="334"/>
      <c r="E468" s="124"/>
      <c r="F468" s="124"/>
      <c r="G468" s="124"/>
      <c r="H468" s="124"/>
      <c r="I468" s="124"/>
    </row>
    <row r="469" ht="15.75" customHeight="1">
      <c r="B469" s="334"/>
      <c r="E469" s="124"/>
      <c r="F469" s="124"/>
      <c r="G469" s="124"/>
      <c r="H469" s="124"/>
      <c r="I469" s="124"/>
    </row>
    <row r="470" ht="15.75" customHeight="1">
      <c r="B470" s="334"/>
      <c r="E470" s="124"/>
      <c r="F470" s="124"/>
      <c r="G470" s="124"/>
      <c r="H470" s="124"/>
      <c r="I470" s="124"/>
    </row>
    <row r="471" ht="15.75" customHeight="1">
      <c r="B471" s="334"/>
      <c r="E471" s="124"/>
      <c r="F471" s="124"/>
      <c r="G471" s="124"/>
      <c r="H471" s="124"/>
      <c r="I471" s="124"/>
    </row>
    <row r="472" ht="15.75" customHeight="1">
      <c r="B472" s="334"/>
      <c r="E472" s="124"/>
      <c r="F472" s="124"/>
      <c r="G472" s="124"/>
      <c r="H472" s="124"/>
      <c r="I472" s="124"/>
    </row>
    <row r="473" ht="15.75" customHeight="1">
      <c r="B473" s="334"/>
      <c r="E473" s="124"/>
      <c r="F473" s="124"/>
      <c r="G473" s="124"/>
      <c r="H473" s="124"/>
      <c r="I473" s="124"/>
    </row>
    <row r="474" ht="15.75" customHeight="1">
      <c r="B474" s="334"/>
      <c r="E474" s="124"/>
      <c r="F474" s="124"/>
      <c r="G474" s="124"/>
      <c r="H474" s="124"/>
      <c r="I474" s="124"/>
    </row>
    <row r="475" ht="15.75" customHeight="1">
      <c r="B475" s="334"/>
      <c r="E475" s="124"/>
      <c r="F475" s="124"/>
      <c r="G475" s="124"/>
      <c r="H475" s="124"/>
      <c r="I475" s="124"/>
    </row>
    <row r="476" ht="15.75" customHeight="1">
      <c r="B476" s="334"/>
      <c r="E476" s="124"/>
      <c r="F476" s="124"/>
      <c r="G476" s="124"/>
      <c r="H476" s="124"/>
      <c r="I476" s="124"/>
    </row>
    <row r="477" ht="15.75" customHeight="1">
      <c r="B477" s="334"/>
      <c r="E477" s="124"/>
      <c r="F477" s="124"/>
      <c r="G477" s="124"/>
      <c r="H477" s="124"/>
      <c r="I477" s="124"/>
    </row>
    <row r="478" ht="15.75" customHeight="1">
      <c r="B478" s="334"/>
      <c r="E478" s="124"/>
      <c r="F478" s="124"/>
      <c r="G478" s="124"/>
      <c r="H478" s="124"/>
      <c r="I478" s="124"/>
    </row>
    <row r="479" ht="15.75" customHeight="1">
      <c r="B479" s="334"/>
      <c r="E479" s="124"/>
      <c r="F479" s="124"/>
      <c r="G479" s="124"/>
      <c r="H479" s="124"/>
      <c r="I479" s="124"/>
    </row>
    <row r="480" ht="15.75" customHeight="1">
      <c r="B480" s="334"/>
      <c r="E480" s="124"/>
      <c r="F480" s="124"/>
      <c r="G480" s="124"/>
      <c r="H480" s="124"/>
      <c r="I480" s="124"/>
    </row>
    <row r="481" ht="15.75" customHeight="1">
      <c r="B481" s="334"/>
      <c r="E481" s="124"/>
      <c r="F481" s="124"/>
      <c r="G481" s="124"/>
      <c r="H481" s="124"/>
      <c r="I481" s="124"/>
    </row>
    <row r="482" ht="15.75" customHeight="1">
      <c r="B482" s="334"/>
      <c r="E482" s="124"/>
      <c r="F482" s="124"/>
      <c r="G482" s="124"/>
      <c r="H482" s="124"/>
      <c r="I482" s="124"/>
    </row>
    <row r="483" ht="15.75" customHeight="1">
      <c r="B483" s="334"/>
      <c r="E483" s="124"/>
      <c r="F483" s="124"/>
      <c r="G483" s="124"/>
      <c r="H483" s="124"/>
      <c r="I483" s="124"/>
    </row>
    <row r="484" ht="15.75" customHeight="1">
      <c r="B484" s="334"/>
      <c r="E484" s="124"/>
      <c r="F484" s="124"/>
      <c r="G484" s="124"/>
      <c r="H484" s="124"/>
      <c r="I484" s="124"/>
    </row>
    <row r="485" ht="15.75" customHeight="1">
      <c r="B485" s="334"/>
      <c r="E485" s="124"/>
      <c r="F485" s="124"/>
      <c r="G485" s="124"/>
      <c r="H485" s="124"/>
      <c r="I485" s="124"/>
    </row>
    <row r="486" ht="15.75" customHeight="1">
      <c r="B486" s="334"/>
      <c r="E486" s="124"/>
      <c r="F486" s="124"/>
      <c r="G486" s="124"/>
      <c r="H486" s="124"/>
      <c r="I486" s="124"/>
    </row>
    <row r="487" ht="15.75" customHeight="1">
      <c r="B487" s="334"/>
      <c r="E487" s="124"/>
      <c r="F487" s="124"/>
      <c r="G487" s="124"/>
      <c r="H487" s="124"/>
      <c r="I487" s="124"/>
    </row>
    <row r="488" ht="15.75" customHeight="1">
      <c r="B488" s="334"/>
      <c r="E488" s="124"/>
      <c r="F488" s="124"/>
      <c r="G488" s="124"/>
      <c r="H488" s="124"/>
      <c r="I488" s="124"/>
    </row>
    <row r="489" ht="15.75" customHeight="1">
      <c r="B489" s="334"/>
      <c r="E489" s="124"/>
      <c r="F489" s="124"/>
      <c r="G489" s="124"/>
      <c r="H489" s="124"/>
      <c r="I489" s="124"/>
    </row>
    <row r="490" ht="15.75" customHeight="1">
      <c r="B490" s="334"/>
      <c r="E490" s="124"/>
      <c r="F490" s="124"/>
      <c r="G490" s="124"/>
      <c r="H490" s="124"/>
      <c r="I490" s="124"/>
    </row>
    <row r="491" ht="15.75" customHeight="1">
      <c r="B491" s="334"/>
      <c r="E491" s="124"/>
      <c r="F491" s="124"/>
      <c r="G491" s="124"/>
      <c r="H491" s="124"/>
      <c r="I491" s="124"/>
    </row>
    <row r="492" ht="15.75" customHeight="1">
      <c r="B492" s="334"/>
      <c r="E492" s="124"/>
      <c r="F492" s="124"/>
      <c r="G492" s="124"/>
      <c r="H492" s="124"/>
      <c r="I492" s="124"/>
    </row>
    <row r="493" ht="15.75" customHeight="1">
      <c r="B493" s="334"/>
      <c r="E493" s="124"/>
      <c r="F493" s="124"/>
      <c r="G493" s="124"/>
      <c r="H493" s="124"/>
      <c r="I493" s="124"/>
    </row>
    <row r="494" ht="15.75" customHeight="1">
      <c r="B494" s="334"/>
      <c r="E494" s="124"/>
      <c r="F494" s="124"/>
      <c r="G494" s="124"/>
      <c r="H494" s="124"/>
      <c r="I494" s="124"/>
    </row>
    <row r="495" ht="15.75" customHeight="1">
      <c r="B495" s="334"/>
      <c r="E495" s="124"/>
      <c r="F495" s="124"/>
      <c r="G495" s="124"/>
      <c r="H495" s="124"/>
      <c r="I495" s="124"/>
    </row>
    <row r="496" ht="15.75" customHeight="1">
      <c r="B496" s="334"/>
      <c r="E496" s="124"/>
      <c r="F496" s="124"/>
      <c r="G496" s="124"/>
      <c r="H496" s="124"/>
      <c r="I496" s="124"/>
    </row>
    <row r="497" ht="15.75" customHeight="1">
      <c r="B497" s="334"/>
      <c r="E497" s="124"/>
      <c r="F497" s="124"/>
      <c r="G497" s="124"/>
      <c r="H497" s="124"/>
      <c r="I497" s="124"/>
    </row>
    <row r="498" ht="15.75" customHeight="1">
      <c r="B498" s="334"/>
      <c r="E498" s="124"/>
      <c r="F498" s="124"/>
      <c r="G498" s="124"/>
      <c r="H498" s="124"/>
      <c r="I498" s="124"/>
    </row>
    <row r="499" ht="15.75" customHeight="1">
      <c r="B499" s="334"/>
      <c r="E499" s="124"/>
      <c r="F499" s="124"/>
      <c r="G499" s="124"/>
      <c r="H499" s="124"/>
      <c r="I499" s="124"/>
    </row>
    <row r="500" ht="15.75" customHeight="1">
      <c r="B500" s="334"/>
      <c r="E500" s="124"/>
      <c r="F500" s="124"/>
      <c r="G500" s="124"/>
      <c r="H500" s="124"/>
      <c r="I500" s="124"/>
    </row>
    <row r="501" ht="15.75" customHeight="1">
      <c r="B501" s="334"/>
      <c r="E501" s="124"/>
      <c r="F501" s="124"/>
      <c r="G501" s="124"/>
      <c r="H501" s="124"/>
      <c r="I501" s="124"/>
    </row>
    <row r="502" ht="15.75" customHeight="1">
      <c r="B502" s="334"/>
      <c r="E502" s="124"/>
      <c r="F502" s="124"/>
      <c r="G502" s="124"/>
      <c r="H502" s="124"/>
      <c r="I502" s="124"/>
    </row>
    <row r="503" ht="15.75" customHeight="1">
      <c r="B503" s="334"/>
      <c r="E503" s="124"/>
      <c r="F503" s="124"/>
      <c r="G503" s="124"/>
      <c r="H503" s="124"/>
      <c r="I503" s="124"/>
    </row>
    <row r="504" ht="15.75" customHeight="1">
      <c r="B504" s="334"/>
      <c r="E504" s="124"/>
      <c r="F504" s="124"/>
      <c r="G504" s="124"/>
      <c r="H504" s="124"/>
      <c r="I504" s="124"/>
    </row>
    <row r="505" ht="15.75" customHeight="1">
      <c r="B505" s="334"/>
      <c r="E505" s="124"/>
      <c r="F505" s="124"/>
      <c r="G505" s="124"/>
      <c r="H505" s="124"/>
      <c r="I505" s="124"/>
    </row>
    <row r="506" ht="15.75" customHeight="1">
      <c r="B506" s="334"/>
      <c r="E506" s="124"/>
      <c r="F506" s="124"/>
      <c r="G506" s="124"/>
      <c r="H506" s="124"/>
      <c r="I506" s="124"/>
    </row>
    <row r="507" ht="15.75" customHeight="1">
      <c r="B507" s="334"/>
      <c r="E507" s="124"/>
      <c r="F507" s="124"/>
      <c r="G507" s="124"/>
      <c r="H507" s="124"/>
      <c r="I507" s="124"/>
    </row>
    <row r="508" ht="15.75" customHeight="1">
      <c r="B508" s="334"/>
      <c r="E508" s="124"/>
      <c r="F508" s="124"/>
      <c r="G508" s="124"/>
      <c r="H508" s="124"/>
      <c r="I508" s="124"/>
    </row>
    <row r="509" ht="15.75" customHeight="1">
      <c r="B509" s="334"/>
      <c r="E509" s="124"/>
      <c r="F509" s="124"/>
      <c r="G509" s="124"/>
      <c r="H509" s="124"/>
      <c r="I509" s="124"/>
    </row>
    <row r="510" ht="15.75" customHeight="1">
      <c r="B510" s="334"/>
      <c r="E510" s="124"/>
      <c r="F510" s="124"/>
      <c r="G510" s="124"/>
      <c r="H510" s="124"/>
      <c r="I510" s="124"/>
    </row>
    <row r="511" ht="15.75" customHeight="1">
      <c r="B511" s="334"/>
      <c r="E511" s="124"/>
      <c r="F511" s="124"/>
      <c r="G511" s="124"/>
      <c r="H511" s="124"/>
      <c r="I511" s="124"/>
    </row>
    <row r="512" ht="15.75" customHeight="1">
      <c r="B512" s="334"/>
      <c r="E512" s="124"/>
      <c r="F512" s="124"/>
      <c r="G512" s="124"/>
      <c r="H512" s="124"/>
      <c r="I512" s="124"/>
    </row>
    <row r="513" ht="15.75" customHeight="1">
      <c r="B513" s="334"/>
      <c r="E513" s="124"/>
      <c r="F513" s="124"/>
      <c r="G513" s="124"/>
      <c r="H513" s="124"/>
      <c r="I513" s="124"/>
    </row>
    <row r="514" ht="15.75" customHeight="1">
      <c r="B514" s="334"/>
      <c r="E514" s="124"/>
      <c r="F514" s="124"/>
      <c r="G514" s="124"/>
      <c r="H514" s="124"/>
      <c r="I514" s="124"/>
    </row>
    <row r="515" ht="15.75" customHeight="1">
      <c r="B515" s="334"/>
      <c r="E515" s="124"/>
      <c r="F515" s="124"/>
      <c r="G515" s="124"/>
      <c r="H515" s="124"/>
      <c r="I515" s="124"/>
    </row>
    <row r="516" ht="15.75" customHeight="1">
      <c r="B516" s="334"/>
      <c r="E516" s="124"/>
      <c r="F516" s="124"/>
      <c r="G516" s="124"/>
      <c r="H516" s="124"/>
      <c r="I516" s="124"/>
    </row>
    <row r="517" ht="15.75" customHeight="1">
      <c r="B517" s="334"/>
      <c r="E517" s="124"/>
      <c r="F517" s="124"/>
      <c r="G517" s="124"/>
      <c r="H517" s="124"/>
      <c r="I517" s="124"/>
    </row>
    <row r="518" ht="15.75" customHeight="1">
      <c r="B518" s="334"/>
      <c r="E518" s="124"/>
      <c r="F518" s="124"/>
      <c r="G518" s="124"/>
      <c r="H518" s="124"/>
      <c r="I518" s="124"/>
    </row>
    <row r="519" ht="15.75" customHeight="1">
      <c r="B519" s="334"/>
      <c r="E519" s="124"/>
      <c r="F519" s="124"/>
      <c r="G519" s="124"/>
      <c r="H519" s="124"/>
      <c r="I519" s="124"/>
    </row>
    <row r="520" ht="15.75" customHeight="1">
      <c r="B520" s="334"/>
      <c r="E520" s="124"/>
      <c r="F520" s="124"/>
      <c r="G520" s="124"/>
      <c r="H520" s="124"/>
      <c r="I520" s="124"/>
    </row>
    <row r="521" ht="15.75" customHeight="1">
      <c r="B521" s="334"/>
      <c r="E521" s="124"/>
      <c r="F521" s="124"/>
      <c r="G521" s="124"/>
      <c r="H521" s="124"/>
      <c r="I521" s="124"/>
    </row>
    <row r="522" ht="15.75" customHeight="1">
      <c r="B522" s="334"/>
      <c r="E522" s="124"/>
      <c r="F522" s="124"/>
      <c r="G522" s="124"/>
      <c r="H522" s="124"/>
      <c r="I522" s="124"/>
    </row>
    <row r="523" ht="15.75" customHeight="1">
      <c r="B523" s="334"/>
      <c r="E523" s="124"/>
      <c r="F523" s="124"/>
      <c r="G523" s="124"/>
      <c r="H523" s="124"/>
      <c r="I523" s="124"/>
    </row>
    <row r="524" ht="15.75" customHeight="1">
      <c r="B524" s="334"/>
      <c r="E524" s="124"/>
      <c r="F524" s="124"/>
      <c r="G524" s="124"/>
      <c r="H524" s="124"/>
      <c r="I524" s="124"/>
    </row>
    <row r="525" ht="15.75" customHeight="1">
      <c r="B525" s="334"/>
      <c r="E525" s="124"/>
      <c r="F525" s="124"/>
      <c r="G525" s="124"/>
      <c r="H525" s="124"/>
      <c r="I525" s="124"/>
    </row>
    <row r="526" ht="15.75" customHeight="1">
      <c r="B526" s="334"/>
      <c r="E526" s="124"/>
      <c r="F526" s="124"/>
      <c r="G526" s="124"/>
      <c r="H526" s="124"/>
      <c r="I526" s="124"/>
    </row>
    <row r="527" ht="15.75" customHeight="1">
      <c r="B527" s="334"/>
      <c r="E527" s="124"/>
      <c r="F527" s="124"/>
      <c r="G527" s="124"/>
      <c r="H527" s="124"/>
      <c r="I527" s="124"/>
    </row>
    <row r="528" ht="15.75" customHeight="1">
      <c r="B528" s="334"/>
      <c r="E528" s="124"/>
      <c r="F528" s="124"/>
      <c r="G528" s="124"/>
      <c r="H528" s="124"/>
      <c r="I528" s="124"/>
    </row>
    <row r="529" ht="15.75" customHeight="1">
      <c r="B529" s="334"/>
      <c r="E529" s="124"/>
      <c r="F529" s="124"/>
      <c r="G529" s="124"/>
      <c r="H529" s="124"/>
      <c r="I529" s="124"/>
    </row>
    <row r="530" ht="15.75" customHeight="1">
      <c r="B530" s="334"/>
      <c r="E530" s="124"/>
      <c r="F530" s="124"/>
      <c r="G530" s="124"/>
      <c r="H530" s="124"/>
      <c r="I530" s="124"/>
    </row>
    <row r="531" ht="15.75" customHeight="1">
      <c r="B531" s="334"/>
      <c r="E531" s="124"/>
      <c r="F531" s="124"/>
      <c r="G531" s="124"/>
      <c r="H531" s="124"/>
      <c r="I531" s="124"/>
    </row>
    <row r="532" ht="15.75" customHeight="1">
      <c r="B532" s="334"/>
      <c r="E532" s="124"/>
      <c r="F532" s="124"/>
      <c r="G532" s="124"/>
      <c r="H532" s="124"/>
      <c r="I532" s="124"/>
    </row>
    <row r="533" ht="15.75" customHeight="1">
      <c r="B533" s="334"/>
      <c r="E533" s="124"/>
      <c r="F533" s="124"/>
      <c r="G533" s="124"/>
      <c r="H533" s="124"/>
      <c r="I533" s="124"/>
    </row>
    <row r="534" ht="15.75" customHeight="1">
      <c r="B534" s="334"/>
      <c r="E534" s="124"/>
      <c r="F534" s="124"/>
      <c r="G534" s="124"/>
      <c r="H534" s="124"/>
      <c r="I534" s="124"/>
    </row>
    <row r="535" ht="15.75" customHeight="1">
      <c r="B535" s="334"/>
      <c r="E535" s="124"/>
      <c r="F535" s="124"/>
      <c r="G535" s="124"/>
      <c r="H535" s="124"/>
      <c r="I535" s="124"/>
    </row>
    <row r="536" ht="15.75" customHeight="1">
      <c r="B536" s="334"/>
      <c r="E536" s="124"/>
      <c r="F536" s="124"/>
      <c r="G536" s="124"/>
      <c r="H536" s="124"/>
      <c r="I536" s="124"/>
    </row>
    <row r="537" ht="15.75" customHeight="1">
      <c r="B537" s="334"/>
      <c r="E537" s="124"/>
      <c r="F537" s="124"/>
      <c r="G537" s="124"/>
      <c r="H537" s="124"/>
      <c r="I537" s="124"/>
    </row>
    <row r="538" ht="15.75" customHeight="1">
      <c r="B538" s="334"/>
      <c r="E538" s="124"/>
      <c r="F538" s="124"/>
      <c r="G538" s="124"/>
      <c r="H538" s="124"/>
      <c r="I538" s="124"/>
    </row>
    <row r="539" ht="15.75" customHeight="1">
      <c r="B539" s="334"/>
      <c r="E539" s="124"/>
      <c r="F539" s="124"/>
      <c r="G539" s="124"/>
      <c r="H539" s="124"/>
      <c r="I539" s="124"/>
    </row>
    <row r="540" ht="15.75" customHeight="1">
      <c r="B540" s="334"/>
      <c r="E540" s="124"/>
      <c r="F540" s="124"/>
      <c r="G540" s="124"/>
      <c r="H540" s="124"/>
      <c r="I540" s="124"/>
    </row>
    <row r="541" ht="15.75" customHeight="1">
      <c r="B541" s="334"/>
      <c r="E541" s="124"/>
      <c r="F541" s="124"/>
      <c r="G541" s="124"/>
      <c r="H541" s="124"/>
      <c r="I541" s="124"/>
    </row>
    <row r="542" ht="15.75" customHeight="1">
      <c r="B542" s="334"/>
      <c r="E542" s="124"/>
      <c r="F542" s="124"/>
      <c r="G542" s="124"/>
      <c r="H542" s="124"/>
      <c r="I542" s="124"/>
    </row>
    <row r="543" ht="15.75" customHeight="1">
      <c r="B543" s="334"/>
      <c r="E543" s="124"/>
      <c r="F543" s="124"/>
      <c r="G543" s="124"/>
      <c r="H543" s="124"/>
      <c r="I543" s="124"/>
    </row>
    <row r="544" ht="15.75" customHeight="1">
      <c r="B544" s="334"/>
      <c r="E544" s="124"/>
      <c r="F544" s="124"/>
      <c r="G544" s="124"/>
      <c r="H544" s="124"/>
      <c r="I544" s="124"/>
    </row>
    <row r="545" ht="15.75" customHeight="1">
      <c r="B545" s="334"/>
      <c r="E545" s="124"/>
      <c r="F545" s="124"/>
      <c r="G545" s="124"/>
      <c r="H545" s="124"/>
      <c r="I545" s="124"/>
    </row>
    <row r="546" ht="15.75" customHeight="1">
      <c r="B546" s="334"/>
      <c r="E546" s="124"/>
      <c r="F546" s="124"/>
      <c r="G546" s="124"/>
      <c r="H546" s="124"/>
      <c r="I546" s="124"/>
    </row>
    <row r="547" ht="15.75" customHeight="1">
      <c r="B547" s="334"/>
      <c r="E547" s="124"/>
      <c r="F547" s="124"/>
      <c r="G547" s="124"/>
      <c r="H547" s="124"/>
      <c r="I547" s="124"/>
    </row>
    <row r="548" ht="15.75" customHeight="1">
      <c r="B548" s="334"/>
      <c r="E548" s="124"/>
      <c r="F548" s="124"/>
      <c r="G548" s="124"/>
      <c r="H548" s="124"/>
      <c r="I548" s="124"/>
    </row>
    <row r="549" ht="15.75" customHeight="1">
      <c r="B549" s="334"/>
      <c r="E549" s="124"/>
      <c r="F549" s="124"/>
      <c r="G549" s="124"/>
      <c r="H549" s="124"/>
      <c r="I549" s="124"/>
    </row>
    <row r="550" ht="15.75" customHeight="1">
      <c r="B550" s="334"/>
      <c r="E550" s="124"/>
      <c r="F550" s="124"/>
      <c r="G550" s="124"/>
      <c r="H550" s="124"/>
      <c r="I550" s="124"/>
    </row>
    <row r="551" ht="15.75" customHeight="1">
      <c r="B551" s="334"/>
      <c r="E551" s="124"/>
      <c r="F551" s="124"/>
      <c r="G551" s="124"/>
      <c r="H551" s="124"/>
      <c r="I551" s="124"/>
    </row>
    <row r="552" ht="15.75" customHeight="1">
      <c r="B552" s="334"/>
      <c r="E552" s="124"/>
      <c r="F552" s="124"/>
      <c r="G552" s="124"/>
      <c r="H552" s="124"/>
      <c r="I552" s="124"/>
    </row>
    <row r="553" ht="15.75" customHeight="1">
      <c r="B553" s="334"/>
      <c r="E553" s="124"/>
      <c r="F553" s="124"/>
      <c r="G553" s="124"/>
      <c r="H553" s="124"/>
      <c r="I553" s="124"/>
    </row>
    <row r="554" ht="15.75" customHeight="1">
      <c r="B554" s="334"/>
      <c r="E554" s="124"/>
      <c r="F554" s="124"/>
      <c r="G554" s="124"/>
      <c r="H554" s="124"/>
      <c r="I554" s="124"/>
    </row>
    <row r="555" ht="15.75" customHeight="1">
      <c r="B555" s="334"/>
      <c r="E555" s="124"/>
      <c r="F555" s="124"/>
      <c r="G555" s="124"/>
      <c r="H555" s="124"/>
      <c r="I555" s="124"/>
    </row>
    <row r="556" ht="15.75" customHeight="1">
      <c r="B556" s="334"/>
      <c r="E556" s="124"/>
      <c r="F556" s="124"/>
      <c r="G556" s="124"/>
      <c r="H556" s="124"/>
      <c r="I556" s="124"/>
    </row>
    <row r="557" ht="15.75" customHeight="1">
      <c r="B557" s="334"/>
      <c r="E557" s="124"/>
      <c r="F557" s="124"/>
      <c r="G557" s="124"/>
      <c r="H557" s="124"/>
      <c r="I557" s="124"/>
    </row>
    <row r="558" ht="15.75" customHeight="1">
      <c r="B558" s="334"/>
      <c r="E558" s="124"/>
      <c r="F558" s="124"/>
      <c r="G558" s="124"/>
      <c r="H558" s="124"/>
      <c r="I558" s="124"/>
    </row>
    <row r="559" ht="15.75" customHeight="1">
      <c r="B559" s="334"/>
      <c r="E559" s="124"/>
      <c r="F559" s="124"/>
      <c r="G559" s="124"/>
      <c r="H559" s="124"/>
      <c r="I559" s="124"/>
    </row>
    <row r="560" ht="15.75" customHeight="1">
      <c r="B560" s="334"/>
      <c r="E560" s="124"/>
      <c r="F560" s="124"/>
      <c r="G560" s="124"/>
      <c r="H560" s="124"/>
      <c r="I560" s="124"/>
    </row>
    <row r="561" ht="15.75" customHeight="1">
      <c r="B561" s="334"/>
      <c r="E561" s="124"/>
      <c r="F561" s="124"/>
      <c r="G561" s="124"/>
      <c r="H561" s="124"/>
      <c r="I561" s="124"/>
    </row>
    <row r="562" ht="15.75" customHeight="1">
      <c r="B562" s="334"/>
      <c r="E562" s="124"/>
      <c r="F562" s="124"/>
      <c r="G562" s="124"/>
      <c r="H562" s="124"/>
      <c r="I562" s="124"/>
    </row>
    <row r="563" ht="15.75" customHeight="1">
      <c r="B563" s="334"/>
      <c r="E563" s="124"/>
      <c r="F563" s="124"/>
      <c r="G563" s="124"/>
      <c r="H563" s="124"/>
      <c r="I563" s="124"/>
    </row>
    <row r="564" ht="15.75" customHeight="1">
      <c r="B564" s="334"/>
      <c r="E564" s="124"/>
      <c r="F564" s="124"/>
      <c r="G564" s="124"/>
      <c r="H564" s="124"/>
      <c r="I564" s="124"/>
    </row>
    <row r="565" ht="15.75" customHeight="1">
      <c r="B565" s="334"/>
      <c r="E565" s="124"/>
      <c r="F565" s="124"/>
      <c r="G565" s="124"/>
      <c r="H565" s="124"/>
      <c r="I565" s="124"/>
    </row>
    <row r="566" ht="15.75" customHeight="1">
      <c r="B566" s="334"/>
      <c r="E566" s="124"/>
      <c r="F566" s="124"/>
      <c r="G566" s="124"/>
      <c r="H566" s="124"/>
      <c r="I566" s="124"/>
    </row>
    <row r="567" ht="15.75" customHeight="1">
      <c r="B567" s="334"/>
      <c r="E567" s="124"/>
      <c r="F567" s="124"/>
      <c r="G567" s="124"/>
      <c r="H567" s="124"/>
      <c r="I567" s="124"/>
    </row>
    <row r="568" ht="15.75" customHeight="1">
      <c r="B568" s="334"/>
      <c r="E568" s="124"/>
      <c r="F568" s="124"/>
      <c r="G568" s="124"/>
      <c r="H568" s="124"/>
      <c r="I568" s="124"/>
    </row>
    <row r="569" ht="15.75" customHeight="1">
      <c r="B569" s="334"/>
      <c r="E569" s="124"/>
      <c r="F569" s="124"/>
      <c r="G569" s="124"/>
      <c r="H569" s="124"/>
      <c r="I569" s="124"/>
    </row>
    <row r="570" ht="15.75" customHeight="1">
      <c r="B570" s="334"/>
      <c r="E570" s="124"/>
      <c r="F570" s="124"/>
      <c r="G570" s="124"/>
      <c r="H570" s="124"/>
      <c r="I570" s="124"/>
    </row>
    <row r="571" ht="15.75" customHeight="1">
      <c r="B571" s="334"/>
      <c r="E571" s="124"/>
      <c r="F571" s="124"/>
      <c r="G571" s="124"/>
      <c r="H571" s="124"/>
      <c r="I571" s="124"/>
    </row>
    <row r="572" ht="15.75" customHeight="1">
      <c r="B572" s="334"/>
      <c r="E572" s="124"/>
      <c r="F572" s="124"/>
      <c r="G572" s="124"/>
      <c r="H572" s="124"/>
      <c r="I572" s="124"/>
    </row>
    <row r="573" ht="15.75" customHeight="1">
      <c r="B573" s="334"/>
      <c r="E573" s="124"/>
      <c r="F573" s="124"/>
      <c r="G573" s="124"/>
      <c r="H573" s="124"/>
      <c r="I573" s="124"/>
    </row>
    <row r="574" ht="15.75" customHeight="1">
      <c r="B574" s="334"/>
      <c r="E574" s="124"/>
      <c r="F574" s="124"/>
      <c r="G574" s="124"/>
      <c r="H574" s="124"/>
      <c r="I574" s="124"/>
    </row>
    <row r="575" ht="15.75" customHeight="1">
      <c r="B575" s="334"/>
      <c r="E575" s="124"/>
      <c r="F575" s="124"/>
      <c r="G575" s="124"/>
      <c r="H575" s="124"/>
      <c r="I575" s="124"/>
    </row>
    <row r="576" ht="15.75" customHeight="1">
      <c r="B576" s="334"/>
      <c r="E576" s="124"/>
      <c r="F576" s="124"/>
      <c r="G576" s="124"/>
      <c r="H576" s="124"/>
      <c r="I576" s="124"/>
    </row>
    <row r="577" ht="15.75" customHeight="1">
      <c r="B577" s="334"/>
      <c r="E577" s="124"/>
      <c r="F577" s="124"/>
      <c r="G577" s="124"/>
      <c r="H577" s="124"/>
      <c r="I577" s="124"/>
    </row>
    <row r="578" ht="15.75" customHeight="1">
      <c r="B578" s="334"/>
      <c r="E578" s="124"/>
      <c r="F578" s="124"/>
      <c r="G578" s="124"/>
      <c r="H578" s="124"/>
      <c r="I578" s="124"/>
    </row>
    <row r="579" ht="15.75" customHeight="1">
      <c r="B579" s="334"/>
      <c r="E579" s="124"/>
      <c r="F579" s="124"/>
      <c r="G579" s="124"/>
      <c r="H579" s="124"/>
      <c r="I579" s="124"/>
    </row>
    <row r="580" ht="15.75" customHeight="1">
      <c r="B580" s="334"/>
      <c r="E580" s="124"/>
      <c r="F580" s="124"/>
      <c r="G580" s="124"/>
      <c r="H580" s="124"/>
      <c r="I580" s="124"/>
    </row>
    <row r="581" ht="15.75" customHeight="1">
      <c r="B581" s="334"/>
      <c r="E581" s="124"/>
      <c r="F581" s="124"/>
      <c r="G581" s="124"/>
      <c r="H581" s="124"/>
      <c r="I581" s="124"/>
    </row>
    <row r="582" ht="15.75" customHeight="1">
      <c r="B582" s="334"/>
      <c r="E582" s="124"/>
      <c r="F582" s="124"/>
      <c r="G582" s="124"/>
      <c r="H582" s="124"/>
      <c r="I582" s="124"/>
    </row>
    <row r="583" ht="15.75" customHeight="1">
      <c r="B583" s="334"/>
      <c r="E583" s="124"/>
      <c r="F583" s="124"/>
      <c r="G583" s="124"/>
      <c r="H583" s="124"/>
      <c r="I583" s="124"/>
    </row>
    <row r="584" ht="15.75" customHeight="1">
      <c r="B584" s="334"/>
      <c r="E584" s="124"/>
      <c r="F584" s="124"/>
      <c r="G584" s="124"/>
      <c r="H584" s="124"/>
      <c r="I584" s="124"/>
    </row>
    <row r="585" ht="15.75" customHeight="1">
      <c r="B585" s="334"/>
      <c r="E585" s="124"/>
      <c r="F585" s="124"/>
      <c r="G585" s="124"/>
      <c r="H585" s="124"/>
      <c r="I585" s="124"/>
    </row>
    <row r="586" ht="15.75" customHeight="1">
      <c r="B586" s="334"/>
      <c r="E586" s="124"/>
      <c r="F586" s="124"/>
      <c r="G586" s="124"/>
      <c r="H586" s="124"/>
      <c r="I586" s="124"/>
    </row>
    <row r="587" ht="15.75" customHeight="1">
      <c r="B587" s="334"/>
      <c r="E587" s="124"/>
      <c r="F587" s="124"/>
      <c r="G587" s="124"/>
      <c r="H587" s="124"/>
      <c r="I587" s="124"/>
    </row>
    <row r="588" ht="15.75" customHeight="1">
      <c r="B588" s="334"/>
      <c r="E588" s="124"/>
      <c r="F588" s="124"/>
      <c r="G588" s="124"/>
      <c r="H588" s="124"/>
      <c r="I588" s="124"/>
    </row>
    <row r="589" ht="15.75" customHeight="1">
      <c r="B589" s="334"/>
      <c r="E589" s="124"/>
      <c r="F589" s="124"/>
      <c r="G589" s="124"/>
      <c r="H589" s="124"/>
      <c r="I589" s="124"/>
    </row>
    <row r="590" ht="15.75" customHeight="1">
      <c r="B590" s="334"/>
      <c r="E590" s="124"/>
      <c r="F590" s="124"/>
      <c r="G590" s="124"/>
      <c r="H590" s="124"/>
      <c r="I590" s="124"/>
    </row>
    <row r="591" ht="15.75" customHeight="1">
      <c r="B591" s="334"/>
      <c r="E591" s="124"/>
      <c r="F591" s="124"/>
      <c r="G591" s="124"/>
      <c r="H591" s="124"/>
      <c r="I591" s="124"/>
    </row>
    <row r="592" ht="15.75" customHeight="1">
      <c r="B592" s="334"/>
      <c r="E592" s="124"/>
      <c r="F592" s="124"/>
      <c r="G592" s="124"/>
      <c r="H592" s="124"/>
      <c r="I592" s="124"/>
    </row>
    <row r="593" ht="15.75" customHeight="1">
      <c r="B593" s="334"/>
      <c r="E593" s="124"/>
      <c r="F593" s="124"/>
      <c r="G593" s="124"/>
      <c r="H593" s="124"/>
      <c r="I593" s="124"/>
    </row>
    <row r="594" ht="15.75" customHeight="1">
      <c r="B594" s="334"/>
      <c r="E594" s="124"/>
      <c r="F594" s="124"/>
      <c r="G594" s="124"/>
      <c r="H594" s="124"/>
      <c r="I594" s="124"/>
    </row>
    <row r="595" ht="15.75" customHeight="1">
      <c r="B595" s="334"/>
      <c r="E595" s="124"/>
      <c r="F595" s="124"/>
      <c r="G595" s="124"/>
      <c r="H595" s="124"/>
      <c r="I595" s="124"/>
    </row>
    <row r="596" ht="15.75" customHeight="1">
      <c r="B596" s="334"/>
      <c r="E596" s="124"/>
      <c r="F596" s="124"/>
      <c r="G596" s="124"/>
      <c r="H596" s="124"/>
      <c r="I596" s="124"/>
    </row>
    <row r="597" ht="15.75" customHeight="1">
      <c r="B597" s="334"/>
      <c r="E597" s="124"/>
      <c r="F597" s="124"/>
      <c r="G597" s="124"/>
      <c r="H597" s="124"/>
      <c r="I597" s="124"/>
    </row>
    <row r="598" ht="15.75" customHeight="1">
      <c r="B598" s="334"/>
      <c r="E598" s="124"/>
      <c r="F598" s="124"/>
      <c r="G598" s="124"/>
      <c r="H598" s="124"/>
      <c r="I598" s="124"/>
    </row>
    <row r="599" ht="15.75" customHeight="1">
      <c r="B599" s="334"/>
      <c r="E599" s="124"/>
      <c r="F599" s="124"/>
      <c r="G599" s="124"/>
      <c r="H599" s="124"/>
      <c r="I599" s="124"/>
    </row>
    <row r="600" ht="15.75" customHeight="1">
      <c r="B600" s="334"/>
      <c r="E600" s="124"/>
      <c r="F600" s="124"/>
      <c r="G600" s="124"/>
      <c r="H600" s="124"/>
      <c r="I600" s="124"/>
    </row>
    <row r="601" ht="15.75" customHeight="1">
      <c r="B601" s="334"/>
      <c r="E601" s="124"/>
      <c r="F601" s="124"/>
      <c r="G601" s="124"/>
      <c r="H601" s="124"/>
      <c r="I601" s="124"/>
    </row>
    <row r="602" ht="15.75" customHeight="1">
      <c r="B602" s="334"/>
      <c r="E602" s="124"/>
      <c r="F602" s="124"/>
      <c r="G602" s="124"/>
      <c r="H602" s="124"/>
      <c r="I602" s="124"/>
    </row>
    <row r="603" ht="15.75" customHeight="1">
      <c r="B603" s="334"/>
      <c r="E603" s="124"/>
      <c r="F603" s="124"/>
      <c r="G603" s="124"/>
      <c r="H603" s="124"/>
      <c r="I603" s="124"/>
    </row>
    <row r="604" ht="15.75" customHeight="1">
      <c r="B604" s="334"/>
      <c r="E604" s="124"/>
      <c r="F604" s="124"/>
      <c r="G604" s="124"/>
      <c r="H604" s="124"/>
      <c r="I604" s="124"/>
    </row>
    <row r="605" ht="15.75" customHeight="1">
      <c r="B605" s="334"/>
      <c r="E605" s="124"/>
      <c r="F605" s="124"/>
      <c r="G605" s="124"/>
      <c r="H605" s="124"/>
      <c r="I605" s="124"/>
    </row>
    <row r="606" ht="15.75" customHeight="1">
      <c r="B606" s="334"/>
      <c r="E606" s="124"/>
      <c r="F606" s="124"/>
      <c r="G606" s="124"/>
      <c r="H606" s="124"/>
      <c r="I606" s="124"/>
    </row>
    <row r="607" ht="15.75" customHeight="1">
      <c r="B607" s="334"/>
      <c r="E607" s="124"/>
      <c r="F607" s="124"/>
      <c r="G607" s="124"/>
      <c r="H607" s="124"/>
      <c r="I607" s="124"/>
    </row>
    <row r="608" ht="15.75" customHeight="1">
      <c r="B608" s="334"/>
      <c r="E608" s="124"/>
      <c r="F608" s="124"/>
      <c r="G608" s="124"/>
      <c r="H608" s="124"/>
      <c r="I608" s="124"/>
    </row>
    <row r="609" ht="15.75" customHeight="1">
      <c r="B609" s="334"/>
      <c r="E609" s="124"/>
      <c r="F609" s="124"/>
      <c r="G609" s="124"/>
      <c r="H609" s="124"/>
      <c r="I609" s="124"/>
    </row>
    <row r="610" ht="15.75" customHeight="1">
      <c r="B610" s="334"/>
      <c r="E610" s="124"/>
      <c r="F610" s="124"/>
      <c r="G610" s="124"/>
      <c r="H610" s="124"/>
      <c r="I610" s="124"/>
    </row>
    <row r="611" ht="15.75" customHeight="1">
      <c r="B611" s="334"/>
      <c r="E611" s="124"/>
      <c r="F611" s="124"/>
      <c r="G611" s="124"/>
      <c r="H611" s="124"/>
      <c r="I611" s="124"/>
    </row>
    <row r="612" ht="15.75" customHeight="1">
      <c r="B612" s="334"/>
      <c r="E612" s="124"/>
      <c r="F612" s="124"/>
      <c r="G612" s="124"/>
      <c r="H612" s="124"/>
      <c r="I612" s="124"/>
    </row>
    <row r="613" ht="15.75" customHeight="1">
      <c r="B613" s="334"/>
      <c r="E613" s="124"/>
      <c r="F613" s="124"/>
      <c r="G613" s="124"/>
      <c r="H613" s="124"/>
      <c r="I613" s="124"/>
    </row>
    <row r="614" ht="15.75" customHeight="1">
      <c r="B614" s="334"/>
      <c r="E614" s="124"/>
      <c r="F614" s="124"/>
      <c r="G614" s="124"/>
      <c r="H614" s="124"/>
      <c r="I614" s="124"/>
    </row>
    <row r="615" ht="15.75" customHeight="1">
      <c r="B615" s="334"/>
      <c r="E615" s="124"/>
      <c r="F615" s="124"/>
      <c r="G615" s="124"/>
      <c r="H615" s="124"/>
      <c r="I615" s="124"/>
    </row>
    <row r="616" ht="15.75" customHeight="1">
      <c r="B616" s="334"/>
      <c r="E616" s="124"/>
      <c r="F616" s="124"/>
      <c r="G616" s="124"/>
      <c r="H616" s="124"/>
      <c r="I616" s="124"/>
    </row>
    <row r="617" ht="15.75" customHeight="1">
      <c r="B617" s="334"/>
      <c r="E617" s="124"/>
      <c r="F617" s="124"/>
      <c r="G617" s="124"/>
      <c r="H617" s="124"/>
      <c r="I617" s="124"/>
    </row>
    <row r="618" ht="15.75" customHeight="1">
      <c r="B618" s="334"/>
      <c r="E618" s="124"/>
      <c r="F618" s="124"/>
      <c r="G618" s="124"/>
      <c r="H618" s="124"/>
      <c r="I618" s="124"/>
    </row>
    <row r="619" ht="15.75" customHeight="1">
      <c r="B619" s="334"/>
      <c r="E619" s="124"/>
      <c r="F619" s="124"/>
      <c r="G619" s="124"/>
      <c r="H619" s="124"/>
      <c r="I619" s="124"/>
    </row>
    <row r="620" ht="15.75" customHeight="1">
      <c r="B620" s="334"/>
      <c r="E620" s="124"/>
      <c r="F620" s="124"/>
      <c r="G620" s="124"/>
      <c r="H620" s="124"/>
      <c r="I620" s="124"/>
    </row>
    <row r="621" ht="15.75" customHeight="1">
      <c r="B621" s="334"/>
      <c r="E621" s="124"/>
      <c r="F621" s="124"/>
      <c r="G621" s="124"/>
      <c r="H621" s="124"/>
      <c r="I621" s="124"/>
    </row>
    <row r="622" ht="15.75" customHeight="1">
      <c r="B622" s="334"/>
      <c r="E622" s="124"/>
      <c r="F622" s="124"/>
      <c r="G622" s="124"/>
      <c r="H622" s="124"/>
      <c r="I622" s="124"/>
    </row>
    <row r="623" ht="15.75" customHeight="1">
      <c r="B623" s="334"/>
      <c r="E623" s="124"/>
      <c r="F623" s="124"/>
      <c r="G623" s="124"/>
      <c r="H623" s="124"/>
      <c r="I623" s="124"/>
    </row>
    <row r="624" ht="15.75" customHeight="1">
      <c r="B624" s="334"/>
      <c r="E624" s="124"/>
      <c r="F624" s="124"/>
      <c r="G624" s="124"/>
      <c r="H624" s="124"/>
      <c r="I624" s="124"/>
    </row>
    <row r="625" ht="15.75" customHeight="1">
      <c r="B625" s="334"/>
      <c r="E625" s="124"/>
      <c r="F625" s="124"/>
      <c r="G625" s="124"/>
      <c r="H625" s="124"/>
      <c r="I625" s="124"/>
    </row>
    <row r="626" ht="15.75" customHeight="1">
      <c r="B626" s="334"/>
      <c r="E626" s="124"/>
      <c r="F626" s="124"/>
      <c r="G626" s="124"/>
      <c r="H626" s="124"/>
      <c r="I626" s="124"/>
    </row>
    <row r="627" ht="15.75" customHeight="1">
      <c r="B627" s="334"/>
      <c r="E627" s="124"/>
      <c r="F627" s="124"/>
      <c r="G627" s="124"/>
      <c r="H627" s="124"/>
      <c r="I627" s="124"/>
    </row>
    <row r="628" ht="15.75" customHeight="1">
      <c r="B628" s="334"/>
      <c r="E628" s="124"/>
      <c r="F628" s="124"/>
      <c r="G628" s="124"/>
      <c r="H628" s="124"/>
      <c r="I628" s="124"/>
    </row>
    <row r="629" ht="15.75" customHeight="1">
      <c r="B629" s="334"/>
      <c r="E629" s="124"/>
      <c r="F629" s="124"/>
      <c r="G629" s="124"/>
      <c r="H629" s="124"/>
      <c r="I629" s="124"/>
    </row>
    <row r="630" ht="15.75" customHeight="1">
      <c r="B630" s="334"/>
      <c r="E630" s="124"/>
      <c r="F630" s="124"/>
      <c r="G630" s="124"/>
      <c r="H630" s="124"/>
      <c r="I630" s="124"/>
    </row>
    <row r="631" ht="15.75" customHeight="1">
      <c r="B631" s="334"/>
      <c r="E631" s="124"/>
      <c r="F631" s="124"/>
      <c r="G631" s="124"/>
      <c r="H631" s="124"/>
      <c r="I631" s="124"/>
    </row>
    <row r="632" ht="15.75" customHeight="1">
      <c r="B632" s="334"/>
      <c r="E632" s="124"/>
      <c r="F632" s="124"/>
      <c r="G632" s="124"/>
      <c r="H632" s="124"/>
      <c r="I632" s="124"/>
    </row>
    <row r="633" ht="15.75" customHeight="1">
      <c r="B633" s="334"/>
      <c r="E633" s="124"/>
      <c r="F633" s="124"/>
      <c r="G633" s="124"/>
      <c r="H633" s="124"/>
      <c r="I633" s="124"/>
    </row>
    <row r="634" ht="15.75" customHeight="1">
      <c r="B634" s="334"/>
      <c r="E634" s="124"/>
      <c r="F634" s="124"/>
      <c r="G634" s="124"/>
      <c r="H634" s="124"/>
      <c r="I634" s="124"/>
    </row>
    <row r="635" ht="15.75" customHeight="1">
      <c r="B635" s="334"/>
      <c r="E635" s="124"/>
      <c r="F635" s="124"/>
      <c r="G635" s="124"/>
      <c r="H635" s="124"/>
      <c r="I635" s="124"/>
    </row>
    <row r="636" ht="15.75" customHeight="1">
      <c r="B636" s="334"/>
      <c r="E636" s="124"/>
      <c r="F636" s="124"/>
      <c r="G636" s="124"/>
      <c r="H636" s="124"/>
      <c r="I636" s="124"/>
    </row>
    <row r="637" ht="15.75" customHeight="1">
      <c r="B637" s="334"/>
      <c r="E637" s="124"/>
      <c r="F637" s="124"/>
      <c r="G637" s="124"/>
      <c r="H637" s="124"/>
      <c r="I637" s="124"/>
    </row>
    <row r="638" ht="15.75" customHeight="1">
      <c r="B638" s="334"/>
      <c r="E638" s="124"/>
      <c r="F638" s="124"/>
      <c r="G638" s="124"/>
      <c r="H638" s="124"/>
      <c r="I638" s="124"/>
    </row>
    <row r="639" ht="15.75" customHeight="1">
      <c r="B639" s="334"/>
      <c r="E639" s="124"/>
      <c r="F639" s="124"/>
      <c r="G639" s="124"/>
      <c r="H639" s="124"/>
      <c r="I639" s="124"/>
    </row>
    <row r="640" ht="15.75" customHeight="1">
      <c r="B640" s="334"/>
      <c r="E640" s="124"/>
      <c r="F640" s="124"/>
      <c r="G640" s="124"/>
      <c r="H640" s="124"/>
      <c r="I640" s="124"/>
    </row>
    <row r="641" ht="15.75" customHeight="1">
      <c r="B641" s="334"/>
      <c r="E641" s="124"/>
      <c r="F641" s="124"/>
      <c r="G641" s="124"/>
      <c r="H641" s="124"/>
      <c r="I641" s="124"/>
    </row>
    <row r="642" ht="15.75" customHeight="1">
      <c r="B642" s="334"/>
      <c r="E642" s="124"/>
      <c r="F642" s="124"/>
      <c r="G642" s="124"/>
      <c r="H642" s="124"/>
      <c r="I642" s="124"/>
    </row>
    <row r="643" ht="15.75" customHeight="1">
      <c r="B643" s="334"/>
      <c r="E643" s="124"/>
      <c r="F643" s="124"/>
      <c r="G643" s="124"/>
      <c r="H643" s="124"/>
      <c r="I643" s="124"/>
    </row>
    <row r="644" ht="15.75" customHeight="1">
      <c r="B644" s="334"/>
      <c r="E644" s="124"/>
      <c r="F644" s="124"/>
      <c r="G644" s="124"/>
      <c r="H644" s="124"/>
      <c r="I644" s="124"/>
    </row>
    <row r="645" ht="15.75" customHeight="1">
      <c r="B645" s="334"/>
      <c r="E645" s="124"/>
      <c r="F645" s="124"/>
      <c r="G645" s="124"/>
      <c r="H645" s="124"/>
      <c r="I645" s="124"/>
    </row>
    <row r="646" ht="15.75" customHeight="1">
      <c r="B646" s="334"/>
      <c r="E646" s="124"/>
      <c r="F646" s="124"/>
      <c r="G646" s="124"/>
      <c r="H646" s="124"/>
      <c r="I646" s="124"/>
    </row>
    <row r="647" ht="15.75" customHeight="1">
      <c r="B647" s="334"/>
      <c r="E647" s="124"/>
      <c r="F647" s="124"/>
      <c r="G647" s="124"/>
      <c r="H647" s="124"/>
      <c r="I647" s="124"/>
    </row>
    <row r="648" ht="15.75" customHeight="1">
      <c r="B648" s="334"/>
      <c r="E648" s="124"/>
      <c r="F648" s="124"/>
      <c r="G648" s="124"/>
      <c r="H648" s="124"/>
      <c r="I648" s="124"/>
    </row>
    <row r="649" ht="15.75" customHeight="1">
      <c r="B649" s="334"/>
      <c r="E649" s="124"/>
      <c r="F649" s="124"/>
      <c r="G649" s="124"/>
      <c r="H649" s="124"/>
      <c r="I649" s="124"/>
    </row>
    <row r="650" ht="15.75" customHeight="1">
      <c r="B650" s="334"/>
      <c r="E650" s="124"/>
      <c r="F650" s="124"/>
      <c r="G650" s="124"/>
      <c r="H650" s="124"/>
      <c r="I650" s="124"/>
    </row>
    <row r="651" ht="15.75" customHeight="1">
      <c r="B651" s="334"/>
      <c r="E651" s="124"/>
      <c r="F651" s="124"/>
      <c r="G651" s="124"/>
      <c r="H651" s="124"/>
      <c r="I651" s="124"/>
    </row>
    <row r="652" ht="15.75" customHeight="1">
      <c r="B652" s="334"/>
      <c r="E652" s="124"/>
      <c r="F652" s="124"/>
      <c r="G652" s="124"/>
      <c r="H652" s="124"/>
      <c r="I652" s="124"/>
    </row>
    <row r="653" ht="15.75" customHeight="1">
      <c r="B653" s="334"/>
      <c r="E653" s="124"/>
      <c r="F653" s="124"/>
      <c r="G653" s="124"/>
      <c r="H653" s="124"/>
      <c r="I653" s="124"/>
    </row>
    <row r="654" ht="15.75" customHeight="1">
      <c r="B654" s="334"/>
      <c r="E654" s="124"/>
      <c r="F654" s="124"/>
      <c r="G654" s="124"/>
      <c r="H654" s="124"/>
      <c r="I654" s="124"/>
    </row>
    <row r="655" ht="15.75" customHeight="1">
      <c r="B655" s="334"/>
      <c r="E655" s="124"/>
      <c r="F655" s="124"/>
      <c r="G655" s="124"/>
      <c r="H655" s="124"/>
      <c r="I655" s="124"/>
    </row>
    <row r="656" ht="15.75" customHeight="1">
      <c r="B656" s="334"/>
      <c r="E656" s="124"/>
      <c r="F656" s="124"/>
      <c r="G656" s="124"/>
      <c r="H656" s="124"/>
      <c r="I656" s="124"/>
    </row>
    <row r="657" ht="15.75" customHeight="1">
      <c r="B657" s="334"/>
      <c r="E657" s="124"/>
      <c r="F657" s="124"/>
      <c r="G657" s="124"/>
      <c r="H657" s="124"/>
      <c r="I657" s="124"/>
    </row>
    <row r="658" ht="15.75" customHeight="1">
      <c r="B658" s="334"/>
      <c r="E658" s="124"/>
      <c r="F658" s="124"/>
      <c r="G658" s="124"/>
      <c r="H658" s="124"/>
      <c r="I658" s="124"/>
    </row>
    <row r="659" ht="15.75" customHeight="1">
      <c r="B659" s="334"/>
      <c r="E659" s="124"/>
      <c r="F659" s="124"/>
      <c r="G659" s="124"/>
      <c r="H659" s="124"/>
      <c r="I659" s="124"/>
    </row>
    <row r="660" ht="15.75" customHeight="1">
      <c r="B660" s="334"/>
      <c r="E660" s="124"/>
      <c r="F660" s="124"/>
      <c r="G660" s="124"/>
      <c r="H660" s="124"/>
      <c r="I660" s="124"/>
    </row>
    <row r="661" ht="15.75" customHeight="1">
      <c r="B661" s="334"/>
      <c r="E661" s="124"/>
      <c r="F661" s="124"/>
      <c r="G661" s="124"/>
      <c r="H661" s="124"/>
      <c r="I661" s="124"/>
    </row>
    <row r="662" ht="15.75" customHeight="1">
      <c r="B662" s="334"/>
      <c r="E662" s="124"/>
      <c r="F662" s="124"/>
      <c r="G662" s="124"/>
      <c r="H662" s="124"/>
      <c r="I662" s="124"/>
    </row>
    <row r="663" ht="15.75" customHeight="1">
      <c r="B663" s="334"/>
      <c r="E663" s="124"/>
      <c r="F663" s="124"/>
      <c r="G663" s="124"/>
      <c r="H663" s="124"/>
      <c r="I663" s="124"/>
    </row>
    <row r="664" ht="15.75" customHeight="1">
      <c r="B664" s="334"/>
      <c r="E664" s="124"/>
      <c r="F664" s="124"/>
      <c r="G664" s="124"/>
      <c r="H664" s="124"/>
      <c r="I664" s="124"/>
    </row>
    <row r="665" ht="15.75" customHeight="1">
      <c r="B665" s="334"/>
      <c r="E665" s="124"/>
      <c r="F665" s="124"/>
      <c r="G665" s="124"/>
      <c r="H665" s="124"/>
      <c r="I665" s="124"/>
    </row>
    <row r="666" ht="15.75" customHeight="1">
      <c r="B666" s="334"/>
      <c r="E666" s="124"/>
      <c r="F666" s="124"/>
      <c r="G666" s="124"/>
      <c r="H666" s="124"/>
      <c r="I666" s="124"/>
    </row>
    <row r="667" ht="15.75" customHeight="1">
      <c r="B667" s="334"/>
      <c r="E667" s="124"/>
      <c r="F667" s="124"/>
      <c r="G667" s="124"/>
      <c r="H667" s="124"/>
      <c r="I667" s="124"/>
    </row>
    <row r="668" ht="15.75" customHeight="1">
      <c r="B668" s="334"/>
      <c r="E668" s="124"/>
      <c r="F668" s="124"/>
      <c r="G668" s="124"/>
      <c r="H668" s="124"/>
      <c r="I668" s="124"/>
    </row>
    <row r="669" ht="15.75" customHeight="1">
      <c r="B669" s="334"/>
      <c r="E669" s="124"/>
      <c r="F669" s="124"/>
      <c r="G669" s="124"/>
      <c r="H669" s="124"/>
      <c r="I669" s="124"/>
    </row>
    <row r="670" ht="15.75" customHeight="1">
      <c r="B670" s="334"/>
      <c r="E670" s="124"/>
      <c r="F670" s="124"/>
      <c r="G670" s="124"/>
      <c r="H670" s="124"/>
      <c r="I670" s="124"/>
    </row>
    <row r="671" ht="15.75" customHeight="1">
      <c r="B671" s="334"/>
      <c r="E671" s="124"/>
      <c r="F671" s="124"/>
      <c r="G671" s="124"/>
      <c r="H671" s="124"/>
      <c r="I671" s="124"/>
    </row>
    <row r="672" ht="15.75" customHeight="1">
      <c r="B672" s="334"/>
      <c r="E672" s="124"/>
      <c r="F672" s="124"/>
      <c r="G672" s="124"/>
      <c r="H672" s="124"/>
      <c r="I672" s="124"/>
    </row>
    <row r="673" ht="15.75" customHeight="1">
      <c r="B673" s="334"/>
      <c r="E673" s="124"/>
      <c r="F673" s="124"/>
      <c r="G673" s="124"/>
      <c r="H673" s="124"/>
      <c r="I673" s="124"/>
    </row>
    <row r="674" ht="15.75" customHeight="1">
      <c r="B674" s="334"/>
      <c r="E674" s="124"/>
      <c r="F674" s="124"/>
      <c r="G674" s="124"/>
      <c r="H674" s="124"/>
      <c r="I674" s="124"/>
    </row>
    <row r="675" ht="15.75" customHeight="1">
      <c r="B675" s="334"/>
      <c r="E675" s="124"/>
      <c r="F675" s="124"/>
      <c r="G675" s="124"/>
      <c r="H675" s="124"/>
      <c r="I675" s="124"/>
    </row>
    <row r="676" ht="15.75" customHeight="1">
      <c r="B676" s="334"/>
      <c r="E676" s="124"/>
      <c r="F676" s="124"/>
      <c r="G676" s="124"/>
      <c r="H676" s="124"/>
      <c r="I676" s="124"/>
    </row>
    <row r="677" ht="15.75" customHeight="1">
      <c r="B677" s="334"/>
      <c r="E677" s="124"/>
      <c r="F677" s="124"/>
      <c r="G677" s="124"/>
      <c r="H677" s="124"/>
      <c r="I677" s="124"/>
    </row>
    <row r="678" ht="15.75" customHeight="1">
      <c r="B678" s="334"/>
      <c r="E678" s="124"/>
      <c r="F678" s="124"/>
      <c r="G678" s="124"/>
      <c r="H678" s="124"/>
      <c r="I678" s="124"/>
    </row>
    <row r="679" ht="15.75" customHeight="1">
      <c r="B679" s="334"/>
      <c r="E679" s="124"/>
      <c r="F679" s="124"/>
      <c r="G679" s="124"/>
      <c r="H679" s="124"/>
      <c r="I679" s="124"/>
    </row>
    <row r="680" ht="15.75" customHeight="1">
      <c r="B680" s="334"/>
      <c r="E680" s="124"/>
      <c r="F680" s="124"/>
      <c r="G680" s="124"/>
      <c r="H680" s="124"/>
      <c r="I680" s="124"/>
    </row>
    <row r="681" ht="15.75" customHeight="1">
      <c r="B681" s="334"/>
      <c r="E681" s="124"/>
      <c r="F681" s="124"/>
      <c r="G681" s="124"/>
      <c r="H681" s="124"/>
      <c r="I681" s="124"/>
    </row>
    <row r="682" ht="15.75" customHeight="1">
      <c r="B682" s="334"/>
      <c r="E682" s="124"/>
      <c r="F682" s="124"/>
      <c r="G682" s="124"/>
      <c r="H682" s="124"/>
      <c r="I682" s="124"/>
    </row>
    <row r="683" ht="15.75" customHeight="1">
      <c r="B683" s="334"/>
      <c r="E683" s="124"/>
      <c r="F683" s="124"/>
      <c r="G683" s="124"/>
      <c r="H683" s="124"/>
      <c r="I683" s="124"/>
    </row>
    <row r="684" ht="15.75" customHeight="1">
      <c r="B684" s="334"/>
      <c r="E684" s="124"/>
      <c r="F684" s="124"/>
      <c r="G684" s="124"/>
      <c r="H684" s="124"/>
      <c r="I684" s="124"/>
    </row>
    <row r="685" ht="15.75" customHeight="1">
      <c r="B685" s="334"/>
      <c r="E685" s="124"/>
      <c r="F685" s="124"/>
      <c r="G685" s="124"/>
      <c r="H685" s="124"/>
      <c r="I685" s="124"/>
    </row>
    <row r="686" ht="15.75" customHeight="1">
      <c r="B686" s="334"/>
      <c r="E686" s="124"/>
      <c r="F686" s="124"/>
      <c r="G686" s="124"/>
      <c r="H686" s="124"/>
      <c r="I686" s="124"/>
    </row>
    <row r="687" ht="15.75" customHeight="1">
      <c r="B687" s="334"/>
      <c r="E687" s="124"/>
      <c r="F687" s="124"/>
      <c r="G687" s="124"/>
      <c r="H687" s="124"/>
      <c r="I687" s="124"/>
    </row>
    <row r="688" ht="15.75" customHeight="1">
      <c r="B688" s="334"/>
      <c r="E688" s="124"/>
      <c r="F688" s="124"/>
      <c r="G688" s="124"/>
      <c r="H688" s="124"/>
      <c r="I688" s="124"/>
    </row>
    <row r="689" ht="15.75" customHeight="1">
      <c r="B689" s="334"/>
      <c r="E689" s="124"/>
      <c r="F689" s="124"/>
      <c r="G689" s="124"/>
      <c r="H689" s="124"/>
      <c r="I689" s="124"/>
    </row>
    <row r="690" ht="15.75" customHeight="1">
      <c r="B690" s="334"/>
      <c r="E690" s="124"/>
      <c r="F690" s="124"/>
      <c r="G690" s="124"/>
      <c r="H690" s="124"/>
      <c r="I690" s="124"/>
    </row>
    <row r="691" ht="15.75" customHeight="1">
      <c r="B691" s="334"/>
      <c r="E691" s="124"/>
      <c r="F691" s="124"/>
      <c r="G691" s="124"/>
      <c r="H691" s="124"/>
      <c r="I691" s="124"/>
    </row>
    <row r="692" ht="15.75" customHeight="1">
      <c r="B692" s="334"/>
      <c r="E692" s="124"/>
      <c r="F692" s="124"/>
      <c r="G692" s="124"/>
      <c r="H692" s="124"/>
      <c r="I692" s="124"/>
    </row>
    <row r="693" ht="15.75" customHeight="1">
      <c r="B693" s="334"/>
      <c r="E693" s="124"/>
      <c r="F693" s="124"/>
      <c r="G693" s="124"/>
      <c r="H693" s="124"/>
      <c r="I693" s="124"/>
    </row>
    <row r="694" ht="15.75" customHeight="1">
      <c r="B694" s="334"/>
      <c r="E694" s="124"/>
      <c r="F694" s="124"/>
      <c r="G694" s="124"/>
      <c r="H694" s="124"/>
      <c r="I694" s="124"/>
    </row>
    <row r="695" ht="15.75" customHeight="1">
      <c r="B695" s="334"/>
      <c r="E695" s="124"/>
      <c r="F695" s="124"/>
      <c r="G695" s="124"/>
      <c r="H695" s="124"/>
      <c r="I695" s="124"/>
    </row>
    <row r="696" ht="15.75" customHeight="1">
      <c r="B696" s="334"/>
      <c r="E696" s="124"/>
      <c r="F696" s="124"/>
      <c r="G696" s="124"/>
      <c r="H696" s="124"/>
      <c r="I696" s="124"/>
    </row>
    <row r="697" ht="15.75" customHeight="1">
      <c r="B697" s="334"/>
      <c r="E697" s="124"/>
      <c r="F697" s="124"/>
      <c r="G697" s="124"/>
      <c r="H697" s="124"/>
      <c r="I697" s="124"/>
    </row>
    <row r="698" ht="15.75" customHeight="1">
      <c r="B698" s="334"/>
      <c r="E698" s="124"/>
      <c r="F698" s="124"/>
      <c r="G698" s="124"/>
      <c r="H698" s="124"/>
      <c r="I698" s="124"/>
    </row>
    <row r="699" ht="15.75" customHeight="1">
      <c r="B699" s="334"/>
      <c r="E699" s="124"/>
      <c r="F699" s="124"/>
      <c r="G699" s="124"/>
      <c r="H699" s="124"/>
      <c r="I699" s="124"/>
    </row>
    <row r="700" ht="15.75" customHeight="1">
      <c r="B700" s="334"/>
      <c r="E700" s="124"/>
      <c r="F700" s="124"/>
      <c r="G700" s="124"/>
      <c r="H700" s="124"/>
      <c r="I700" s="124"/>
    </row>
    <row r="701" ht="15.75" customHeight="1">
      <c r="B701" s="334"/>
      <c r="E701" s="124"/>
      <c r="F701" s="124"/>
      <c r="G701" s="124"/>
      <c r="H701" s="124"/>
      <c r="I701" s="124"/>
    </row>
    <row r="702" ht="15.75" customHeight="1">
      <c r="B702" s="334"/>
      <c r="E702" s="124"/>
      <c r="F702" s="124"/>
      <c r="G702" s="124"/>
      <c r="H702" s="124"/>
      <c r="I702" s="124"/>
    </row>
    <row r="703" ht="15.75" customHeight="1">
      <c r="B703" s="334"/>
      <c r="E703" s="124"/>
      <c r="F703" s="124"/>
      <c r="G703" s="124"/>
      <c r="H703" s="124"/>
      <c r="I703" s="124"/>
    </row>
    <row r="704" ht="15.75" customHeight="1">
      <c r="B704" s="334"/>
      <c r="E704" s="124"/>
      <c r="F704" s="124"/>
      <c r="G704" s="124"/>
      <c r="H704" s="124"/>
      <c r="I704" s="124"/>
    </row>
    <row r="705" ht="15.75" customHeight="1">
      <c r="B705" s="334"/>
      <c r="E705" s="124"/>
      <c r="F705" s="124"/>
      <c r="G705" s="124"/>
      <c r="H705" s="124"/>
      <c r="I705" s="124"/>
    </row>
    <row r="706" ht="15.75" customHeight="1">
      <c r="B706" s="334"/>
      <c r="E706" s="124"/>
      <c r="F706" s="124"/>
      <c r="G706" s="124"/>
      <c r="H706" s="124"/>
      <c r="I706" s="124"/>
    </row>
    <row r="707" ht="15.75" customHeight="1">
      <c r="B707" s="334"/>
      <c r="E707" s="124"/>
      <c r="F707" s="124"/>
      <c r="G707" s="124"/>
      <c r="H707" s="124"/>
      <c r="I707" s="124"/>
    </row>
    <row r="708" ht="15.75" customHeight="1">
      <c r="B708" s="334"/>
      <c r="E708" s="124"/>
      <c r="F708" s="124"/>
      <c r="G708" s="124"/>
      <c r="H708" s="124"/>
      <c r="I708" s="124"/>
    </row>
    <row r="709" ht="15.75" customHeight="1">
      <c r="B709" s="334"/>
      <c r="E709" s="124"/>
      <c r="F709" s="124"/>
      <c r="G709" s="124"/>
      <c r="H709" s="124"/>
      <c r="I709" s="124"/>
    </row>
    <row r="710" ht="15.75" customHeight="1">
      <c r="B710" s="334"/>
      <c r="E710" s="124"/>
      <c r="F710" s="124"/>
      <c r="G710" s="124"/>
      <c r="H710" s="124"/>
      <c r="I710" s="124"/>
    </row>
    <row r="711" ht="15.75" customHeight="1">
      <c r="B711" s="334"/>
      <c r="E711" s="124"/>
      <c r="F711" s="124"/>
      <c r="G711" s="124"/>
      <c r="H711" s="124"/>
      <c r="I711" s="124"/>
    </row>
    <row r="712" ht="15.75" customHeight="1">
      <c r="B712" s="334"/>
      <c r="E712" s="124"/>
      <c r="F712" s="124"/>
      <c r="G712" s="124"/>
      <c r="H712" s="124"/>
      <c r="I712" s="124"/>
    </row>
    <row r="713" ht="15.75" customHeight="1">
      <c r="B713" s="334"/>
      <c r="E713" s="124"/>
      <c r="F713" s="124"/>
      <c r="G713" s="124"/>
      <c r="H713" s="124"/>
      <c r="I713" s="124"/>
    </row>
    <row r="714" ht="15.75" customHeight="1">
      <c r="B714" s="334"/>
      <c r="E714" s="124"/>
      <c r="F714" s="124"/>
      <c r="G714" s="124"/>
      <c r="H714" s="124"/>
      <c r="I714" s="124"/>
    </row>
    <row r="715" ht="15.75" customHeight="1">
      <c r="B715" s="334"/>
      <c r="E715" s="124"/>
      <c r="F715" s="124"/>
      <c r="G715" s="124"/>
      <c r="H715" s="124"/>
      <c r="I715" s="124"/>
    </row>
    <row r="716" ht="15.75" customHeight="1">
      <c r="B716" s="334"/>
      <c r="E716" s="124"/>
      <c r="F716" s="124"/>
      <c r="G716" s="124"/>
      <c r="H716" s="124"/>
      <c r="I716" s="124"/>
    </row>
    <row r="717" ht="15.75" customHeight="1">
      <c r="B717" s="334"/>
      <c r="E717" s="124"/>
      <c r="F717" s="124"/>
      <c r="G717" s="124"/>
      <c r="H717" s="124"/>
      <c r="I717" s="124"/>
    </row>
    <row r="718" ht="15.75" customHeight="1">
      <c r="B718" s="334"/>
      <c r="E718" s="124"/>
      <c r="F718" s="124"/>
      <c r="G718" s="124"/>
      <c r="H718" s="124"/>
      <c r="I718" s="124"/>
    </row>
    <row r="719" ht="15.75" customHeight="1">
      <c r="B719" s="334"/>
      <c r="E719" s="124"/>
      <c r="F719" s="124"/>
      <c r="G719" s="124"/>
      <c r="H719" s="124"/>
      <c r="I719" s="124"/>
    </row>
    <row r="720" ht="15.75" customHeight="1">
      <c r="B720" s="334"/>
      <c r="E720" s="124"/>
      <c r="F720" s="124"/>
      <c r="G720" s="124"/>
      <c r="H720" s="124"/>
      <c r="I720" s="124"/>
    </row>
    <row r="721" ht="15.75" customHeight="1">
      <c r="B721" s="334"/>
      <c r="E721" s="124"/>
      <c r="F721" s="124"/>
      <c r="G721" s="124"/>
      <c r="H721" s="124"/>
      <c r="I721" s="124"/>
    </row>
    <row r="722" ht="15.75" customHeight="1">
      <c r="B722" s="334"/>
      <c r="E722" s="124"/>
      <c r="F722" s="124"/>
      <c r="G722" s="124"/>
      <c r="H722" s="124"/>
      <c r="I722" s="124"/>
    </row>
    <row r="723" ht="15.75" customHeight="1">
      <c r="B723" s="334"/>
      <c r="E723" s="124"/>
      <c r="F723" s="124"/>
      <c r="G723" s="124"/>
      <c r="H723" s="124"/>
      <c r="I723" s="124"/>
    </row>
    <row r="724" ht="15.75" customHeight="1">
      <c r="B724" s="334"/>
      <c r="E724" s="124"/>
      <c r="F724" s="124"/>
      <c r="G724" s="124"/>
      <c r="H724" s="124"/>
      <c r="I724" s="124"/>
    </row>
    <row r="725" ht="15.75" customHeight="1">
      <c r="B725" s="334"/>
      <c r="E725" s="124"/>
      <c r="F725" s="124"/>
      <c r="G725" s="124"/>
      <c r="H725" s="124"/>
      <c r="I725" s="124"/>
    </row>
    <row r="726" ht="15.75" customHeight="1">
      <c r="B726" s="334"/>
      <c r="E726" s="124"/>
      <c r="F726" s="124"/>
      <c r="G726" s="124"/>
      <c r="H726" s="124"/>
      <c r="I726" s="124"/>
    </row>
    <row r="727" ht="15.75" customHeight="1">
      <c r="B727" s="334"/>
      <c r="E727" s="124"/>
      <c r="F727" s="124"/>
      <c r="G727" s="124"/>
      <c r="H727" s="124"/>
      <c r="I727" s="124"/>
    </row>
    <row r="728" ht="15.75" customHeight="1">
      <c r="B728" s="334"/>
      <c r="E728" s="124"/>
      <c r="F728" s="124"/>
      <c r="G728" s="124"/>
      <c r="H728" s="124"/>
      <c r="I728" s="124"/>
    </row>
    <row r="729" ht="15.75" customHeight="1">
      <c r="B729" s="334"/>
      <c r="E729" s="124"/>
      <c r="F729" s="124"/>
      <c r="G729" s="124"/>
      <c r="H729" s="124"/>
      <c r="I729" s="124"/>
    </row>
    <row r="730" ht="15.75" customHeight="1">
      <c r="B730" s="334"/>
      <c r="E730" s="124"/>
      <c r="F730" s="124"/>
      <c r="G730" s="124"/>
      <c r="H730" s="124"/>
      <c r="I730" s="124"/>
    </row>
    <row r="731" ht="15.75" customHeight="1">
      <c r="B731" s="334"/>
      <c r="E731" s="124"/>
      <c r="F731" s="124"/>
      <c r="G731" s="124"/>
      <c r="H731" s="124"/>
      <c r="I731" s="124"/>
    </row>
    <row r="732" ht="15.75" customHeight="1">
      <c r="B732" s="334"/>
      <c r="E732" s="124"/>
      <c r="F732" s="124"/>
      <c r="G732" s="124"/>
      <c r="H732" s="124"/>
      <c r="I732" s="124"/>
    </row>
    <row r="733" ht="15.75" customHeight="1">
      <c r="B733" s="334"/>
      <c r="E733" s="124"/>
      <c r="F733" s="124"/>
      <c r="G733" s="124"/>
      <c r="H733" s="124"/>
      <c r="I733" s="124"/>
    </row>
    <row r="734" ht="15.75" customHeight="1">
      <c r="B734" s="334"/>
      <c r="E734" s="124"/>
      <c r="F734" s="124"/>
      <c r="G734" s="124"/>
      <c r="H734" s="124"/>
      <c r="I734" s="124"/>
    </row>
    <row r="735" ht="15.75" customHeight="1">
      <c r="B735" s="334"/>
      <c r="E735" s="124"/>
      <c r="F735" s="124"/>
      <c r="G735" s="124"/>
      <c r="H735" s="124"/>
      <c r="I735" s="124"/>
    </row>
    <row r="736" ht="15.75" customHeight="1">
      <c r="B736" s="334"/>
      <c r="E736" s="124"/>
      <c r="F736" s="124"/>
      <c r="G736" s="124"/>
      <c r="H736" s="124"/>
      <c r="I736" s="124"/>
    </row>
    <row r="737" ht="15.75" customHeight="1">
      <c r="B737" s="334"/>
      <c r="E737" s="124"/>
      <c r="F737" s="124"/>
      <c r="G737" s="124"/>
      <c r="H737" s="124"/>
      <c r="I737" s="124"/>
    </row>
    <row r="738" ht="15.75" customHeight="1">
      <c r="B738" s="334"/>
      <c r="E738" s="124"/>
      <c r="F738" s="124"/>
      <c r="G738" s="124"/>
      <c r="H738" s="124"/>
      <c r="I738" s="124"/>
    </row>
    <row r="739" ht="15.75" customHeight="1">
      <c r="B739" s="334"/>
      <c r="E739" s="124"/>
      <c r="F739" s="124"/>
      <c r="G739" s="124"/>
      <c r="H739" s="124"/>
      <c r="I739" s="124"/>
    </row>
    <row r="740" ht="15.75" customHeight="1">
      <c r="B740" s="334"/>
      <c r="E740" s="124"/>
      <c r="F740" s="124"/>
      <c r="G740" s="124"/>
      <c r="H740" s="124"/>
      <c r="I740" s="124"/>
    </row>
    <row r="741" ht="15.75" customHeight="1">
      <c r="B741" s="334"/>
      <c r="E741" s="124"/>
      <c r="F741" s="124"/>
      <c r="G741" s="124"/>
      <c r="H741" s="124"/>
      <c r="I741" s="124"/>
    </row>
    <row r="742" ht="15.75" customHeight="1">
      <c r="B742" s="334"/>
      <c r="E742" s="124"/>
      <c r="F742" s="124"/>
      <c r="G742" s="124"/>
      <c r="H742" s="124"/>
      <c r="I742" s="124"/>
    </row>
    <row r="743" ht="15.75" customHeight="1">
      <c r="B743" s="334"/>
      <c r="E743" s="124"/>
      <c r="F743" s="124"/>
      <c r="G743" s="124"/>
      <c r="H743" s="124"/>
      <c r="I743" s="124"/>
    </row>
    <row r="744" ht="15.75" customHeight="1">
      <c r="B744" s="334"/>
      <c r="E744" s="124"/>
      <c r="F744" s="124"/>
      <c r="G744" s="124"/>
      <c r="H744" s="124"/>
      <c r="I744" s="124"/>
    </row>
    <row r="745" ht="15.75" customHeight="1">
      <c r="B745" s="334"/>
      <c r="E745" s="124"/>
      <c r="F745" s="124"/>
      <c r="G745" s="124"/>
      <c r="H745" s="124"/>
      <c r="I745" s="124"/>
    </row>
    <row r="746" ht="15.75" customHeight="1">
      <c r="B746" s="334"/>
      <c r="E746" s="124"/>
      <c r="F746" s="124"/>
      <c r="G746" s="124"/>
      <c r="H746" s="124"/>
      <c r="I746" s="124"/>
    </row>
    <row r="747" ht="15.75" customHeight="1">
      <c r="B747" s="334"/>
      <c r="E747" s="124"/>
      <c r="F747" s="124"/>
      <c r="G747" s="124"/>
      <c r="H747" s="124"/>
      <c r="I747" s="124"/>
    </row>
    <row r="748" ht="15.75" customHeight="1">
      <c r="B748" s="334"/>
      <c r="E748" s="124"/>
      <c r="F748" s="124"/>
      <c r="G748" s="124"/>
      <c r="H748" s="124"/>
      <c r="I748" s="124"/>
    </row>
    <row r="749" ht="15.75" customHeight="1">
      <c r="B749" s="334"/>
      <c r="E749" s="124"/>
      <c r="F749" s="124"/>
      <c r="G749" s="124"/>
      <c r="H749" s="124"/>
      <c r="I749" s="124"/>
    </row>
    <row r="750" ht="15.75" customHeight="1">
      <c r="B750" s="334"/>
      <c r="E750" s="124"/>
      <c r="F750" s="124"/>
      <c r="G750" s="124"/>
      <c r="H750" s="124"/>
      <c r="I750" s="124"/>
    </row>
    <row r="751" ht="15.75" customHeight="1">
      <c r="B751" s="334"/>
      <c r="E751" s="124"/>
      <c r="F751" s="124"/>
      <c r="G751" s="124"/>
      <c r="H751" s="124"/>
      <c r="I751" s="124"/>
    </row>
    <row r="752" ht="15.75" customHeight="1">
      <c r="B752" s="334"/>
      <c r="E752" s="124"/>
      <c r="F752" s="124"/>
      <c r="G752" s="124"/>
      <c r="H752" s="124"/>
      <c r="I752" s="124"/>
    </row>
    <row r="753" ht="15.75" customHeight="1">
      <c r="B753" s="334"/>
      <c r="E753" s="124"/>
      <c r="F753" s="124"/>
      <c r="G753" s="124"/>
      <c r="H753" s="124"/>
      <c r="I753" s="124"/>
    </row>
    <row r="754" ht="15.75" customHeight="1">
      <c r="B754" s="334"/>
      <c r="E754" s="124"/>
      <c r="F754" s="124"/>
      <c r="G754" s="124"/>
      <c r="H754" s="124"/>
      <c r="I754" s="124"/>
    </row>
    <row r="755" ht="15.75" customHeight="1">
      <c r="B755" s="334"/>
      <c r="E755" s="124"/>
      <c r="F755" s="124"/>
      <c r="G755" s="124"/>
      <c r="H755" s="124"/>
      <c r="I755" s="124"/>
    </row>
    <row r="756" ht="15.75" customHeight="1">
      <c r="B756" s="334"/>
      <c r="E756" s="124"/>
      <c r="F756" s="124"/>
      <c r="G756" s="124"/>
      <c r="H756" s="124"/>
      <c r="I756" s="124"/>
    </row>
    <row r="757" ht="15.75" customHeight="1">
      <c r="B757" s="334"/>
      <c r="E757" s="124"/>
      <c r="F757" s="124"/>
      <c r="G757" s="124"/>
      <c r="H757" s="124"/>
      <c r="I757" s="124"/>
    </row>
    <row r="758" ht="15.75" customHeight="1">
      <c r="B758" s="334"/>
      <c r="E758" s="124"/>
      <c r="F758" s="124"/>
      <c r="G758" s="124"/>
      <c r="H758" s="124"/>
      <c r="I758" s="124"/>
    </row>
    <row r="759" ht="15.75" customHeight="1">
      <c r="B759" s="334"/>
      <c r="E759" s="124"/>
      <c r="F759" s="124"/>
      <c r="G759" s="124"/>
      <c r="H759" s="124"/>
      <c r="I759" s="124"/>
    </row>
    <row r="760" ht="15.75" customHeight="1">
      <c r="B760" s="334"/>
      <c r="E760" s="124"/>
      <c r="F760" s="124"/>
      <c r="G760" s="124"/>
      <c r="H760" s="124"/>
      <c r="I760" s="124"/>
    </row>
    <row r="761" ht="15.75" customHeight="1">
      <c r="B761" s="334"/>
      <c r="E761" s="124"/>
      <c r="F761" s="124"/>
      <c r="G761" s="124"/>
      <c r="H761" s="124"/>
      <c r="I761" s="124"/>
    </row>
    <row r="762" ht="15.75" customHeight="1">
      <c r="B762" s="334"/>
      <c r="E762" s="124"/>
      <c r="F762" s="124"/>
      <c r="G762" s="124"/>
      <c r="H762" s="124"/>
      <c r="I762" s="124"/>
    </row>
    <row r="763" ht="15.75" customHeight="1">
      <c r="B763" s="334"/>
      <c r="E763" s="124"/>
      <c r="F763" s="124"/>
      <c r="G763" s="124"/>
      <c r="H763" s="124"/>
      <c r="I763" s="124"/>
    </row>
    <row r="764" ht="15.75" customHeight="1">
      <c r="B764" s="334"/>
      <c r="E764" s="124"/>
      <c r="F764" s="124"/>
      <c r="G764" s="124"/>
      <c r="H764" s="124"/>
      <c r="I764" s="124"/>
    </row>
    <row r="765" ht="15.75" customHeight="1">
      <c r="B765" s="334"/>
      <c r="E765" s="124"/>
      <c r="F765" s="124"/>
      <c r="G765" s="124"/>
      <c r="H765" s="124"/>
      <c r="I765" s="124"/>
    </row>
    <row r="766" ht="15.75" customHeight="1">
      <c r="B766" s="334"/>
      <c r="E766" s="124"/>
      <c r="F766" s="124"/>
      <c r="G766" s="124"/>
      <c r="H766" s="124"/>
      <c r="I766" s="124"/>
    </row>
    <row r="767" ht="15.75" customHeight="1">
      <c r="B767" s="334"/>
      <c r="E767" s="124"/>
      <c r="F767" s="124"/>
      <c r="G767" s="124"/>
      <c r="H767" s="124"/>
      <c r="I767" s="124"/>
    </row>
    <row r="768" ht="15.75" customHeight="1">
      <c r="B768" s="334"/>
      <c r="E768" s="124"/>
      <c r="F768" s="124"/>
      <c r="G768" s="124"/>
      <c r="H768" s="124"/>
      <c r="I768" s="124"/>
    </row>
    <row r="769" ht="15.75" customHeight="1">
      <c r="B769" s="334"/>
      <c r="E769" s="124"/>
      <c r="F769" s="124"/>
      <c r="G769" s="124"/>
      <c r="H769" s="124"/>
      <c r="I769" s="124"/>
    </row>
    <row r="770" ht="15.75" customHeight="1">
      <c r="B770" s="334"/>
      <c r="E770" s="124"/>
      <c r="F770" s="124"/>
      <c r="G770" s="124"/>
      <c r="H770" s="124"/>
      <c r="I770" s="124"/>
    </row>
    <row r="771" ht="15.75" customHeight="1">
      <c r="B771" s="334"/>
      <c r="E771" s="124"/>
      <c r="F771" s="124"/>
      <c r="G771" s="124"/>
      <c r="H771" s="124"/>
      <c r="I771" s="124"/>
    </row>
    <row r="772" ht="15.75" customHeight="1">
      <c r="B772" s="334"/>
      <c r="E772" s="124"/>
      <c r="F772" s="124"/>
      <c r="G772" s="124"/>
      <c r="H772" s="124"/>
      <c r="I772" s="124"/>
    </row>
    <row r="773" ht="15.75" customHeight="1">
      <c r="B773" s="334"/>
      <c r="E773" s="124"/>
      <c r="F773" s="124"/>
      <c r="G773" s="124"/>
      <c r="H773" s="124"/>
      <c r="I773" s="124"/>
    </row>
    <row r="774" ht="15.75" customHeight="1">
      <c r="B774" s="334"/>
      <c r="E774" s="124"/>
      <c r="F774" s="124"/>
      <c r="G774" s="124"/>
      <c r="H774" s="124"/>
      <c r="I774" s="124"/>
    </row>
    <row r="775" ht="15.75" customHeight="1">
      <c r="B775" s="334"/>
      <c r="E775" s="124"/>
      <c r="F775" s="124"/>
      <c r="G775" s="124"/>
      <c r="H775" s="124"/>
      <c r="I775" s="124"/>
    </row>
    <row r="776" ht="15.75" customHeight="1">
      <c r="B776" s="334"/>
      <c r="E776" s="124"/>
      <c r="F776" s="124"/>
      <c r="G776" s="124"/>
      <c r="H776" s="124"/>
      <c r="I776" s="124"/>
    </row>
    <row r="777" ht="15.75" customHeight="1">
      <c r="B777" s="334"/>
      <c r="E777" s="124"/>
      <c r="F777" s="124"/>
      <c r="G777" s="124"/>
      <c r="H777" s="124"/>
      <c r="I777" s="124"/>
    </row>
    <row r="778" ht="15.75" customHeight="1">
      <c r="B778" s="334"/>
      <c r="E778" s="124"/>
      <c r="F778" s="124"/>
      <c r="G778" s="124"/>
      <c r="H778" s="124"/>
      <c r="I778" s="124"/>
    </row>
    <row r="779" ht="15.75" customHeight="1">
      <c r="B779" s="334"/>
      <c r="E779" s="124"/>
      <c r="F779" s="124"/>
      <c r="G779" s="124"/>
      <c r="H779" s="124"/>
      <c r="I779" s="124"/>
    </row>
    <row r="780" ht="15.75" customHeight="1">
      <c r="B780" s="334"/>
      <c r="E780" s="124"/>
      <c r="F780" s="124"/>
      <c r="G780" s="124"/>
      <c r="H780" s="124"/>
      <c r="I780" s="124"/>
    </row>
    <row r="781" ht="15.75" customHeight="1">
      <c r="B781" s="334"/>
      <c r="E781" s="124"/>
      <c r="F781" s="124"/>
      <c r="G781" s="124"/>
      <c r="H781" s="124"/>
      <c r="I781" s="124"/>
    </row>
    <row r="782" ht="15.75" customHeight="1">
      <c r="B782" s="334"/>
      <c r="E782" s="124"/>
      <c r="F782" s="124"/>
      <c r="G782" s="124"/>
      <c r="H782" s="124"/>
      <c r="I782" s="124"/>
    </row>
    <row r="783" ht="15.75" customHeight="1">
      <c r="B783" s="334"/>
      <c r="E783" s="124"/>
      <c r="F783" s="124"/>
      <c r="G783" s="124"/>
      <c r="H783" s="124"/>
      <c r="I783" s="124"/>
    </row>
    <row r="784" ht="15.75" customHeight="1">
      <c r="B784" s="334"/>
      <c r="E784" s="124"/>
      <c r="F784" s="124"/>
      <c r="G784" s="124"/>
      <c r="H784" s="124"/>
      <c r="I784" s="124"/>
    </row>
    <row r="785" ht="15.75" customHeight="1">
      <c r="B785" s="334"/>
      <c r="E785" s="124"/>
      <c r="F785" s="124"/>
      <c r="G785" s="124"/>
      <c r="H785" s="124"/>
      <c r="I785" s="124"/>
    </row>
    <row r="786" ht="15.75" customHeight="1">
      <c r="B786" s="334"/>
      <c r="E786" s="124"/>
      <c r="F786" s="124"/>
      <c r="G786" s="124"/>
      <c r="H786" s="124"/>
      <c r="I786" s="124"/>
    </row>
    <row r="787" ht="15.75" customHeight="1">
      <c r="B787" s="334"/>
      <c r="E787" s="124"/>
      <c r="F787" s="124"/>
      <c r="G787" s="124"/>
      <c r="H787" s="124"/>
      <c r="I787" s="124"/>
    </row>
    <row r="788" ht="15.75" customHeight="1">
      <c r="B788" s="334"/>
      <c r="E788" s="124"/>
      <c r="F788" s="124"/>
      <c r="G788" s="124"/>
      <c r="H788" s="124"/>
      <c r="I788" s="124"/>
    </row>
    <row r="789" ht="15.75" customHeight="1">
      <c r="B789" s="334"/>
      <c r="E789" s="124"/>
      <c r="F789" s="124"/>
      <c r="G789" s="124"/>
      <c r="H789" s="124"/>
      <c r="I789" s="124"/>
    </row>
    <row r="790" ht="15.75" customHeight="1">
      <c r="B790" s="334"/>
      <c r="E790" s="124"/>
      <c r="F790" s="124"/>
      <c r="G790" s="124"/>
      <c r="H790" s="124"/>
      <c r="I790" s="124"/>
    </row>
    <row r="791" ht="15.75" customHeight="1">
      <c r="B791" s="334"/>
      <c r="E791" s="124"/>
      <c r="F791" s="124"/>
      <c r="G791" s="124"/>
      <c r="H791" s="124"/>
      <c r="I791" s="124"/>
    </row>
    <row r="792" ht="15.75" customHeight="1">
      <c r="B792" s="334"/>
      <c r="E792" s="124"/>
      <c r="F792" s="124"/>
      <c r="G792" s="124"/>
      <c r="H792" s="124"/>
      <c r="I792" s="124"/>
    </row>
    <row r="793" ht="15.75" customHeight="1">
      <c r="B793" s="334"/>
      <c r="E793" s="124"/>
      <c r="F793" s="124"/>
      <c r="G793" s="124"/>
      <c r="H793" s="124"/>
      <c r="I793" s="124"/>
    </row>
    <row r="794" ht="15.75" customHeight="1">
      <c r="B794" s="334"/>
      <c r="E794" s="124"/>
      <c r="F794" s="124"/>
      <c r="G794" s="124"/>
      <c r="H794" s="124"/>
      <c r="I794" s="124"/>
    </row>
    <row r="795" ht="15.75" customHeight="1">
      <c r="B795" s="334"/>
      <c r="E795" s="124"/>
      <c r="F795" s="124"/>
      <c r="G795" s="124"/>
      <c r="H795" s="124"/>
      <c r="I795" s="124"/>
    </row>
    <row r="796" ht="15.75" customHeight="1">
      <c r="B796" s="334"/>
      <c r="E796" s="124"/>
      <c r="F796" s="124"/>
      <c r="G796" s="124"/>
      <c r="H796" s="124"/>
      <c r="I796" s="124"/>
    </row>
    <row r="797" ht="15.75" customHeight="1">
      <c r="B797" s="334"/>
      <c r="E797" s="124"/>
      <c r="F797" s="124"/>
      <c r="G797" s="124"/>
      <c r="H797" s="124"/>
      <c r="I797" s="124"/>
    </row>
    <row r="798" ht="15.75" customHeight="1">
      <c r="B798" s="334"/>
      <c r="E798" s="124"/>
      <c r="F798" s="124"/>
      <c r="G798" s="124"/>
      <c r="H798" s="124"/>
      <c r="I798" s="124"/>
    </row>
    <row r="799" ht="15.75" customHeight="1">
      <c r="B799" s="334"/>
      <c r="E799" s="124"/>
      <c r="F799" s="124"/>
      <c r="G799" s="124"/>
      <c r="H799" s="124"/>
      <c r="I799" s="124"/>
    </row>
    <row r="800" ht="15.75" customHeight="1">
      <c r="B800" s="334"/>
      <c r="E800" s="124"/>
      <c r="F800" s="124"/>
      <c r="G800" s="124"/>
      <c r="H800" s="124"/>
      <c r="I800" s="124"/>
    </row>
    <row r="801" ht="15.75" customHeight="1">
      <c r="B801" s="334"/>
      <c r="E801" s="124"/>
      <c r="F801" s="124"/>
      <c r="G801" s="124"/>
      <c r="H801" s="124"/>
      <c r="I801" s="124"/>
    </row>
    <row r="802" ht="15.75" customHeight="1">
      <c r="B802" s="334"/>
      <c r="E802" s="124"/>
      <c r="F802" s="124"/>
      <c r="G802" s="124"/>
      <c r="H802" s="124"/>
      <c r="I802" s="124"/>
    </row>
    <row r="803" ht="15.75" customHeight="1">
      <c r="B803" s="334"/>
      <c r="E803" s="124"/>
      <c r="F803" s="124"/>
      <c r="G803" s="124"/>
      <c r="H803" s="124"/>
      <c r="I803" s="124"/>
    </row>
    <row r="804" ht="15.75" customHeight="1">
      <c r="B804" s="334"/>
      <c r="E804" s="124"/>
      <c r="F804" s="124"/>
      <c r="G804" s="124"/>
      <c r="H804" s="124"/>
      <c r="I804" s="124"/>
    </row>
    <row r="805" ht="15.75" customHeight="1">
      <c r="B805" s="334"/>
      <c r="E805" s="124"/>
      <c r="F805" s="124"/>
      <c r="G805" s="124"/>
      <c r="H805" s="124"/>
      <c r="I805" s="124"/>
    </row>
    <row r="806" ht="15.75" customHeight="1">
      <c r="B806" s="334"/>
      <c r="E806" s="124"/>
      <c r="F806" s="124"/>
      <c r="G806" s="124"/>
      <c r="H806" s="124"/>
      <c r="I806" s="124"/>
    </row>
    <row r="807" ht="15.75" customHeight="1">
      <c r="B807" s="334"/>
      <c r="E807" s="124"/>
      <c r="F807" s="124"/>
      <c r="G807" s="124"/>
      <c r="H807" s="124"/>
      <c r="I807" s="124"/>
    </row>
    <row r="808" ht="15.75" customHeight="1">
      <c r="B808" s="334"/>
      <c r="E808" s="124"/>
      <c r="F808" s="124"/>
      <c r="G808" s="124"/>
      <c r="H808" s="124"/>
      <c r="I808" s="124"/>
    </row>
    <row r="809" ht="15.75" customHeight="1">
      <c r="B809" s="334"/>
      <c r="E809" s="124"/>
      <c r="F809" s="124"/>
      <c r="G809" s="124"/>
      <c r="H809" s="124"/>
      <c r="I809" s="124"/>
    </row>
    <row r="810" ht="15.75" customHeight="1">
      <c r="B810" s="334"/>
      <c r="E810" s="124"/>
      <c r="F810" s="124"/>
      <c r="G810" s="124"/>
      <c r="H810" s="124"/>
      <c r="I810" s="124"/>
    </row>
    <row r="811" ht="15.75" customHeight="1">
      <c r="B811" s="334"/>
      <c r="E811" s="124"/>
      <c r="F811" s="124"/>
      <c r="G811" s="124"/>
      <c r="H811" s="124"/>
      <c r="I811" s="124"/>
    </row>
    <row r="812" ht="15.75" customHeight="1">
      <c r="B812" s="334"/>
      <c r="E812" s="124"/>
      <c r="F812" s="124"/>
      <c r="G812" s="124"/>
      <c r="H812" s="124"/>
      <c r="I812" s="124"/>
    </row>
    <row r="813" ht="15.75" customHeight="1">
      <c r="B813" s="334"/>
      <c r="E813" s="124"/>
      <c r="F813" s="124"/>
      <c r="G813" s="124"/>
      <c r="H813" s="124"/>
      <c r="I813" s="124"/>
    </row>
    <row r="814" ht="15.75" customHeight="1">
      <c r="B814" s="334"/>
      <c r="E814" s="124"/>
      <c r="F814" s="124"/>
      <c r="G814" s="124"/>
      <c r="H814" s="124"/>
      <c r="I814" s="124"/>
    </row>
    <row r="815" ht="15.75" customHeight="1">
      <c r="B815" s="334"/>
      <c r="E815" s="124"/>
      <c r="F815" s="124"/>
      <c r="G815" s="124"/>
      <c r="H815" s="124"/>
      <c r="I815" s="124"/>
    </row>
    <row r="816" ht="15.75" customHeight="1">
      <c r="B816" s="334"/>
      <c r="E816" s="124"/>
      <c r="F816" s="124"/>
      <c r="G816" s="124"/>
      <c r="H816" s="124"/>
      <c r="I816" s="124"/>
    </row>
    <row r="817" ht="15.75" customHeight="1">
      <c r="B817" s="334"/>
      <c r="E817" s="124"/>
      <c r="F817" s="124"/>
      <c r="G817" s="124"/>
      <c r="H817" s="124"/>
      <c r="I817" s="124"/>
    </row>
    <row r="818" ht="15.75" customHeight="1">
      <c r="B818" s="334"/>
      <c r="E818" s="124"/>
      <c r="F818" s="124"/>
      <c r="G818" s="124"/>
      <c r="H818" s="124"/>
      <c r="I818" s="124"/>
    </row>
    <row r="819" ht="15.75" customHeight="1">
      <c r="B819" s="334"/>
      <c r="E819" s="124"/>
      <c r="F819" s="124"/>
      <c r="G819" s="124"/>
      <c r="H819" s="124"/>
      <c r="I819" s="124"/>
    </row>
    <row r="820" ht="15.75" customHeight="1">
      <c r="B820" s="334"/>
      <c r="E820" s="124"/>
      <c r="F820" s="124"/>
      <c r="G820" s="124"/>
      <c r="H820" s="124"/>
      <c r="I820" s="124"/>
    </row>
    <row r="821" ht="15.75" customHeight="1">
      <c r="B821" s="334"/>
      <c r="E821" s="124"/>
      <c r="F821" s="124"/>
      <c r="G821" s="124"/>
      <c r="H821" s="124"/>
      <c r="I821" s="124"/>
    </row>
    <row r="822" ht="15.75" customHeight="1">
      <c r="B822" s="334"/>
      <c r="E822" s="124"/>
      <c r="F822" s="124"/>
      <c r="G822" s="124"/>
      <c r="H822" s="124"/>
      <c r="I822" s="124"/>
    </row>
    <row r="823" ht="15.75" customHeight="1">
      <c r="B823" s="334"/>
      <c r="E823" s="124"/>
      <c r="F823" s="124"/>
      <c r="G823" s="124"/>
      <c r="H823" s="124"/>
      <c r="I823" s="124"/>
    </row>
    <row r="824" ht="15.75" customHeight="1">
      <c r="B824" s="334"/>
      <c r="E824" s="124"/>
      <c r="F824" s="124"/>
      <c r="G824" s="124"/>
      <c r="H824" s="124"/>
      <c r="I824" s="124"/>
    </row>
    <row r="825" ht="15.75" customHeight="1">
      <c r="B825" s="334"/>
      <c r="E825" s="124"/>
      <c r="F825" s="124"/>
      <c r="G825" s="124"/>
      <c r="H825" s="124"/>
      <c r="I825" s="124"/>
    </row>
    <row r="826" ht="15.75" customHeight="1">
      <c r="B826" s="334"/>
      <c r="E826" s="124"/>
      <c r="F826" s="124"/>
      <c r="G826" s="124"/>
      <c r="H826" s="124"/>
      <c r="I826" s="124"/>
    </row>
    <row r="827" ht="15.75" customHeight="1">
      <c r="B827" s="334"/>
      <c r="E827" s="124"/>
      <c r="F827" s="124"/>
      <c r="G827" s="124"/>
      <c r="H827" s="124"/>
      <c r="I827" s="124"/>
    </row>
    <row r="828" ht="15.75" customHeight="1">
      <c r="B828" s="334"/>
      <c r="E828" s="124"/>
      <c r="F828" s="124"/>
      <c r="G828" s="124"/>
      <c r="H828" s="124"/>
      <c r="I828" s="124"/>
    </row>
    <row r="829" ht="15.75" customHeight="1">
      <c r="B829" s="334"/>
      <c r="E829" s="124"/>
      <c r="F829" s="124"/>
      <c r="G829" s="124"/>
      <c r="H829" s="124"/>
      <c r="I829" s="124"/>
    </row>
    <row r="830" ht="15.75" customHeight="1">
      <c r="B830" s="334"/>
      <c r="E830" s="124"/>
      <c r="F830" s="124"/>
      <c r="G830" s="124"/>
      <c r="H830" s="124"/>
      <c r="I830" s="124"/>
    </row>
    <row r="831" ht="15.75" customHeight="1">
      <c r="B831" s="334"/>
      <c r="E831" s="124"/>
      <c r="F831" s="124"/>
      <c r="G831" s="124"/>
      <c r="H831" s="124"/>
      <c r="I831" s="124"/>
    </row>
    <row r="832" ht="15.75" customHeight="1">
      <c r="B832" s="334"/>
      <c r="E832" s="124"/>
      <c r="F832" s="124"/>
      <c r="G832" s="124"/>
      <c r="H832" s="124"/>
      <c r="I832" s="124"/>
    </row>
    <row r="833" ht="15.75" customHeight="1">
      <c r="B833" s="334"/>
      <c r="E833" s="124"/>
      <c r="F833" s="124"/>
      <c r="G833" s="124"/>
      <c r="H833" s="124"/>
      <c r="I833" s="124"/>
    </row>
    <row r="834" ht="15.75" customHeight="1">
      <c r="B834" s="334"/>
      <c r="E834" s="124"/>
      <c r="F834" s="124"/>
      <c r="G834" s="124"/>
      <c r="H834" s="124"/>
      <c r="I834" s="124"/>
    </row>
    <row r="835" ht="15.75" customHeight="1">
      <c r="B835" s="334"/>
      <c r="E835" s="124"/>
      <c r="F835" s="124"/>
      <c r="G835" s="124"/>
      <c r="H835" s="124"/>
      <c r="I835" s="124"/>
    </row>
    <row r="836" ht="15.75" customHeight="1">
      <c r="B836" s="334"/>
      <c r="E836" s="124"/>
      <c r="F836" s="124"/>
      <c r="G836" s="124"/>
      <c r="H836" s="124"/>
      <c r="I836" s="124"/>
    </row>
    <row r="837" ht="15.75" customHeight="1">
      <c r="B837" s="334"/>
      <c r="E837" s="124"/>
      <c r="F837" s="124"/>
      <c r="G837" s="124"/>
      <c r="H837" s="124"/>
      <c r="I837" s="124"/>
    </row>
    <row r="838" ht="15.75" customHeight="1">
      <c r="B838" s="334"/>
      <c r="E838" s="124"/>
      <c r="F838" s="124"/>
      <c r="G838" s="124"/>
      <c r="H838" s="124"/>
      <c r="I838" s="124"/>
    </row>
    <row r="839" ht="15.75" customHeight="1">
      <c r="B839" s="334"/>
      <c r="E839" s="124"/>
      <c r="F839" s="124"/>
      <c r="G839" s="124"/>
      <c r="H839" s="124"/>
      <c r="I839" s="124"/>
    </row>
    <row r="840" ht="15.75" customHeight="1">
      <c r="B840" s="334"/>
      <c r="E840" s="124"/>
      <c r="F840" s="124"/>
      <c r="G840" s="124"/>
      <c r="H840" s="124"/>
      <c r="I840" s="124"/>
    </row>
    <row r="841" ht="15.75" customHeight="1">
      <c r="B841" s="334"/>
      <c r="E841" s="124"/>
      <c r="F841" s="124"/>
      <c r="G841" s="124"/>
      <c r="H841" s="124"/>
      <c r="I841" s="124"/>
    </row>
    <row r="842" ht="15.75" customHeight="1">
      <c r="B842" s="334"/>
      <c r="E842" s="124"/>
      <c r="F842" s="124"/>
      <c r="G842" s="124"/>
      <c r="H842" s="124"/>
      <c r="I842" s="124"/>
    </row>
    <row r="843" ht="15.75" customHeight="1">
      <c r="B843" s="334"/>
      <c r="E843" s="124"/>
      <c r="F843" s="124"/>
      <c r="G843" s="124"/>
      <c r="H843" s="124"/>
      <c r="I843" s="124"/>
    </row>
    <row r="844" ht="15.75" customHeight="1">
      <c r="B844" s="334"/>
      <c r="E844" s="124"/>
      <c r="F844" s="124"/>
      <c r="G844" s="124"/>
      <c r="H844" s="124"/>
      <c r="I844" s="124"/>
    </row>
    <row r="845" ht="15.75" customHeight="1">
      <c r="B845" s="334"/>
      <c r="E845" s="124"/>
      <c r="F845" s="124"/>
      <c r="G845" s="124"/>
      <c r="H845" s="124"/>
      <c r="I845" s="124"/>
    </row>
    <row r="846" ht="15.75" customHeight="1">
      <c r="B846" s="334"/>
      <c r="E846" s="124"/>
      <c r="F846" s="124"/>
      <c r="G846" s="124"/>
      <c r="H846" s="124"/>
      <c r="I846" s="124"/>
    </row>
    <row r="847" ht="15.75" customHeight="1">
      <c r="B847" s="334"/>
      <c r="E847" s="124"/>
      <c r="F847" s="124"/>
      <c r="G847" s="124"/>
      <c r="H847" s="124"/>
      <c r="I847" s="124"/>
    </row>
    <row r="848" ht="15.75" customHeight="1">
      <c r="B848" s="334"/>
      <c r="E848" s="124"/>
      <c r="F848" s="124"/>
      <c r="G848" s="124"/>
      <c r="H848" s="124"/>
      <c r="I848" s="124"/>
    </row>
    <row r="849" ht="15.75" customHeight="1">
      <c r="B849" s="334"/>
      <c r="E849" s="124"/>
      <c r="F849" s="124"/>
      <c r="G849" s="124"/>
      <c r="H849" s="124"/>
      <c r="I849" s="124"/>
    </row>
    <row r="850" ht="15.75" customHeight="1">
      <c r="B850" s="334"/>
      <c r="E850" s="124"/>
      <c r="F850" s="124"/>
      <c r="G850" s="124"/>
      <c r="H850" s="124"/>
      <c r="I850" s="124"/>
    </row>
    <row r="851" ht="15.75" customHeight="1">
      <c r="B851" s="334"/>
      <c r="E851" s="124"/>
      <c r="F851" s="124"/>
      <c r="G851" s="124"/>
      <c r="H851" s="124"/>
      <c r="I851" s="124"/>
    </row>
    <row r="852" ht="15.75" customHeight="1">
      <c r="B852" s="334"/>
      <c r="E852" s="124"/>
      <c r="F852" s="124"/>
      <c r="G852" s="124"/>
      <c r="H852" s="124"/>
      <c r="I852" s="124"/>
    </row>
    <row r="853" ht="15.75" customHeight="1">
      <c r="B853" s="334"/>
      <c r="E853" s="124"/>
      <c r="F853" s="124"/>
      <c r="G853" s="124"/>
      <c r="H853" s="124"/>
      <c r="I853" s="124"/>
    </row>
    <row r="854" ht="15.75" customHeight="1">
      <c r="B854" s="334"/>
      <c r="E854" s="124"/>
      <c r="F854" s="124"/>
      <c r="G854" s="124"/>
      <c r="H854" s="124"/>
      <c r="I854" s="124"/>
    </row>
    <row r="855" ht="15.75" customHeight="1">
      <c r="B855" s="334"/>
      <c r="E855" s="124"/>
      <c r="F855" s="124"/>
      <c r="G855" s="124"/>
      <c r="H855" s="124"/>
      <c r="I855" s="124"/>
    </row>
    <row r="856" ht="15.75" customHeight="1">
      <c r="B856" s="334"/>
      <c r="E856" s="124"/>
      <c r="F856" s="124"/>
      <c r="G856" s="124"/>
      <c r="H856" s="124"/>
      <c r="I856" s="124"/>
    </row>
    <row r="857" ht="15.75" customHeight="1">
      <c r="B857" s="334"/>
      <c r="E857" s="124"/>
      <c r="F857" s="124"/>
      <c r="G857" s="124"/>
      <c r="H857" s="124"/>
      <c r="I857" s="124"/>
    </row>
    <row r="858" ht="15.75" customHeight="1">
      <c r="B858" s="334"/>
      <c r="E858" s="124"/>
      <c r="F858" s="124"/>
      <c r="G858" s="124"/>
      <c r="H858" s="124"/>
      <c r="I858" s="124"/>
    </row>
    <row r="859" ht="15.75" customHeight="1">
      <c r="B859" s="334"/>
      <c r="E859" s="124"/>
      <c r="F859" s="124"/>
      <c r="G859" s="124"/>
      <c r="H859" s="124"/>
      <c r="I859" s="124"/>
    </row>
    <row r="860" ht="15.75" customHeight="1">
      <c r="B860" s="334"/>
      <c r="E860" s="124"/>
      <c r="F860" s="124"/>
      <c r="G860" s="124"/>
      <c r="H860" s="124"/>
      <c r="I860" s="124"/>
    </row>
    <row r="861" ht="15.75" customHeight="1">
      <c r="B861" s="334"/>
      <c r="E861" s="124"/>
      <c r="F861" s="124"/>
      <c r="G861" s="124"/>
      <c r="H861" s="124"/>
      <c r="I861" s="124"/>
    </row>
    <row r="862" ht="15.75" customHeight="1">
      <c r="B862" s="334"/>
      <c r="E862" s="124"/>
      <c r="F862" s="124"/>
      <c r="G862" s="124"/>
      <c r="H862" s="124"/>
      <c r="I862" s="124"/>
    </row>
    <row r="863" ht="15.75" customHeight="1">
      <c r="B863" s="334"/>
      <c r="E863" s="124"/>
      <c r="F863" s="124"/>
      <c r="G863" s="124"/>
      <c r="H863" s="124"/>
      <c r="I863" s="124"/>
    </row>
    <row r="864" ht="15.75" customHeight="1">
      <c r="B864" s="334"/>
      <c r="E864" s="124"/>
      <c r="F864" s="124"/>
      <c r="G864" s="124"/>
      <c r="H864" s="124"/>
      <c r="I864" s="124"/>
    </row>
    <row r="865" ht="15.75" customHeight="1">
      <c r="B865" s="334"/>
      <c r="E865" s="124"/>
      <c r="F865" s="124"/>
      <c r="G865" s="124"/>
      <c r="H865" s="124"/>
      <c r="I865" s="124"/>
    </row>
    <row r="866" ht="15.75" customHeight="1">
      <c r="B866" s="334"/>
      <c r="E866" s="124"/>
      <c r="F866" s="124"/>
      <c r="G866" s="124"/>
      <c r="H866" s="124"/>
      <c r="I866" s="124"/>
    </row>
    <row r="867" ht="15.75" customHeight="1">
      <c r="B867" s="334"/>
      <c r="E867" s="124"/>
      <c r="F867" s="124"/>
      <c r="G867" s="124"/>
      <c r="H867" s="124"/>
      <c r="I867" s="124"/>
    </row>
    <row r="868" ht="15.75" customHeight="1">
      <c r="B868" s="334"/>
      <c r="E868" s="124"/>
      <c r="F868" s="124"/>
      <c r="G868" s="124"/>
      <c r="H868" s="124"/>
      <c r="I868" s="124"/>
    </row>
    <row r="869" ht="15.75" customHeight="1">
      <c r="B869" s="334"/>
      <c r="E869" s="124"/>
      <c r="F869" s="124"/>
      <c r="G869" s="124"/>
      <c r="H869" s="124"/>
      <c r="I869" s="124"/>
    </row>
    <row r="870" ht="15.75" customHeight="1">
      <c r="B870" s="334"/>
      <c r="E870" s="124"/>
      <c r="F870" s="124"/>
      <c r="G870" s="124"/>
      <c r="H870" s="124"/>
      <c r="I870" s="124"/>
    </row>
    <row r="871" ht="15.75" customHeight="1">
      <c r="B871" s="334"/>
      <c r="E871" s="124"/>
      <c r="F871" s="124"/>
      <c r="G871" s="124"/>
      <c r="H871" s="124"/>
      <c r="I871" s="124"/>
    </row>
    <row r="872" ht="15.75" customHeight="1">
      <c r="B872" s="334"/>
      <c r="E872" s="124"/>
      <c r="F872" s="124"/>
      <c r="G872" s="124"/>
      <c r="H872" s="124"/>
      <c r="I872" s="124"/>
    </row>
    <row r="873" ht="15.75" customHeight="1">
      <c r="B873" s="334"/>
      <c r="E873" s="124"/>
      <c r="F873" s="124"/>
      <c r="G873" s="124"/>
      <c r="H873" s="124"/>
      <c r="I873" s="124"/>
    </row>
    <row r="874" ht="15.75" customHeight="1">
      <c r="B874" s="334"/>
      <c r="E874" s="124"/>
      <c r="F874" s="124"/>
      <c r="G874" s="124"/>
      <c r="H874" s="124"/>
      <c r="I874" s="124"/>
    </row>
    <row r="875" ht="15.75" customHeight="1">
      <c r="B875" s="334"/>
      <c r="E875" s="124"/>
      <c r="F875" s="124"/>
      <c r="G875" s="124"/>
      <c r="H875" s="124"/>
      <c r="I875" s="124"/>
    </row>
    <row r="876" ht="15.75" customHeight="1">
      <c r="B876" s="334"/>
      <c r="E876" s="124"/>
      <c r="F876" s="124"/>
      <c r="G876" s="124"/>
      <c r="H876" s="124"/>
      <c r="I876" s="124"/>
    </row>
    <row r="877" ht="15.75" customHeight="1">
      <c r="B877" s="334"/>
      <c r="E877" s="124"/>
      <c r="F877" s="124"/>
      <c r="G877" s="124"/>
      <c r="H877" s="124"/>
      <c r="I877" s="124"/>
    </row>
    <row r="878" ht="15.75" customHeight="1">
      <c r="B878" s="334"/>
      <c r="E878" s="124"/>
      <c r="F878" s="124"/>
      <c r="G878" s="124"/>
      <c r="H878" s="124"/>
      <c r="I878" s="124"/>
    </row>
    <row r="879" ht="15.75" customHeight="1">
      <c r="B879" s="334"/>
      <c r="E879" s="124"/>
      <c r="F879" s="124"/>
      <c r="G879" s="124"/>
      <c r="H879" s="124"/>
      <c r="I879" s="124"/>
    </row>
    <row r="880" ht="15.75" customHeight="1">
      <c r="B880" s="334"/>
      <c r="E880" s="124"/>
      <c r="F880" s="124"/>
      <c r="G880" s="124"/>
      <c r="H880" s="124"/>
      <c r="I880" s="124"/>
    </row>
    <row r="881" ht="15.75" customHeight="1">
      <c r="B881" s="334"/>
      <c r="E881" s="124"/>
      <c r="F881" s="124"/>
      <c r="G881" s="124"/>
      <c r="H881" s="124"/>
      <c r="I881" s="124"/>
    </row>
    <row r="882" ht="15.75" customHeight="1">
      <c r="B882" s="334"/>
      <c r="E882" s="124"/>
      <c r="F882" s="124"/>
      <c r="G882" s="124"/>
      <c r="H882" s="124"/>
      <c r="I882" s="124"/>
    </row>
    <row r="883" ht="15.75" customHeight="1">
      <c r="B883" s="334"/>
      <c r="E883" s="124"/>
      <c r="F883" s="124"/>
      <c r="G883" s="124"/>
      <c r="H883" s="124"/>
      <c r="I883" s="124"/>
    </row>
    <row r="884" ht="15.75" customHeight="1">
      <c r="B884" s="334"/>
      <c r="E884" s="124"/>
      <c r="F884" s="124"/>
      <c r="G884" s="124"/>
      <c r="H884" s="124"/>
      <c r="I884" s="124"/>
    </row>
    <row r="885" ht="15.75" customHeight="1">
      <c r="B885" s="334"/>
      <c r="E885" s="124"/>
      <c r="F885" s="124"/>
      <c r="G885" s="124"/>
      <c r="H885" s="124"/>
      <c r="I885" s="124"/>
    </row>
    <row r="886" ht="15.75" customHeight="1">
      <c r="B886" s="334"/>
      <c r="E886" s="124"/>
      <c r="F886" s="124"/>
      <c r="G886" s="124"/>
      <c r="H886" s="124"/>
      <c r="I886" s="124"/>
    </row>
    <row r="887" ht="15.75" customHeight="1">
      <c r="B887" s="334"/>
      <c r="E887" s="124"/>
      <c r="F887" s="124"/>
      <c r="G887" s="124"/>
      <c r="H887" s="124"/>
      <c r="I887" s="124"/>
    </row>
    <row r="888" ht="15.75" customHeight="1">
      <c r="B888" s="334"/>
      <c r="E888" s="124"/>
      <c r="F888" s="124"/>
      <c r="G888" s="124"/>
      <c r="H888" s="124"/>
      <c r="I888" s="124"/>
    </row>
    <row r="889" ht="15.75" customHeight="1">
      <c r="B889" s="334"/>
      <c r="E889" s="124"/>
      <c r="F889" s="124"/>
      <c r="G889" s="124"/>
      <c r="H889" s="124"/>
      <c r="I889" s="124"/>
    </row>
    <row r="890" ht="15.75" customHeight="1">
      <c r="B890" s="334"/>
      <c r="E890" s="124"/>
      <c r="F890" s="124"/>
      <c r="G890" s="124"/>
      <c r="H890" s="124"/>
      <c r="I890" s="124"/>
    </row>
    <row r="891" ht="15.75" customHeight="1">
      <c r="B891" s="334"/>
      <c r="E891" s="124"/>
      <c r="F891" s="124"/>
      <c r="G891" s="124"/>
      <c r="H891" s="124"/>
      <c r="I891" s="124"/>
    </row>
    <row r="892" ht="15.75" customHeight="1">
      <c r="B892" s="334"/>
      <c r="E892" s="124"/>
      <c r="F892" s="124"/>
      <c r="G892" s="124"/>
      <c r="H892" s="124"/>
      <c r="I892" s="124"/>
    </row>
    <row r="893" ht="15.75" customHeight="1">
      <c r="B893" s="334"/>
      <c r="E893" s="124"/>
      <c r="F893" s="124"/>
      <c r="G893" s="124"/>
      <c r="H893" s="124"/>
      <c r="I893" s="124"/>
    </row>
    <row r="894" ht="15.75" customHeight="1">
      <c r="B894" s="334"/>
      <c r="E894" s="124"/>
      <c r="F894" s="124"/>
      <c r="G894" s="124"/>
      <c r="H894" s="124"/>
      <c r="I894" s="124"/>
    </row>
    <row r="895" ht="15.75" customHeight="1">
      <c r="B895" s="334"/>
      <c r="E895" s="124"/>
      <c r="F895" s="124"/>
      <c r="G895" s="124"/>
      <c r="H895" s="124"/>
      <c r="I895" s="124"/>
    </row>
    <row r="896" ht="15.75" customHeight="1">
      <c r="B896" s="334"/>
      <c r="E896" s="124"/>
      <c r="F896" s="124"/>
      <c r="G896" s="124"/>
      <c r="H896" s="124"/>
      <c r="I896" s="124"/>
    </row>
    <row r="897" ht="15.75" customHeight="1">
      <c r="B897" s="334"/>
      <c r="E897" s="124"/>
      <c r="F897" s="124"/>
      <c r="G897" s="124"/>
      <c r="H897" s="124"/>
      <c r="I897" s="124"/>
    </row>
    <row r="898" ht="15.75" customHeight="1">
      <c r="B898" s="334"/>
      <c r="E898" s="124"/>
      <c r="F898" s="124"/>
      <c r="G898" s="124"/>
      <c r="H898" s="124"/>
      <c r="I898" s="124"/>
    </row>
    <row r="899" ht="15.75" customHeight="1">
      <c r="B899" s="334"/>
      <c r="E899" s="124"/>
      <c r="F899" s="124"/>
      <c r="G899" s="124"/>
      <c r="H899" s="124"/>
      <c r="I899" s="124"/>
    </row>
    <row r="900" ht="15.75" customHeight="1">
      <c r="B900" s="334"/>
      <c r="E900" s="124"/>
      <c r="F900" s="124"/>
      <c r="G900" s="124"/>
      <c r="H900" s="124"/>
      <c r="I900" s="124"/>
    </row>
    <row r="901" ht="15.75" customHeight="1">
      <c r="B901" s="334"/>
      <c r="E901" s="124"/>
      <c r="F901" s="124"/>
      <c r="G901" s="124"/>
      <c r="H901" s="124"/>
      <c r="I901" s="124"/>
    </row>
    <row r="902" ht="15.75" customHeight="1">
      <c r="B902" s="334"/>
      <c r="E902" s="124"/>
      <c r="F902" s="124"/>
      <c r="G902" s="124"/>
      <c r="H902" s="124"/>
      <c r="I902" s="124"/>
    </row>
    <row r="903" ht="15.75" customHeight="1">
      <c r="B903" s="334"/>
      <c r="E903" s="124"/>
      <c r="F903" s="124"/>
      <c r="G903" s="124"/>
      <c r="H903" s="124"/>
      <c r="I903" s="124"/>
    </row>
    <row r="904" ht="15.75" customHeight="1">
      <c r="B904" s="334"/>
      <c r="E904" s="124"/>
      <c r="F904" s="124"/>
      <c r="G904" s="124"/>
      <c r="H904" s="124"/>
      <c r="I904" s="124"/>
    </row>
    <row r="905" ht="15.75" customHeight="1">
      <c r="B905" s="334"/>
      <c r="E905" s="124"/>
      <c r="F905" s="124"/>
      <c r="G905" s="124"/>
      <c r="H905" s="124"/>
      <c r="I905" s="124"/>
    </row>
    <row r="906" ht="15.75" customHeight="1">
      <c r="B906" s="334"/>
      <c r="E906" s="124"/>
      <c r="F906" s="124"/>
      <c r="G906" s="124"/>
      <c r="H906" s="124"/>
      <c r="I906" s="124"/>
    </row>
    <row r="907" ht="15.75" customHeight="1">
      <c r="B907" s="334"/>
      <c r="E907" s="124"/>
      <c r="F907" s="124"/>
      <c r="G907" s="124"/>
      <c r="H907" s="124"/>
      <c r="I907" s="124"/>
    </row>
    <row r="908" ht="15.75" customHeight="1">
      <c r="B908" s="334"/>
      <c r="E908" s="124"/>
      <c r="F908" s="124"/>
      <c r="G908" s="124"/>
      <c r="H908" s="124"/>
      <c r="I908" s="124"/>
    </row>
    <row r="909" ht="15.75" customHeight="1">
      <c r="B909" s="334"/>
      <c r="E909" s="124"/>
      <c r="F909" s="124"/>
      <c r="G909" s="124"/>
      <c r="H909" s="124"/>
      <c r="I909" s="124"/>
    </row>
    <row r="910" ht="15.75" customHeight="1">
      <c r="B910" s="334"/>
      <c r="E910" s="124"/>
      <c r="F910" s="124"/>
      <c r="G910" s="124"/>
      <c r="H910" s="124"/>
      <c r="I910" s="124"/>
    </row>
    <row r="911" ht="15.75" customHeight="1">
      <c r="B911" s="334"/>
      <c r="E911" s="124"/>
      <c r="F911" s="124"/>
      <c r="G911" s="124"/>
      <c r="H911" s="124"/>
      <c r="I911" s="124"/>
    </row>
    <row r="912" ht="15.75" customHeight="1">
      <c r="B912" s="334"/>
      <c r="E912" s="124"/>
      <c r="F912" s="124"/>
      <c r="G912" s="124"/>
      <c r="H912" s="124"/>
      <c r="I912" s="124"/>
    </row>
    <row r="913" ht="15.75" customHeight="1">
      <c r="B913" s="334"/>
      <c r="E913" s="124"/>
      <c r="F913" s="124"/>
      <c r="G913" s="124"/>
      <c r="H913" s="124"/>
      <c r="I913" s="124"/>
    </row>
    <row r="914" ht="15.75" customHeight="1">
      <c r="B914" s="334"/>
      <c r="E914" s="124"/>
      <c r="F914" s="124"/>
      <c r="G914" s="124"/>
      <c r="H914" s="124"/>
      <c r="I914" s="124"/>
    </row>
    <row r="915" ht="15.75" customHeight="1">
      <c r="B915" s="334"/>
      <c r="E915" s="124"/>
      <c r="F915" s="124"/>
      <c r="G915" s="124"/>
      <c r="H915" s="124"/>
      <c r="I915" s="124"/>
    </row>
    <row r="916" ht="15.75" customHeight="1">
      <c r="B916" s="334"/>
      <c r="E916" s="124"/>
      <c r="F916" s="124"/>
      <c r="G916" s="124"/>
      <c r="H916" s="124"/>
      <c r="I916" s="124"/>
    </row>
    <row r="917" ht="15.75" customHeight="1">
      <c r="B917" s="334"/>
      <c r="E917" s="124"/>
      <c r="F917" s="124"/>
      <c r="G917" s="124"/>
      <c r="H917" s="124"/>
      <c r="I917" s="124"/>
    </row>
    <row r="918" ht="15.75" customHeight="1">
      <c r="B918" s="334"/>
      <c r="E918" s="124"/>
      <c r="F918" s="124"/>
      <c r="G918" s="124"/>
      <c r="H918" s="124"/>
      <c r="I918" s="124"/>
    </row>
    <row r="919" ht="15.75" customHeight="1">
      <c r="B919" s="334"/>
      <c r="E919" s="124"/>
      <c r="F919" s="124"/>
      <c r="G919" s="124"/>
      <c r="H919" s="124"/>
      <c r="I919" s="124"/>
    </row>
    <row r="920" ht="15.75" customHeight="1">
      <c r="B920" s="334"/>
      <c r="E920" s="124"/>
      <c r="F920" s="124"/>
      <c r="G920" s="124"/>
      <c r="H920" s="124"/>
      <c r="I920" s="124"/>
    </row>
    <row r="921" ht="15.75" customHeight="1">
      <c r="B921" s="334"/>
      <c r="E921" s="124"/>
      <c r="F921" s="124"/>
      <c r="G921" s="124"/>
      <c r="H921" s="124"/>
      <c r="I921" s="124"/>
    </row>
    <row r="922" ht="15.75" customHeight="1">
      <c r="B922" s="334"/>
      <c r="E922" s="124"/>
      <c r="F922" s="124"/>
      <c r="G922" s="124"/>
      <c r="H922" s="124"/>
      <c r="I922" s="124"/>
    </row>
    <row r="923" ht="15.75" customHeight="1">
      <c r="B923" s="334"/>
      <c r="E923" s="124"/>
      <c r="F923" s="124"/>
      <c r="G923" s="124"/>
      <c r="H923" s="124"/>
      <c r="I923" s="124"/>
    </row>
    <row r="924" ht="15.75" customHeight="1">
      <c r="B924" s="334"/>
      <c r="E924" s="124"/>
      <c r="F924" s="124"/>
      <c r="G924" s="124"/>
      <c r="H924" s="124"/>
      <c r="I924" s="124"/>
    </row>
    <row r="925" ht="15.75" customHeight="1">
      <c r="B925" s="334"/>
      <c r="E925" s="124"/>
      <c r="F925" s="124"/>
      <c r="G925" s="124"/>
      <c r="H925" s="124"/>
      <c r="I925" s="124"/>
    </row>
    <row r="926" ht="15.75" customHeight="1">
      <c r="B926" s="334"/>
      <c r="E926" s="124"/>
      <c r="F926" s="124"/>
      <c r="G926" s="124"/>
      <c r="H926" s="124"/>
      <c r="I926" s="124"/>
    </row>
    <row r="927" ht="15.75" customHeight="1">
      <c r="B927" s="334"/>
      <c r="E927" s="124"/>
      <c r="F927" s="124"/>
      <c r="G927" s="124"/>
      <c r="H927" s="124"/>
      <c r="I927" s="124"/>
    </row>
    <row r="928" ht="15.75" customHeight="1">
      <c r="B928" s="334"/>
      <c r="E928" s="124"/>
      <c r="F928" s="124"/>
      <c r="G928" s="124"/>
      <c r="H928" s="124"/>
      <c r="I928" s="124"/>
    </row>
    <row r="929" ht="15.75" customHeight="1">
      <c r="B929" s="334"/>
      <c r="E929" s="124"/>
      <c r="F929" s="124"/>
      <c r="G929" s="124"/>
      <c r="H929" s="124"/>
      <c r="I929" s="124"/>
    </row>
    <row r="930" ht="15.75" customHeight="1">
      <c r="B930" s="334"/>
      <c r="E930" s="124"/>
      <c r="F930" s="124"/>
      <c r="G930" s="124"/>
      <c r="H930" s="124"/>
      <c r="I930" s="124"/>
    </row>
    <row r="931" ht="15.75" customHeight="1">
      <c r="B931" s="334"/>
      <c r="E931" s="124"/>
      <c r="F931" s="124"/>
      <c r="G931" s="124"/>
      <c r="H931" s="124"/>
      <c r="I931" s="124"/>
    </row>
    <row r="932" ht="15.75" customHeight="1">
      <c r="B932" s="334"/>
      <c r="E932" s="124"/>
      <c r="F932" s="124"/>
      <c r="G932" s="124"/>
      <c r="H932" s="124"/>
      <c r="I932" s="124"/>
    </row>
    <row r="933" ht="15.75" customHeight="1">
      <c r="B933" s="334"/>
      <c r="E933" s="124"/>
      <c r="F933" s="124"/>
      <c r="G933" s="124"/>
      <c r="H933" s="124"/>
      <c r="I933" s="124"/>
    </row>
    <row r="934" ht="15.75" customHeight="1">
      <c r="B934" s="334"/>
      <c r="E934" s="124"/>
      <c r="F934" s="124"/>
      <c r="G934" s="124"/>
      <c r="H934" s="124"/>
      <c r="I934" s="124"/>
    </row>
    <row r="935" ht="15.75" customHeight="1">
      <c r="B935" s="334"/>
      <c r="E935" s="124"/>
      <c r="F935" s="124"/>
      <c r="G935" s="124"/>
      <c r="H935" s="124"/>
      <c r="I935" s="124"/>
    </row>
    <row r="936" ht="15.75" customHeight="1">
      <c r="B936" s="334"/>
      <c r="E936" s="124"/>
      <c r="F936" s="124"/>
      <c r="G936" s="124"/>
      <c r="H936" s="124"/>
      <c r="I936" s="124"/>
    </row>
    <row r="937" ht="15.75" customHeight="1">
      <c r="B937" s="334"/>
      <c r="E937" s="124"/>
      <c r="F937" s="124"/>
      <c r="G937" s="124"/>
      <c r="H937" s="124"/>
      <c r="I937" s="124"/>
    </row>
    <row r="938" ht="15.75" customHeight="1">
      <c r="B938" s="334"/>
      <c r="E938" s="124"/>
      <c r="F938" s="124"/>
      <c r="G938" s="124"/>
      <c r="H938" s="124"/>
      <c r="I938" s="124"/>
    </row>
    <row r="939" ht="15.75" customHeight="1">
      <c r="B939" s="334"/>
      <c r="E939" s="124"/>
      <c r="F939" s="124"/>
      <c r="G939" s="124"/>
      <c r="H939" s="124"/>
      <c r="I939" s="124"/>
    </row>
    <row r="940" ht="15.75" customHeight="1">
      <c r="B940" s="334"/>
      <c r="E940" s="124"/>
      <c r="F940" s="124"/>
      <c r="G940" s="124"/>
      <c r="H940" s="124"/>
      <c r="I940" s="124"/>
    </row>
    <row r="941" ht="15.75" customHeight="1">
      <c r="B941" s="334"/>
      <c r="E941" s="124"/>
      <c r="F941" s="124"/>
      <c r="G941" s="124"/>
      <c r="H941" s="124"/>
      <c r="I941" s="124"/>
    </row>
    <row r="942" ht="15.75" customHeight="1">
      <c r="B942" s="334"/>
      <c r="E942" s="124"/>
      <c r="F942" s="124"/>
      <c r="G942" s="124"/>
      <c r="H942" s="124"/>
      <c r="I942" s="124"/>
    </row>
    <row r="943" ht="15.75" customHeight="1">
      <c r="B943" s="334"/>
      <c r="E943" s="124"/>
      <c r="F943" s="124"/>
      <c r="G943" s="124"/>
      <c r="H943" s="124"/>
      <c r="I943" s="124"/>
    </row>
    <row r="944" ht="15.75" customHeight="1">
      <c r="B944" s="334"/>
      <c r="E944" s="124"/>
      <c r="F944" s="124"/>
      <c r="G944" s="124"/>
      <c r="H944" s="124"/>
      <c r="I944" s="124"/>
    </row>
    <row r="945" ht="15.75" customHeight="1">
      <c r="B945" s="334"/>
      <c r="E945" s="124"/>
      <c r="F945" s="124"/>
      <c r="G945" s="124"/>
      <c r="H945" s="124"/>
      <c r="I945" s="124"/>
    </row>
    <row r="946" ht="15.75" customHeight="1">
      <c r="B946" s="334"/>
      <c r="E946" s="124"/>
      <c r="F946" s="124"/>
      <c r="G946" s="124"/>
      <c r="H946" s="124"/>
      <c r="I946" s="124"/>
    </row>
    <row r="947" ht="15.75" customHeight="1">
      <c r="B947" s="334"/>
      <c r="E947" s="124"/>
      <c r="F947" s="124"/>
      <c r="G947" s="124"/>
      <c r="H947" s="124"/>
      <c r="I947" s="124"/>
    </row>
    <row r="948" ht="15.75" customHeight="1">
      <c r="B948" s="334"/>
      <c r="E948" s="124"/>
      <c r="F948" s="124"/>
      <c r="G948" s="124"/>
      <c r="H948" s="124"/>
      <c r="I948" s="124"/>
    </row>
    <row r="949" ht="15.75" customHeight="1">
      <c r="B949" s="334"/>
      <c r="E949" s="124"/>
      <c r="F949" s="124"/>
      <c r="G949" s="124"/>
      <c r="H949" s="124"/>
      <c r="I949" s="124"/>
    </row>
    <row r="950" ht="15.75" customHeight="1">
      <c r="B950" s="334"/>
      <c r="E950" s="124"/>
      <c r="F950" s="124"/>
      <c r="G950" s="124"/>
      <c r="H950" s="124"/>
      <c r="I950" s="124"/>
    </row>
    <row r="951" ht="15.75" customHeight="1">
      <c r="B951" s="334"/>
      <c r="E951" s="124"/>
      <c r="F951" s="124"/>
      <c r="G951" s="124"/>
      <c r="H951" s="124"/>
      <c r="I951" s="124"/>
    </row>
    <row r="952" ht="15.75" customHeight="1">
      <c r="B952" s="334"/>
      <c r="E952" s="124"/>
      <c r="F952" s="124"/>
      <c r="G952" s="124"/>
      <c r="H952" s="124"/>
      <c r="I952" s="124"/>
    </row>
    <row r="953" ht="15.75" customHeight="1">
      <c r="B953" s="334"/>
      <c r="E953" s="124"/>
      <c r="F953" s="124"/>
      <c r="G953" s="124"/>
      <c r="H953" s="124"/>
      <c r="I953" s="124"/>
    </row>
    <row r="954" ht="15.75" customHeight="1">
      <c r="B954" s="334"/>
      <c r="E954" s="124"/>
      <c r="F954" s="124"/>
      <c r="G954" s="124"/>
      <c r="H954" s="124"/>
      <c r="I954" s="124"/>
    </row>
    <row r="955" ht="15.75" customHeight="1">
      <c r="B955" s="334"/>
      <c r="E955" s="124"/>
      <c r="F955" s="124"/>
      <c r="G955" s="124"/>
      <c r="H955" s="124"/>
      <c r="I955" s="124"/>
    </row>
    <row r="956" ht="15.75" customHeight="1">
      <c r="B956" s="334"/>
      <c r="E956" s="124"/>
      <c r="F956" s="124"/>
      <c r="G956" s="124"/>
      <c r="H956" s="124"/>
      <c r="I956" s="124"/>
    </row>
    <row r="957" ht="15.75" customHeight="1">
      <c r="B957" s="334"/>
      <c r="E957" s="124"/>
      <c r="F957" s="124"/>
      <c r="G957" s="124"/>
      <c r="H957" s="124"/>
      <c r="I957" s="124"/>
    </row>
    <row r="958" ht="15.75" customHeight="1">
      <c r="B958" s="334"/>
      <c r="E958" s="124"/>
      <c r="F958" s="124"/>
      <c r="G958" s="124"/>
      <c r="H958" s="124"/>
      <c r="I958" s="124"/>
    </row>
    <row r="959" ht="15.75" customHeight="1">
      <c r="B959" s="334"/>
      <c r="E959" s="124"/>
      <c r="F959" s="124"/>
      <c r="G959" s="124"/>
      <c r="H959" s="124"/>
      <c r="I959" s="124"/>
    </row>
    <row r="960" ht="15.75" customHeight="1">
      <c r="B960" s="334"/>
      <c r="E960" s="124"/>
      <c r="F960" s="124"/>
      <c r="G960" s="124"/>
      <c r="H960" s="124"/>
      <c r="I960" s="124"/>
    </row>
    <row r="961" ht="15.75" customHeight="1">
      <c r="B961" s="334"/>
      <c r="E961" s="124"/>
      <c r="F961" s="124"/>
      <c r="G961" s="124"/>
      <c r="H961" s="124"/>
      <c r="I961" s="124"/>
    </row>
    <row r="962" ht="15.75" customHeight="1">
      <c r="B962" s="334"/>
      <c r="E962" s="124"/>
      <c r="F962" s="124"/>
      <c r="G962" s="124"/>
      <c r="H962" s="124"/>
      <c r="I962" s="124"/>
    </row>
    <row r="963" ht="15.75" customHeight="1">
      <c r="B963" s="334"/>
      <c r="E963" s="124"/>
      <c r="F963" s="124"/>
      <c r="G963" s="124"/>
      <c r="H963" s="124"/>
      <c r="I963" s="124"/>
    </row>
    <row r="964" ht="15.75" customHeight="1">
      <c r="B964" s="334"/>
      <c r="E964" s="124"/>
      <c r="F964" s="124"/>
      <c r="G964" s="124"/>
      <c r="H964" s="124"/>
      <c r="I964" s="124"/>
    </row>
    <row r="965" ht="15.75" customHeight="1">
      <c r="B965" s="334"/>
      <c r="E965" s="124"/>
      <c r="F965" s="124"/>
      <c r="G965" s="124"/>
      <c r="H965" s="124"/>
      <c r="I965" s="124"/>
    </row>
    <row r="966" ht="15.75" customHeight="1">
      <c r="B966" s="334"/>
      <c r="E966" s="124"/>
      <c r="F966" s="124"/>
      <c r="G966" s="124"/>
      <c r="H966" s="124"/>
      <c r="I966" s="124"/>
    </row>
    <row r="967" ht="15.75" customHeight="1">
      <c r="B967" s="334"/>
      <c r="E967" s="124"/>
      <c r="F967" s="124"/>
      <c r="G967" s="124"/>
      <c r="H967" s="124"/>
      <c r="I967" s="124"/>
    </row>
    <row r="968" ht="15.75" customHeight="1">
      <c r="B968" s="334"/>
      <c r="E968" s="124"/>
      <c r="F968" s="124"/>
      <c r="G968" s="124"/>
      <c r="H968" s="124"/>
      <c r="I968" s="124"/>
    </row>
    <row r="969" ht="15.75" customHeight="1">
      <c r="B969" s="334"/>
      <c r="E969" s="124"/>
      <c r="F969" s="124"/>
      <c r="G969" s="124"/>
      <c r="H969" s="124"/>
      <c r="I969" s="124"/>
    </row>
    <row r="970" ht="15.75" customHeight="1">
      <c r="B970" s="334"/>
      <c r="E970" s="124"/>
      <c r="F970" s="124"/>
      <c r="G970" s="124"/>
      <c r="H970" s="124"/>
      <c r="I970" s="124"/>
    </row>
    <row r="971" ht="15.75" customHeight="1">
      <c r="B971" s="334"/>
      <c r="E971" s="124"/>
      <c r="F971" s="124"/>
      <c r="G971" s="124"/>
      <c r="H971" s="124"/>
      <c r="I971" s="124"/>
    </row>
    <row r="972" ht="15.75" customHeight="1">
      <c r="B972" s="334"/>
      <c r="E972" s="124"/>
      <c r="F972" s="124"/>
      <c r="G972" s="124"/>
      <c r="H972" s="124"/>
      <c r="I972" s="124"/>
    </row>
    <row r="973" ht="15.75" customHeight="1">
      <c r="B973" s="334"/>
      <c r="E973" s="124"/>
      <c r="F973" s="124"/>
      <c r="G973" s="124"/>
      <c r="H973" s="124"/>
      <c r="I973" s="124"/>
    </row>
    <row r="974" ht="15.75" customHeight="1">
      <c r="B974" s="334"/>
      <c r="E974" s="124"/>
      <c r="F974" s="124"/>
      <c r="G974" s="124"/>
      <c r="H974" s="124"/>
      <c r="I974" s="124"/>
    </row>
    <row r="975" ht="15.75" customHeight="1">
      <c r="B975" s="334"/>
      <c r="E975" s="124"/>
      <c r="F975" s="124"/>
      <c r="G975" s="124"/>
      <c r="H975" s="124"/>
      <c r="I975" s="124"/>
    </row>
    <row r="976" ht="15.75" customHeight="1">
      <c r="B976" s="334"/>
      <c r="E976" s="124"/>
      <c r="F976" s="124"/>
      <c r="G976" s="124"/>
      <c r="H976" s="124"/>
      <c r="I976" s="124"/>
    </row>
    <row r="977" ht="15.75" customHeight="1">
      <c r="B977" s="334"/>
      <c r="E977" s="124"/>
      <c r="F977" s="124"/>
      <c r="G977" s="124"/>
      <c r="H977" s="124"/>
      <c r="I977" s="124"/>
    </row>
    <row r="978" ht="15.75" customHeight="1">
      <c r="B978" s="334"/>
      <c r="E978" s="124"/>
      <c r="F978" s="124"/>
      <c r="G978" s="124"/>
      <c r="H978" s="124"/>
      <c r="I978" s="124"/>
    </row>
    <row r="979" ht="15.75" customHeight="1">
      <c r="B979" s="334"/>
      <c r="E979" s="124"/>
      <c r="F979" s="124"/>
      <c r="G979" s="124"/>
      <c r="H979" s="124"/>
      <c r="I979" s="124"/>
    </row>
    <row r="980" ht="15.75" customHeight="1">
      <c r="B980" s="334"/>
      <c r="E980" s="124"/>
      <c r="F980" s="124"/>
      <c r="G980" s="124"/>
      <c r="H980" s="124"/>
      <c r="I980" s="124"/>
    </row>
    <row r="981" ht="15.75" customHeight="1">
      <c r="B981" s="334"/>
      <c r="E981" s="124"/>
      <c r="F981" s="124"/>
      <c r="G981" s="124"/>
      <c r="H981" s="124"/>
      <c r="I981" s="124"/>
    </row>
    <row r="982" ht="15.75" customHeight="1">
      <c r="B982" s="334"/>
      <c r="E982" s="124"/>
      <c r="F982" s="124"/>
      <c r="G982" s="124"/>
      <c r="H982" s="124"/>
      <c r="I982" s="124"/>
    </row>
    <row r="983" ht="15.75" customHeight="1">
      <c r="B983" s="334"/>
      <c r="E983" s="124"/>
      <c r="F983" s="124"/>
      <c r="G983" s="124"/>
      <c r="H983" s="124"/>
      <c r="I983" s="124"/>
    </row>
    <row r="984" ht="15.75" customHeight="1">
      <c r="B984" s="334"/>
      <c r="E984" s="124"/>
      <c r="F984" s="124"/>
      <c r="G984" s="124"/>
      <c r="H984" s="124"/>
      <c r="I984" s="124"/>
    </row>
    <row r="985" ht="15.75" customHeight="1">
      <c r="B985" s="334"/>
      <c r="E985" s="124"/>
      <c r="F985" s="124"/>
      <c r="G985" s="124"/>
      <c r="H985" s="124"/>
      <c r="I985" s="124"/>
    </row>
    <row r="986" ht="15.75" customHeight="1">
      <c r="B986" s="334"/>
      <c r="E986" s="124"/>
      <c r="F986" s="124"/>
      <c r="G986" s="124"/>
      <c r="H986" s="124"/>
      <c r="I986" s="124"/>
    </row>
    <row r="987" ht="15.75" customHeight="1">
      <c r="B987" s="334"/>
      <c r="E987" s="124"/>
      <c r="F987" s="124"/>
      <c r="G987" s="124"/>
      <c r="H987" s="124"/>
      <c r="I987" s="124"/>
    </row>
    <row r="988" ht="15.75" customHeight="1">
      <c r="B988" s="334"/>
      <c r="E988" s="124"/>
      <c r="F988" s="124"/>
      <c r="G988" s="124"/>
      <c r="H988" s="124"/>
      <c r="I988" s="124"/>
    </row>
    <row r="989" ht="15.75" customHeight="1">
      <c r="B989" s="334"/>
      <c r="E989" s="124"/>
      <c r="F989" s="124"/>
      <c r="G989" s="124"/>
      <c r="H989" s="124"/>
      <c r="I989" s="124"/>
    </row>
    <row r="990" ht="15.75" customHeight="1">
      <c r="B990" s="334"/>
      <c r="E990" s="124"/>
      <c r="F990" s="124"/>
      <c r="G990" s="124"/>
      <c r="H990" s="124"/>
      <c r="I990" s="124"/>
    </row>
    <row r="991" ht="15.75" customHeight="1">
      <c r="B991" s="334"/>
      <c r="E991" s="124"/>
      <c r="F991" s="124"/>
      <c r="G991" s="124"/>
      <c r="H991" s="124"/>
      <c r="I991" s="124"/>
    </row>
    <row r="992" ht="15.75" customHeight="1">
      <c r="B992" s="334"/>
      <c r="E992" s="124"/>
      <c r="F992" s="124"/>
      <c r="G992" s="124"/>
      <c r="H992" s="124"/>
      <c r="I992" s="124"/>
    </row>
    <row r="993" ht="15.75" customHeight="1">
      <c r="B993" s="334"/>
      <c r="E993" s="124"/>
      <c r="F993" s="124"/>
      <c r="G993" s="124"/>
      <c r="H993" s="124"/>
      <c r="I993" s="124"/>
    </row>
    <row r="994" ht="15.75" customHeight="1">
      <c r="B994" s="334"/>
      <c r="E994" s="124"/>
      <c r="F994" s="124"/>
      <c r="G994" s="124"/>
      <c r="H994" s="124"/>
      <c r="I994" s="124"/>
    </row>
    <row r="995" ht="15.75" customHeight="1">
      <c r="B995" s="334"/>
      <c r="E995" s="124"/>
      <c r="F995" s="124"/>
      <c r="G995" s="124"/>
      <c r="H995" s="124"/>
      <c r="I995" s="124"/>
    </row>
    <row r="996" ht="15.75" customHeight="1">
      <c r="B996" s="334"/>
      <c r="E996" s="124"/>
      <c r="F996" s="124"/>
      <c r="G996" s="124"/>
      <c r="H996" s="124"/>
      <c r="I996" s="124"/>
    </row>
    <row r="997" ht="15.75" customHeight="1">
      <c r="B997" s="334"/>
      <c r="E997" s="124"/>
      <c r="F997" s="124"/>
      <c r="G997" s="124"/>
      <c r="H997" s="124"/>
      <c r="I997" s="124"/>
    </row>
    <row r="998" ht="15.75" customHeight="1">
      <c r="B998" s="334"/>
      <c r="E998" s="124"/>
      <c r="F998" s="124"/>
      <c r="G998" s="124"/>
      <c r="H998" s="124"/>
      <c r="I998" s="124"/>
    </row>
    <row r="999" ht="15.75" customHeight="1">
      <c r="B999" s="334"/>
      <c r="E999" s="124"/>
      <c r="F999" s="124"/>
      <c r="G999" s="124"/>
      <c r="H999" s="124"/>
      <c r="I999" s="124"/>
    </row>
    <row r="1000" ht="15.75" customHeight="1">
      <c r="B1000" s="334"/>
      <c r="E1000" s="124"/>
      <c r="F1000" s="124"/>
      <c r="G1000" s="124"/>
      <c r="H1000" s="124"/>
      <c r="I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56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1.89"/>
    <col customWidth="1" min="3" max="4" width="9.11"/>
    <col customWidth="1" min="5" max="5" width="16.44"/>
    <col customWidth="1" min="6" max="6" width="11.33"/>
    <col customWidth="1" min="7" max="7" width="10.78"/>
    <col customWidth="1" min="8" max="8" width="15.44"/>
    <col customWidth="1" min="9" max="9" width="13.22"/>
    <col customWidth="1" min="10" max="10" width="14.44"/>
    <col customWidth="1" min="11" max="11" width="17.11"/>
    <col customWidth="1" min="12" max="12" width="13.22"/>
    <col customWidth="1" min="13" max="13" width="17.67"/>
    <col customWidth="1" min="14" max="26" width="8.56"/>
  </cols>
  <sheetData>
    <row r="1" ht="15.75" customHeight="1">
      <c r="A1" s="179" t="s">
        <v>100</v>
      </c>
    </row>
    <row r="2" ht="15.75" customHeight="1">
      <c r="A2" s="180" t="s">
        <v>64</v>
      </c>
      <c r="B2" s="318"/>
      <c r="E2" s="182"/>
      <c r="F2" s="182"/>
      <c r="G2" s="182"/>
      <c r="H2" s="182"/>
      <c r="I2" s="184"/>
      <c r="J2" s="185"/>
      <c r="K2" s="186" t="s">
        <v>65</v>
      </c>
    </row>
    <row r="3" ht="15.75" customHeight="1">
      <c r="A3" s="260" t="s">
        <v>2</v>
      </c>
      <c r="B3" s="319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197" t="s">
        <v>69</v>
      </c>
      <c r="J4" s="198" t="s">
        <v>70</v>
      </c>
      <c r="K4" s="198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'Yakin Pasifik Tuna'!B5</f>
        <v>45137</v>
      </c>
      <c r="C5" s="320">
        <f>SUM('Yakin Pasifik Tuna'!E5:G5)+'Yakin Pasifik Tuna'!K5</f>
        <v>5015</v>
      </c>
      <c r="D5" s="237">
        <f>'Yakin Pasifik Tuna'!V5</f>
        <v>16442.54944</v>
      </c>
      <c r="E5" s="239">
        <f t="shared" ref="E5:E8" si="2">D5*C5</f>
        <v>82459385.45</v>
      </c>
      <c r="F5" s="239"/>
      <c r="G5" s="239"/>
      <c r="H5" s="239"/>
      <c r="I5" s="245">
        <f t="shared" ref="I5:J5" si="1">C5</f>
        <v>5015</v>
      </c>
      <c r="J5" s="247">
        <f t="shared" si="1"/>
        <v>16442.54944</v>
      </c>
      <c r="K5" s="246">
        <f>I5*J5</f>
        <v>82459385.45</v>
      </c>
      <c r="L5" s="183"/>
      <c r="M5" s="207" t="str">
        <f>K6+#REF!</f>
        <v>#REF!</v>
      </c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'Yakin Pasifik Tuna'!B6</f>
        <v>45138</v>
      </c>
      <c r="C6" s="320">
        <f>SUM('Yakin Pasifik Tuna'!E6:G6)+'Yakin Pasifik Tuna'!K6</f>
        <v>9613</v>
      </c>
      <c r="D6" s="237">
        <f>'Yakin Pasifik Tuna'!V6</f>
        <v>16137.87264</v>
      </c>
      <c r="E6" s="239">
        <f t="shared" si="2"/>
        <v>155133369.7</v>
      </c>
      <c r="F6" s="239"/>
      <c r="G6" s="239"/>
      <c r="H6" s="239"/>
      <c r="I6" s="245">
        <f t="shared" ref="I6:I8" si="3">I5+C6</f>
        <v>14628</v>
      </c>
      <c r="J6" s="246">
        <f t="shared" ref="J6:J8" si="4">K6/I6</f>
        <v>16242.32671</v>
      </c>
      <c r="K6" s="246">
        <f t="shared" ref="K6:K8" si="5">K5+E6</f>
        <v>237592755.1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'Yakin Pasifik Tuna'!B7</f>
        <v>45139</v>
      </c>
      <c r="C7" s="320">
        <f>SUM('Yakin Pasifik Tuna'!E7:G7)+'Yakin Pasifik Tuna'!K7</f>
        <v>1784</v>
      </c>
      <c r="D7" s="237">
        <f>'Yakin Pasifik Tuna'!V7</f>
        <v>16444.96644</v>
      </c>
      <c r="E7" s="239">
        <f t="shared" si="2"/>
        <v>29337820.13</v>
      </c>
      <c r="F7" s="239"/>
      <c r="G7" s="239"/>
      <c r="H7" s="239"/>
      <c r="I7" s="245">
        <f t="shared" si="3"/>
        <v>16412</v>
      </c>
      <c r="J7" s="246">
        <f t="shared" si="4"/>
        <v>16264.35384</v>
      </c>
      <c r="K7" s="246">
        <f t="shared" si="5"/>
        <v>266930575.3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'Yakin Pasifik Tuna'!B8</f>
        <v>45149</v>
      </c>
      <c r="C8" s="320">
        <f>SUM('Yakin Pasifik Tuna'!E8:G8)+'Yakin Pasifik Tuna'!K8</f>
        <v>4803</v>
      </c>
      <c r="D8" s="237">
        <f>'Yakin Pasifik Tuna'!V8</f>
        <v>16325.95761</v>
      </c>
      <c r="E8" s="239">
        <f t="shared" si="2"/>
        <v>78413574.4</v>
      </c>
      <c r="F8" s="239"/>
      <c r="G8" s="239"/>
      <c r="H8" s="239"/>
      <c r="I8" s="245">
        <f t="shared" si="3"/>
        <v>21215</v>
      </c>
      <c r="J8" s="246">
        <f t="shared" si="4"/>
        <v>16278.30071</v>
      </c>
      <c r="K8" s="246">
        <f t="shared" si="5"/>
        <v>345344149.7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199">
        <v>5.0</v>
      </c>
      <c r="B9" s="209">
        <v>45154.0</v>
      </c>
      <c r="C9" s="321"/>
      <c r="D9" s="240"/>
      <c r="E9" s="240"/>
      <c r="F9" s="240">
        <v>19059.5</v>
      </c>
      <c r="G9" s="240">
        <f>J8</f>
        <v>16278.30071</v>
      </c>
      <c r="H9" s="240">
        <f>F9*G9</f>
        <v>310256272.5</v>
      </c>
      <c r="I9" s="242">
        <f>I8-F9</f>
        <v>2155.5</v>
      </c>
      <c r="J9" s="243">
        <f>J8</f>
        <v>16278.30071</v>
      </c>
      <c r="K9" s="243">
        <f>K8-H9</f>
        <v>35087877.19</v>
      </c>
      <c r="L9" s="322"/>
      <c r="M9" s="323">
        <v>2.477735E8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199">
        <v>6.0</v>
      </c>
      <c r="B10" s="200">
        <f>'Yakin Pasifik Tuna'!B9</f>
        <v>45165</v>
      </c>
      <c r="C10" s="320">
        <f>SUM('Yakin Pasifik Tuna'!E9:G9)+'Yakin Pasifik Tuna'!K9</f>
        <v>3462</v>
      </c>
      <c r="D10" s="239" t="str">
        <f>[3]Total!O10</f>
        <v>#ERROR!</v>
      </c>
      <c r="E10" s="239" t="str">
        <f t="shared" ref="E10:E11" si="6">D10*C10</f>
        <v>#ERROR!</v>
      </c>
      <c r="F10" s="239"/>
      <c r="G10" s="239"/>
      <c r="H10" s="239"/>
      <c r="I10" s="245">
        <f t="shared" ref="I10:I16" si="7">I9+C10</f>
        <v>5617.5</v>
      </c>
      <c r="J10" s="246" t="str">
        <f t="shared" ref="J10:J45" si="8">K10/I10</f>
        <v>#ERROR!</v>
      </c>
      <c r="K10" s="246" t="str">
        <f t="shared" ref="K10:K16" si="9">K9+E10</f>
        <v>#ERROR!</v>
      </c>
      <c r="L10" s="183"/>
      <c r="M10" s="182" t="str">
        <f>M9+'[3]Persediaan &amp; HPP Cakalang PP'!L8</f>
        <v>#REF!</v>
      </c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200">
        <f>'Yakin Pasifik Tuna'!B10</f>
        <v>45167</v>
      </c>
      <c r="C11" s="320">
        <f>SUM('Yakin Pasifik Tuna'!E10:G10)+'Yakin Pasifik Tuna'!K10</f>
        <v>495</v>
      </c>
      <c r="D11" s="239" t="str">
        <f>[3]Total!O11</f>
        <v>#ERROR!</v>
      </c>
      <c r="E11" s="239" t="str">
        <f t="shared" si="6"/>
        <v>#ERROR!</v>
      </c>
      <c r="F11" s="239"/>
      <c r="G11" s="239"/>
      <c r="H11" s="239"/>
      <c r="I11" s="245">
        <f t="shared" si="7"/>
        <v>6112.5</v>
      </c>
      <c r="J11" s="246" t="str">
        <f t="shared" si="8"/>
        <v>#ERROR!</v>
      </c>
      <c r="K11" s="246" t="str">
        <f t="shared" si="9"/>
        <v>#ERROR!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200">
        <f>'Yakin Pasifik Tuna'!B11</f>
        <v>45169</v>
      </c>
      <c r="C12" s="320">
        <f>SUM('Yakin Pasifik Tuna'!E11:G11)+'Yakin Pasifik Tuna'!K11</f>
        <v>1774</v>
      </c>
      <c r="D12" s="239" t="str">
        <f>[3]Total!O12</f>
        <v>#ERROR!</v>
      </c>
      <c r="E12" s="239" t="str">
        <f t="shared" ref="E12:E16" si="10">C12*D12</f>
        <v>#ERROR!</v>
      </c>
      <c r="F12" s="239"/>
      <c r="G12" s="239"/>
      <c r="H12" s="239"/>
      <c r="I12" s="245">
        <f t="shared" si="7"/>
        <v>7886.5</v>
      </c>
      <c r="J12" s="246" t="str">
        <f t="shared" si="8"/>
        <v>#ERROR!</v>
      </c>
      <c r="K12" s="246" t="str">
        <f t="shared" si="9"/>
        <v>#ERROR!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325">
        <f>'Yakin Pasifik Tuna'!B14</f>
        <v>45170</v>
      </c>
      <c r="C13" s="320">
        <f>SUM('Yakin Pasifik Tuna'!D14:G14)</f>
        <v>6597</v>
      </c>
      <c r="D13" s="237">
        <f>'Yakin Pasifik Tuna'!V14</f>
        <v>16522.8217</v>
      </c>
      <c r="E13" s="239">
        <f t="shared" si="10"/>
        <v>109001054.8</v>
      </c>
      <c r="F13" s="239"/>
      <c r="G13" s="239"/>
      <c r="H13" s="239"/>
      <c r="I13" s="245">
        <f t="shared" si="7"/>
        <v>14483.5</v>
      </c>
      <c r="J13" s="246" t="str">
        <f t="shared" si="8"/>
        <v>#ERROR!</v>
      </c>
      <c r="K13" s="246" t="str">
        <f t="shared" si="9"/>
        <v>#ERROR!</v>
      </c>
    </row>
    <row r="14" ht="15.75" customHeight="1">
      <c r="A14" s="199">
        <v>10.0</v>
      </c>
      <c r="B14" s="325">
        <f>'Yakin Pasifik Tuna'!B15</f>
        <v>45171</v>
      </c>
      <c r="C14" s="320">
        <f>SUM('Yakin Pasifik Tuna'!D15:G15)</f>
        <v>2467</v>
      </c>
      <c r="D14" s="237">
        <f>'Yakin Pasifik Tuna'!V15</f>
        <v>16442.8081</v>
      </c>
      <c r="E14" s="239">
        <f t="shared" si="10"/>
        <v>40564407.59</v>
      </c>
      <c r="F14" s="237"/>
      <c r="G14" s="237"/>
      <c r="H14" s="237"/>
      <c r="I14" s="245">
        <f t="shared" si="7"/>
        <v>16950.5</v>
      </c>
      <c r="J14" s="246" t="str">
        <f t="shared" si="8"/>
        <v>#ERROR!</v>
      </c>
      <c r="K14" s="246" t="str">
        <f t="shared" si="9"/>
        <v>#ERROR!</v>
      </c>
    </row>
    <row r="15" ht="15.75" customHeight="1">
      <c r="A15" s="199">
        <v>11.0</v>
      </c>
      <c r="B15" s="325">
        <f>'Yakin Pasifik Tuna'!B16</f>
        <v>45172</v>
      </c>
      <c r="C15" s="320">
        <f>SUM('Yakin Pasifik Tuna'!D16:G16)</f>
        <v>235</v>
      </c>
      <c r="D15" s="237">
        <f>'Yakin Pasifik Tuna'!V16</f>
        <v>16444.92754</v>
      </c>
      <c r="E15" s="239">
        <f t="shared" si="10"/>
        <v>3864557.971</v>
      </c>
      <c r="F15" s="237"/>
      <c r="G15" s="237"/>
      <c r="H15" s="237"/>
      <c r="I15" s="245">
        <f t="shared" si="7"/>
        <v>17185.5</v>
      </c>
      <c r="J15" s="246" t="str">
        <f t="shared" si="8"/>
        <v>#ERROR!</v>
      </c>
      <c r="K15" s="246" t="str">
        <f t="shared" si="9"/>
        <v>#ERROR!</v>
      </c>
    </row>
    <row r="16" ht="15.75" customHeight="1">
      <c r="A16" s="199">
        <v>12.0</v>
      </c>
      <c r="B16" s="325">
        <f>'Yakin Pasifik Tuna'!B17</f>
        <v>45173</v>
      </c>
      <c r="C16" s="320">
        <f>SUM('Yakin Pasifik Tuna'!D17:G17)</f>
        <v>3751</v>
      </c>
      <c r="D16" s="237">
        <f>'Yakin Pasifik Tuna'!V17</f>
        <v>16500.48663</v>
      </c>
      <c r="E16" s="239">
        <f t="shared" si="10"/>
        <v>61893325.34</v>
      </c>
      <c r="F16" s="237"/>
      <c r="G16" s="237"/>
      <c r="H16" s="237"/>
      <c r="I16" s="245">
        <f t="shared" si="7"/>
        <v>20936.5</v>
      </c>
      <c r="J16" s="246" t="str">
        <f t="shared" si="8"/>
        <v>#ERROR!</v>
      </c>
      <c r="K16" s="246" t="str">
        <f t="shared" si="9"/>
        <v>#ERROR!</v>
      </c>
    </row>
    <row r="17" ht="15.75" customHeight="1">
      <c r="A17" s="199">
        <v>13.0</v>
      </c>
      <c r="B17" s="326">
        <v>45178.0</v>
      </c>
      <c r="C17" s="228"/>
      <c r="D17" s="228"/>
      <c r="E17" s="248"/>
      <c r="F17" s="248">
        <v>16720.0</v>
      </c>
      <c r="G17" s="248" t="str">
        <f t="shared" ref="G17:G18" si="11">J16</f>
        <v>#ERROR!</v>
      </c>
      <c r="H17" s="240" t="str">
        <f t="shared" ref="H17:H18" si="12">F17*G17</f>
        <v>#ERROR!</v>
      </c>
      <c r="I17" s="242">
        <f t="shared" ref="I17:I18" si="13">I16-F17</f>
        <v>4216.5</v>
      </c>
      <c r="J17" s="248" t="str">
        <f t="shared" si="8"/>
        <v>#ERROR!</v>
      </c>
      <c r="K17" s="248" t="str">
        <f t="shared" ref="K17:K18" si="14">K16-H17</f>
        <v>#ERROR!</v>
      </c>
      <c r="L17" s="220" t="str">
        <f>H17+'Persediaan &amp; HPP Ca PP YPT '!H17</f>
        <v>#ERROR!</v>
      </c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ht="15.75" customHeight="1">
      <c r="A18" s="199">
        <v>14.0</v>
      </c>
      <c r="B18" s="326">
        <v>45191.0</v>
      </c>
      <c r="C18" s="228"/>
      <c r="D18" s="228"/>
      <c r="E18" s="248"/>
      <c r="F18" s="248">
        <v>3775.8</v>
      </c>
      <c r="G18" s="248" t="str">
        <f t="shared" si="11"/>
        <v>#ERROR!</v>
      </c>
      <c r="H18" s="240" t="str">
        <f t="shared" si="12"/>
        <v>#ERROR!</v>
      </c>
      <c r="I18" s="242">
        <f t="shared" si="13"/>
        <v>440.7</v>
      </c>
      <c r="J18" s="248" t="str">
        <f t="shared" si="8"/>
        <v>#ERROR!</v>
      </c>
      <c r="K18" s="248" t="str">
        <f t="shared" si="14"/>
        <v>#ERROR!</v>
      </c>
      <c r="L18" s="220" t="str">
        <f>H18+'Persediaan &amp; HPP Ca PP YPT '!H18</f>
        <v>#ERROR!</v>
      </c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199">
        <v>15.0</v>
      </c>
      <c r="B19" s="325">
        <f>'Yakin Pasifik Tuna'!B18</f>
        <v>45195</v>
      </c>
      <c r="C19" s="237">
        <f>SUM('Yakin Pasifik Tuna'!D18:G18)</f>
        <v>818</v>
      </c>
      <c r="D19" s="237">
        <f>'Yakin Pasifik Tuna'!V18</f>
        <v>16442.71357</v>
      </c>
      <c r="E19" s="237">
        <f t="shared" ref="E19:E30" si="15">C19*D19</f>
        <v>13450139.7</v>
      </c>
      <c r="F19" s="237"/>
      <c r="G19" s="237"/>
      <c r="H19" s="237"/>
      <c r="I19" s="335">
        <f t="shared" ref="I19:I30" si="16">I18+C19</f>
        <v>1258.7</v>
      </c>
      <c r="J19" s="237" t="str">
        <f t="shared" si="8"/>
        <v>#ERROR!</v>
      </c>
      <c r="K19" s="237" t="str">
        <f t="shared" ref="K19:K30" si="17">K18+E19</f>
        <v>#ERROR!</v>
      </c>
    </row>
    <row r="20" ht="15.75" customHeight="1">
      <c r="A20" s="199">
        <v>16.0</v>
      </c>
      <c r="B20" s="325">
        <f>'Yakin Pasifik Tuna'!B19</f>
        <v>45197</v>
      </c>
      <c r="C20" s="237">
        <f>SUM('Yakin Pasifik Tuna'!D19:G19)</f>
        <v>1309</v>
      </c>
      <c r="D20" s="237">
        <f>'Yakin Pasifik Tuna'!V19</f>
        <v>16442.11886</v>
      </c>
      <c r="E20" s="237">
        <f t="shared" si="15"/>
        <v>21522733.59</v>
      </c>
      <c r="F20" s="237"/>
      <c r="G20" s="237"/>
      <c r="H20" s="237"/>
      <c r="I20" s="335">
        <f t="shared" si="16"/>
        <v>2567.7</v>
      </c>
      <c r="J20" s="237" t="str">
        <f t="shared" si="8"/>
        <v>#ERROR!</v>
      </c>
      <c r="K20" s="237" t="str">
        <f t="shared" si="17"/>
        <v>#ERROR!</v>
      </c>
    </row>
    <row r="21" ht="15.75" customHeight="1">
      <c r="A21" s="199">
        <v>17.0</v>
      </c>
      <c r="B21" s="325">
        <f>'Yakin Pasifik Tuna'!B20</f>
        <v>45199</v>
      </c>
      <c r="C21" s="237">
        <f>SUM('Yakin Pasifik Tuna'!D20:G20)</f>
        <v>2250</v>
      </c>
      <c r="D21" s="237">
        <f>'Yakin Pasifik Tuna'!V20</f>
        <v>16443.16305</v>
      </c>
      <c r="E21" s="237">
        <f t="shared" si="15"/>
        <v>36997116.86</v>
      </c>
      <c r="F21" s="237"/>
      <c r="G21" s="237"/>
      <c r="H21" s="237"/>
      <c r="I21" s="335">
        <f t="shared" si="16"/>
        <v>4817.7</v>
      </c>
      <c r="J21" s="237" t="str">
        <f t="shared" si="8"/>
        <v>#ERROR!</v>
      </c>
      <c r="K21" s="237" t="str">
        <f t="shared" si="17"/>
        <v>#ERROR!</v>
      </c>
      <c r="L21" s="124" t="str">
        <f>SUM(H17:H18)</f>
        <v>#ERROR!</v>
      </c>
    </row>
    <row r="22" ht="15.75" customHeight="1">
      <c r="A22" s="199">
        <v>18.0</v>
      </c>
      <c r="B22" s="126">
        <v>45200.0</v>
      </c>
      <c r="C22" s="237">
        <f>SUM('Yakin Pasifik Tuna'!D23:G23)</f>
        <v>855</v>
      </c>
      <c r="D22" s="237">
        <f>'Yakin Pasifik Tuna'!V23</f>
        <v>16441.53328</v>
      </c>
      <c r="E22" s="237">
        <f t="shared" si="15"/>
        <v>14057510.95</v>
      </c>
      <c r="F22" s="237"/>
      <c r="G22" s="237"/>
      <c r="H22" s="237"/>
      <c r="I22" s="335">
        <f t="shared" si="16"/>
        <v>5672.7</v>
      </c>
      <c r="J22" s="237" t="str">
        <f t="shared" si="8"/>
        <v>#ERROR!</v>
      </c>
      <c r="K22" s="237" t="str">
        <f t="shared" si="17"/>
        <v>#ERROR!</v>
      </c>
    </row>
    <row r="23" ht="15.75" customHeight="1">
      <c r="A23" s="199">
        <v>19.0</v>
      </c>
      <c r="B23" s="126">
        <v>45202.0</v>
      </c>
      <c r="C23" s="237">
        <f>SUM('Yakin Pasifik Tuna'!D24:G24)</f>
        <v>4470</v>
      </c>
      <c r="D23" s="237">
        <f>'Yakin Pasifik Tuna'!V24</f>
        <v>16442.18972</v>
      </c>
      <c r="E23" s="237">
        <f t="shared" si="15"/>
        <v>73496588.06</v>
      </c>
      <c r="F23" s="237"/>
      <c r="G23" s="237"/>
      <c r="H23" s="237"/>
      <c r="I23" s="335">
        <f t="shared" si="16"/>
        <v>10142.7</v>
      </c>
      <c r="J23" s="237" t="str">
        <f t="shared" si="8"/>
        <v>#ERROR!</v>
      </c>
      <c r="K23" s="237" t="str">
        <f t="shared" si="17"/>
        <v>#ERROR!</v>
      </c>
    </row>
    <row r="24" ht="15.75" customHeight="1">
      <c r="A24" s="199">
        <v>20.0</v>
      </c>
      <c r="B24" s="126">
        <v>45203.0</v>
      </c>
      <c r="C24" s="237">
        <f>SUM('Yakin Pasifik Tuna'!D25:G25)</f>
        <v>2975</v>
      </c>
      <c r="D24" s="237">
        <f>'Yakin Pasifik Tuna'!V25</f>
        <v>16444.45828</v>
      </c>
      <c r="E24" s="237">
        <f t="shared" si="15"/>
        <v>48922263.39</v>
      </c>
      <c r="F24" s="237"/>
      <c r="G24" s="237"/>
      <c r="H24" s="237"/>
      <c r="I24" s="335">
        <f t="shared" si="16"/>
        <v>13117.7</v>
      </c>
      <c r="J24" s="237" t="str">
        <f t="shared" si="8"/>
        <v>#ERROR!</v>
      </c>
      <c r="K24" s="237" t="str">
        <f t="shared" si="17"/>
        <v>#ERROR!</v>
      </c>
    </row>
    <row r="25" ht="15.75" customHeight="1">
      <c r="A25" s="199">
        <v>21.0</v>
      </c>
      <c r="B25" s="126">
        <v>45204.0</v>
      </c>
      <c r="C25" s="237">
        <f>SUM('Yakin Pasifik Tuna'!D26:G26)</f>
        <v>419</v>
      </c>
      <c r="D25" s="237">
        <f>'Yakin Pasifik Tuna'!V26</f>
        <v>16446.66667</v>
      </c>
      <c r="E25" s="237">
        <f t="shared" si="15"/>
        <v>6891153.333</v>
      </c>
      <c r="F25" s="237"/>
      <c r="G25" s="237"/>
      <c r="H25" s="237"/>
      <c r="I25" s="335">
        <f t="shared" si="16"/>
        <v>13536.7</v>
      </c>
      <c r="J25" s="237" t="str">
        <f t="shared" si="8"/>
        <v>#ERROR!</v>
      </c>
      <c r="K25" s="237" t="str">
        <f t="shared" si="17"/>
        <v>#ERROR!</v>
      </c>
    </row>
    <row r="26" ht="15.75" customHeight="1">
      <c r="A26" s="199">
        <v>22.0</v>
      </c>
      <c r="B26" s="126">
        <v>45207.0</v>
      </c>
      <c r="C26" s="237">
        <f>SUM('Yakin Pasifik Tuna'!D27:G27)</f>
        <v>4315</v>
      </c>
      <c r="D26" s="237">
        <f>'Yakin Pasifik Tuna'!V27</f>
        <v>16294.68513</v>
      </c>
      <c r="E26" s="237">
        <f t="shared" si="15"/>
        <v>70311566.36</v>
      </c>
      <c r="F26" s="237"/>
      <c r="G26" s="237"/>
      <c r="H26" s="237"/>
      <c r="I26" s="335">
        <f t="shared" si="16"/>
        <v>17851.7</v>
      </c>
      <c r="J26" s="237" t="str">
        <f t="shared" si="8"/>
        <v>#ERROR!</v>
      </c>
      <c r="K26" s="237" t="str">
        <f t="shared" si="17"/>
        <v>#ERROR!</v>
      </c>
    </row>
    <row r="27" ht="15.75" customHeight="1">
      <c r="A27" s="199">
        <v>23.0</v>
      </c>
      <c r="B27" s="126">
        <v>45208.0</v>
      </c>
      <c r="C27" s="237">
        <f>SUM('Yakin Pasifik Tuna'!D28:G28)</f>
        <v>4502</v>
      </c>
      <c r="D27" s="237">
        <f>'Yakin Pasifik Tuna'!V28</f>
        <v>16285.4025</v>
      </c>
      <c r="E27" s="237">
        <f t="shared" si="15"/>
        <v>73316882.04</v>
      </c>
      <c r="F27" s="237"/>
      <c r="G27" s="237"/>
      <c r="H27" s="237"/>
      <c r="I27" s="335">
        <f t="shared" si="16"/>
        <v>22353.7</v>
      </c>
      <c r="J27" s="237" t="str">
        <f t="shared" si="8"/>
        <v>#ERROR!</v>
      </c>
      <c r="K27" s="237" t="str">
        <f t="shared" si="17"/>
        <v>#ERROR!</v>
      </c>
    </row>
    <row r="28" ht="15.75" customHeight="1">
      <c r="A28" s="199">
        <v>24.0</v>
      </c>
      <c r="B28" s="126">
        <v>45209.0</v>
      </c>
      <c r="C28" s="237">
        <f>SUM('Yakin Pasifik Tuna'!D29:G29)</f>
        <v>5257</v>
      </c>
      <c r="D28" s="237">
        <f>'Yakin Pasifik Tuna'!V29</f>
        <v>16281.14937</v>
      </c>
      <c r="E28" s="237">
        <f t="shared" si="15"/>
        <v>85590002.25</v>
      </c>
      <c r="F28" s="237"/>
      <c r="G28" s="237"/>
      <c r="H28" s="237"/>
      <c r="I28" s="335">
        <f t="shared" si="16"/>
        <v>27610.7</v>
      </c>
      <c r="J28" s="237" t="str">
        <f t="shared" si="8"/>
        <v>#ERROR!</v>
      </c>
      <c r="K28" s="237" t="str">
        <f t="shared" si="17"/>
        <v>#ERROR!</v>
      </c>
    </row>
    <row r="29" ht="15.75" customHeight="1">
      <c r="A29" s="199">
        <v>25.0</v>
      </c>
      <c r="B29" s="126">
        <v>45210.0</v>
      </c>
      <c r="C29" s="237">
        <f>SUM('Yakin Pasifik Tuna'!D30:G30)</f>
        <v>5804</v>
      </c>
      <c r="D29" s="237">
        <f>'Yakin Pasifik Tuna'!V30</f>
        <v>16279.43689</v>
      </c>
      <c r="E29" s="237">
        <f t="shared" si="15"/>
        <v>94485851.73</v>
      </c>
      <c r="F29" s="237"/>
      <c r="G29" s="237"/>
      <c r="H29" s="237"/>
      <c r="I29" s="335">
        <f t="shared" si="16"/>
        <v>33414.7</v>
      </c>
      <c r="J29" s="237" t="str">
        <f t="shared" si="8"/>
        <v>#ERROR!</v>
      </c>
      <c r="K29" s="237" t="str">
        <f t="shared" si="17"/>
        <v>#ERROR!</v>
      </c>
    </row>
    <row r="30" ht="15.75" customHeight="1">
      <c r="A30" s="199">
        <v>26.0</v>
      </c>
      <c r="B30" s="126">
        <v>45211.0</v>
      </c>
      <c r="C30" s="237">
        <f>SUM('Yakin Pasifik Tuna'!D31:G31)</f>
        <v>5390</v>
      </c>
      <c r="D30" s="237">
        <f>'Yakin Pasifik Tuna'!V31</f>
        <v>15780.79796</v>
      </c>
      <c r="E30" s="237">
        <f t="shared" si="15"/>
        <v>85058500.99</v>
      </c>
      <c r="F30" s="237"/>
      <c r="G30" s="237"/>
      <c r="H30" s="237"/>
      <c r="I30" s="335">
        <f t="shared" si="16"/>
        <v>38804.7</v>
      </c>
      <c r="J30" s="237" t="str">
        <f t="shared" si="8"/>
        <v>#ERROR!</v>
      </c>
      <c r="K30" s="237" t="str">
        <f t="shared" si="17"/>
        <v>#ERROR!</v>
      </c>
    </row>
    <row r="31" ht="15.75" customHeight="1">
      <c r="A31" s="199">
        <v>27.0</v>
      </c>
      <c r="B31" s="329">
        <v>45212.0</v>
      </c>
      <c r="C31" s="228"/>
      <c r="D31" s="228"/>
      <c r="E31" s="248"/>
      <c r="F31" s="248">
        <v>9550.0</v>
      </c>
      <c r="G31" s="248" t="str">
        <f>J30</f>
        <v>#ERROR!</v>
      </c>
      <c r="H31" s="248" t="str">
        <f>F31*G31</f>
        <v>#ERROR!</v>
      </c>
      <c r="I31" s="242">
        <f>I30-F31</f>
        <v>29254.7</v>
      </c>
      <c r="J31" s="248" t="str">
        <f t="shared" si="8"/>
        <v>#ERROR!</v>
      </c>
      <c r="K31" s="248" t="str">
        <f>K30-H31</f>
        <v>#ERROR!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ht="15.75" customHeight="1">
      <c r="A32" s="199">
        <v>28.0</v>
      </c>
      <c r="B32" s="143">
        <v>45212.0</v>
      </c>
      <c r="C32" s="237">
        <f>SUM('Yakin Pasifik Tuna'!D32:G32)</f>
        <v>5479</v>
      </c>
      <c r="D32" s="237">
        <f>'Yakin Pasifik Tuna'!V32</f>
        <v>15784.48487</v>
      </c>
      <c r="E32" s="237">
        <f t="shared" ref="E32:E42" si="18">C32*D32</f>
        <v>86483192.63</v>
      </c>
      <c r="F32" s="237"/>
      <c r="G32" s="237"/>
      <c r="H32" s="237"/>
      <c r="I32" s="335">
        <f t="shared" ref="I32:I35" si="19">I31+C32</f>
        <v>34733.7</v>
      </c>
      <c r="J32" s="237" t="str">
        <f t="shared" si="8"/>
        <v>#ERROR!</v>
      </c>
      <c r="K32" s="237" t="str">
        <f t="shared" ref="K32:K35" si="20">K31+E32</f>
        <v>#ERROR!</v>
      </c>
    </row>
    <row r="33" ht="15.75" customHeight="1">
      <c r="A33" s="199">
        <v>29.0</v>
      </c>
      <c r="B33" s="126">
        <v>45213.0</v>
      </c>
      <c r="C33" s="237">
        <f>SUM('Yakin Pasifik Tuna'!D33:G33)</f>
        <v>4007</v>
      </c>
      <c r="D33" s="237">
        <f>'Yakin Pasifik Tuna'!V33</f>
        <v>15780.38985</v>
      </c>
      <c r="E33" s="237">
        <f t="shared" si="18"/>
        <v>63232022.15</v>
      </c>
      <c r="F33" s="237"/>
      <c r="G33" s="237"/>
      <c r="H33" s="237"/>
      <c r="I33" s="335">
        <f t="shared" si="19"/>
        <v>38740.7</v>
      </c>
      <c r="J33" s="237" t="str">
        <f t="shared" si="8"/>
        <v>#ERROR!</v>
      </c>
      <c r="K33" s="237" t="str">
        <f t="shared" si="20"/>
        <v>#ERROR!</v>
      </c>
    </row>
    <row r="34" ht="15.75" customHeight="1">
      <c r="A34" s="199">
        <v>30.0</v>
      </c>
      <c r="B34" s="126">
        <v>45216.0</v>
      </c>
      <c r="C34" s="237">
        <f>SUM('Yakin Pasifik Tuna'!D34:G34)</f>
        <v>2773</v>
      </c>
      <c r="D34" s="237">
        <f>'Yakin Pasifik Tuna'!V34</f>
        <v>15783.38575</v>
      </c>
      <c r="E34" s="237">
        <f t="shared" si="18"/>
        <v>43767328.68</v>
      </c>
      <c r="F34" s="237"/>
      <c r="G34" s="237"/>
      <c r="H34" s="237"/>
      <c r="I34" s="335">
        <f t="shared" si="19"/>
        <v>41513.7</v>
      </c>
      <c r="J34" s="237" t="str">
        <f t="shared" si="8"/>
        <v>#ERROR!</v>
      </c>
      <c r="K34" s="237" t="str">
        <f t="shared" si="20"/>
        <v>#ERROR!</v>
      </c>
    </row>
    <row r="35" ht="15.75" customHeight="1">
      <c r="A35" s="199">
        <v>31.0</v>
      </c>
      <c r="B35" s="126">
        <v>45217.0</v>
      </c>
      <c r="C35" s="237">
        <f>SUM('Yakin Pasifik Tuna'!D35:G35)</f>
        <v>1981</v>
      </c>
      <c r="D35" s="237">
        <f>'Yakin Pasifik Tuna'!V35</f>
        <v>15789.93315</v>
      </c>
      <c r="E35" s="237">
        <f t="shared" si="18"/>
        <v>31279857.57</v>
      </c>
      <c r="F35" s="237"/>
      <c r="G35" s="237"/>
      <c r="H35" s="237"/>
      <c r="I35" s="335">
        <f t="shared" si="19"/>
        <v>43494.7</v>
      </c>
      <c r="J35" s="237" t="str">
        <f t="shared" si="8"/>
        <v>#ERROR!</v>
      </c>
      <c r="K35" s="237" t="str">
        <f t="shared" si="20"/>
        <v>#ERROR!</v>
      </c>
    </row>
    <row r="36" ht="15.75" customHeight="1">
      <c r="A36" s="199">
        <v>32.0</v>
      </c>
      <c r="B36" s="329">
        <v>45219.0</v>
      </c>
      <c r="C36" s="228"/>
      <c r="D36" s="228"/>
      <c r="E36" s="248">
        <f t="shared" si="18"/>
        <v>0</v>
      </c>
      <c r="F36" s="248">
        <v>17430.0</v>
      </c>
      <c r="G36" s="248" t="str">
        <f>J35</f>
        <v>#ERROR!</v>
      </c>
      <c r="H36" s="248" t="str">
        <f t="shared" ref="H36:H38" si="21">F36*G36</f>
        <v>#ERROR!</v>
      </c>
      <c r="I36" s="242">
        <f>I35-F36</f>
        <v>26064.7</v>
      </c>
      <c r="J36" s="248" t="str">
        <f t="shared" si="8"/>
        <v>#ERROR!</v>
      </c>
      <c r="K36" s="248" t="str">
        <f>K35-H36</f>
        <v>#ERROR!</v>
      </c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199">
        <v>33.0</v>
      </c>
      <c r="B37" s="126">
        <v>45220.0</v>
      </c>
      <c r="C37" s="237">
        <f>SUM('Yakin Pasifik Tuna'!D36:G36)</f>
        <v>3258</v>
      </c>
      <c r="D37" s="237">
        <f>'Yakin Pasifik Tuna'!V36</f>
        <v>16290.53207</v>
      </c>
      <c r="E37" s="237">
        <f t="shared" si="18"/>
        <v>53074553.47</v>
      </c>
      <c r="F37" s="237"/>
      <c r="G37" s="237"/>
      <c r="H37" s="330">
        <f t="shared" si="21"/>
        <v>0</v>
      </c>
      <c r="I37" s="335">
        <f>I36+C37</f>
        <v>29322.7</v>
      </c>
      <c r="J37" s="237" t="str">
        <f t="shared" si="8"/>
        <v>#ERROR!</v>
      </c>
      <c r="K37" s="237" t="str">
        <f>K36+E37</f>
        <v>#ERROR!</v>
      </c>
    </row>
    <row r="38" ht="15.75" customHeight="1">
      <c r="A38" s="199">
        <v>34.0</v>
      </c>
      <c r="B38" s="329">
        <v>45221.0</v>
      </c>
      <c r="C38" s="228"/>
      <c r="D38" s="228"/>
      <c r="E38" s="248">
        <f t="shared" si="18"/>
        <v>0</v>
      </c>
      <c r="F38" s="248">
        <v>8800.0</v>
      </c>
      <c r="G38" s="248" t="str">
        <f>J37</f>
        <v>#ERROR!</v>
      </c>
      <c r="H38" s="248" t="str">
        <f t="shared" si="21"/>
        <v>#ERROR!</v>
      </c>
      <c r="I38" s="242">
        <f>I37-F38</f>
        <v>20522.7</v>
      </c>
      <c r="J38" s="331" t="str">
        <f t="shared" si="8"/>
        <v>#ERROR!</v>
      </c>
      <c r="K38" s="248" t="str">
        <f>K37-H38</f>
        <v>#ERROR!</v>
      </c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ht="15.75" customHeight="1">
      <c r="A39" s="199">
        <v>35.0</v>
      </c>
      <c r="B39" s="126">
        <v>45223.0</v>
      </c>
      <c r="C39" s="237">
        <f>SUM('Yakin Pasifik Tuna'!D37:G37)</f>
        <v>9376</v>
      </c>
      <c r="D39" s="237">
        <f>'Yakin Pasifik Tuna'!V37</f>
        <v>16085.48627</v>
      </c>
      <c r="E39" s="237">
        <f t="shared" si="18"/>
        <v>150817519.3</v>
      </c>
      <c r="F39" s="237"/>
      <c r="G39" s="237"/>
      <c r="H39" s="237"/>
      <c r="I39" s="335">
        <f t="shared" ref="I39:I42" si="22">I38+C39</f>
        <v>29898.7</v>
      </c>
      <c r="J39" s="330" t="str">
        <f t="shared" si="8"/>
        <v>#ERROR!</v>
      </c>
      <c r="K39" s="237" t="str">
        <f t="shared" ref="K39:K42" si="23">K38+E39</f>
        <v>#ERROR!</v>
      </c>
    </row>
    <row r="40" ht="15.75" customHeight="1">
      <c r="A40" s="199">
        <v>36.0</v>
      </c>
      <c r="B40" s="126">
        <v>45225.0</v>
      </c>
      <c r="C40" s="237">
        <f>SUM('Yakin Pasifik Tuna'!D38:G38)</f>
        <v>2538</v>
      </c>
      <c r="D40" s="237">
        <f>'Yakin Pasifik Tuna'!V38</f>
        <v>16154.04232</v>
      </c>
      <c r="E40" s="237">
        <f t="shared" si="18"/>
        <v>40998959.41</v>
      </c>
      <c r="F40" s="237"/>
      <c r="G40" s="237"/>
      <c r="H40" s="237"/>
      <c r="I40" s="335">
        <f t="shared" si="22"/>
        <v>32436.7</v>
      </c>
      <c r="J40" s="330" t="str">
        <f t="shared" si="8"/>
        <v>#ERROR!</v>
      </c>
      <c r="K40" s="237" t="str">
        <f t="shared" si="23"/>
        <v>#ERROR!</v>
      </c>
    </row>
    <row r="41" ht="15.75" customHeight="1">
      <c r="A41" s="199">
        <v>37.0</v>
      </c>
      <c r="B41" s="126">
        <v>45227.0</v>
      </c>
      <c r="C41" s="237">
        <f>SUM('Yakin Pasifik Tuna'!D39:G39)</f>
        <v>2567</v>
      </c>
      <c r="D41" s="237">
        <f>'Yakin Pasifik Tuna'!V39</f>
        <v>15994.53787</v>
      </c>
      <c r="E41" s="237">
        <f t="shared" si="18"/>
        <v>41057978.72</v>
      </c>
      <c r="F41" s="237"/>
      <c r="G41" s="237"/>
      <c r="H41" s="237"/>
      <c r="I41" s="335">
        <f t="shared" si="22"/>
        <v>35003.7</v>
      </c>
      <c r="J41" s="330" t="str">
        <f t="shared" si="8"/>
        <v>#ERROR!</v>
      </c>
      <c r="K41" s="237" t="str">
        <f t="shared" si="23"/>
        <v>#ERROR!</v>
      </c>
    </row>
    <row r="42" ht="15.75" customHeight="1">
      <c r="A42" s="199">
        <v>38.0</v>
      </c>
      <c r="B42" s="126">
        <v>45228.0</v>
      </c>
      <c r="C42" s="237">
        <f>SUM('Yakin Pasifik Tuna'!D40:G40)</f>
        <v>5455</v>
      </c>
      <c r="D42" s="237">
        <f>'Yakin Pasifik Tuna'!V40</f>
        <v>15278.68352</v>
      </c>
      <c r="E42" s="237">
        <f t="shared" si="18"/>
        <v>83345218.61</v>
      </c>
      <c r="F42" s="237"/>
      <c r="G42" s="237"/>
      <c r="H42" s="237"/>
      <c r="I42" s="335">
        <f t="shared" si="22"/>
        <v>40458.7</v>
      </c>
      <c r="J42" s="330" t="str">
        <f t="shared" si="8"/>
        <v>#ERROR!</v>
      </c>
      <c r="K42" s="237" t="str">
        <f t="shared" si="23"/>
        <v>#ERROR!</v>
      </c>
    </row>
    <row r="43" ht="15.75" customHeight="1">
      <c r="A43" s="208">
        <v>39.0</v>
      </c>
      <c r="B43" s="332">
        <v>45254.0</v>
      </c>
      <c r="C43" s="228"/>
      <c r="D43" s="228"/>
      <c r="E43" s="248"/>
      <c r="F43" s="248">
        <v>18990.0</v>
      </c>
      <c r="G43" s="248" t="str">
        <f>J42</f>
        <v>#ERROR!</v>
      </c>
      <c r="H43" s="248" t="str">
        <f>F43*G43</f>
        <v>#ERROR!</v>
      </c>
      <c r="I43" s="242">
        <f>I42-F43</f>
        <v>21468.7</v>
      </c>
      <c r="J43" s="248" t="str">
        <f t="shared" si="8"/>
        <v>#ERROR!</v>
      </c>
      <c r="K43" s="248" t="str">
        <f>K42-H43</f>
        <v>#ERROR!</v>
      </c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199">
        <v>40.0</v>
      </c>
      <c r="B44" s="333">
        <f>'Yakin Pasifik Tuna'!B43</f>
        <v>45259</v>
      </c>
      <c r="C44" s="237">
        <f>SUM('Yakin Pasifik Tuna'!D43:G43)</f>
        <v>1214</v>
      </c>
      <c r="D44" s="237">
        <f>'Yakin Pasifik Tuna'!V43</f>
        <v>14788.35115</v>
      </c>
      <c r="E44" s="237">
        <f t="shared" ref="E44:E45" si="24">C44*D44</f>
        <v>17953058.29</v>
      </c>
      <c r="F44" s="237"/>
      <c r="G44" s="237"/>
      <c r="H44" s="237"/>
      <c r="I44" s="335">
        <f t="shared" ref="I44:I45" si="25">I43+C44</f>
        <v>22682.7</v>
      </c>
      <c r="J44" s="237" t="str">
        <f t="shared" si="8"/>
        <v>#ERROR!</v>
      </c>
      <c r="K44" s="237" t="str">
        <f t="shared" ref="K44:K45" si="26">K43+E44</f>
        <v>#ERROR!</v>
      </c>
    </row>
    <row r="45" ht="15.75" customHeight="1">
      <c r="A45" s="199">
        <v>41.0</v>
      </c>
      <c r="B45" s="333">
        <f>'Yakin Pasifik Tuna'!B44</f>
        <v>45260</v>
      </c>
      <c r="C45" s="237">
        <f>SUM('Yakin Pasifik Tuna'!D44:G44)</f>
        <v>1887</v>
      </c>
      <c r="D45" s="237">
        <f>'Yakin Pasifik Tuna'!V44</f>
        <v>15291.77283</v>
      </c>
      <c r="E45" s="237">
        <f t="shared" si="24"/>
        <v>28855575.34</v>
      </c>
      <c r="F45" s="237"/>
      <c r="G45" s="237"/>
      <c r="H45" s="237"/>
      <c r="I45" s="335">
        <f t="shared" si="25"/>
        <v>24569.7</v>
      </c>
      <c r="J45" s="237" t="str">
        <f t="shared" si="8"/>
        <v>#ERROR!</v>
      </c>
      <c r="K45" s="237" t="str">
        <f t="shared" si="26"/>
        <v>#ERROR!</v>
      </c>
    </row>
    <row r="46" ht="15.75" customHeight="1">
      <c r="A46" s="337"/>
      <c r="B46" s="336"/>
      <c r="C46" s="337"/>
      <c r="D46" s="337"/>
      <c r="E46" s="338"/>
      <c r="F46" s="338"/>
      <c r="G46" s="338"/>
      <c r="H46" s="338"/>
      <c r="I46" s="338">
        <f>I45-'Persediaan &amp; HPP DH A-B YPT '!I46</f>
        <v>19063.7</v>
      </c>
      <c r="J46" s="338" t="str">
        <f>J45</f>
        <v>#ERROR!</v>
      </c>
      <c r="K46" s="338" t="str">
        <f>I46*J46</f>
        <v>#ERROR!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ht="15.75" customHeight="1">
      <c r="A47" s="166">
        <v>42.0</v>
      </c>
      <c r="B47" s="333">
        <f>'Yakin Pasifik Tuna'!B49</f>
        <v>45266</v>
      </c>
      <c r="C47" s="237">
        <f>'Yakin Pasifik Tuna'!D49+1643+460</f>
        <v>2460.2</v>
      </c>
      <c r="D47" s="237">
        <f>'Yakin Pasifik Tuna'!V49</f>
        <v>15635.75974</v>
      </c>
      <c r="E47" s="237">
        <f t="shared" ref="E47:E54" si="27">C47*D47</f>
        <v>38467096.12</v>
      </c>
      <c r="F47" s="237"/>
      <c r="G47" s="237"/>
      <c r="H47" s="237"/>
      <c r="I47" s="237">
        <f t="shared" ref="I47:I54" si="28">I46+C47</f>
        <v>21523.9</v>
      </c>
      <c r="J47" s="237" t="str">
        <f t="shared" ref="J47:J54" si="29">K47/I47</f>
        <v>#ERROR!</v>
      </c>
      <c r="K47" s="237" t="str">
        <f t="shared" ref="K47:K54" si="30">K46+E47</f>
        <v>#ERROR!</v>
      </c>
    </row>
    <row r="48" ht="15.75" customHeight="1">
      <c r="A48" s="166">
        <v>43.0</v>
      </c>
      <c r="B48" s="333">
        <f>'Yakin Pasifik Tuna'!B50</f>
        <v>45267</v>
      </c>
      <c r="C48" s="237">
        <f>142+263</f>
        <v>405</v>
      </c>
      <c r="D48" s="237">
        <f>'Yakin Pasifik Tuna'!V50</f>
        <v>14268.48397</v>
      </c>
      <c r="E48" s="237">
        <f t="shared" si="27"/>
        <v>5778736.008</v>
      </c>
      <c r="F48" s="237"/>
      <c r="G48" s="237"/>
      <c r="H48" s="237"/>
      <c r="I48" s="237">
        <f t="shared" si="28"/>
        <v>21928.9</v>
      </c>
      <c r="J48" s="237" t="str">
        <f t="shared" si="29"/>
        <v>#ERROR!</v>
      </c>
      <c r="K48" s="237" t="str">
        <f t="shared" si="30"/>
        <v>#ERROR!</v>
      </c>
    </row>
    <row r="49" ht="15.75" customHeight="1">
      <c r="A49" s="166">
        <v>44.0</v>
      </c>
      <c r="B49" s="333">
        <f>'Yakin Pasifik Tuna'!B51</f>
        <v>45269</v>
      </c>
      <c r="C49" s="237">
        <f>125+145</f>
        <v>270</v>
      </c>
      <c r="D49" s="237">
        <f>'Yakin Pasifik Tuna'!V51</f>
        <v>14853.02707</v>
      </c>
      <c r="E49" s="237">
        <f t="shared" si="27"/>
        <v>4010317.308</v>
      </c>
      <c r="F49" s="237"/>
      <c r="G49" s="237"/>
      <c r="H49" s="237"/>
      <c r="I49" s="237">
        <f t="shared" si="28"/>
        <v>22198.9</v>
      </c>
      <c r="J49" s="237" t="str">
        <f t="shared" si="29"/>
        <v>#ERROR!</v>
      </c>
      <c r="K49" s="237" t="str">
        <f t="shared" si="30"/>
        <v>#ERROR!</v>
      </c>
    </row>
    <row r="50" ht="15.75" customHeight="1">
      <c r="A50" s="166">
        <v>45.0</v>
      </c>
      <c r="B50" s="333">
        <f>'Yakin Pasifik Tuna'!B52</f>
        <v>45270</v>
      </c>
      <c r="C50" s="237">
        <f>1135+2705</f>
        <v>3840</v>
      </c>
      <c r="D50" s="237">
        <f>'Yakin Pasifik Tuna'!V52</f>
        <v>14076.10152</v>
      </c>
      <c r="E50" s="237">
        <f t="shared" si="27"/>
        <v>54052229.82</v>
      </c>
      <c r="F50" s="237"/>
      <c r="G50" s="237"/>
      <c r="H50" s="237"/>
      <c r="I50" s="237">
        <f t="shared" si="28"/>
        <v>26038.9</v>
      </c>
      <c r="J50" s="237" t="str">
        <f t="shared" si="29"/>
        <v>#ERROR!</v>
      </c>
      <c r="K50" s="237" t="str">
        <f t="shared" si="30"/>
        <v>#ERROR!</v>
      </c>
    </row>
    <row r="51" ht="15.75" customHeight="1">
      <c r="A51" s="166">
        <v>46.0</v>
      </c>
      <c r="B51" s="333">
        <f>'Yakin Pasifik Tuna'!B53</f>
        <v>45271</v>
      </c>
      <c r="C51" s="166">
        <f>285+1513</f>
        <v>1798</v>
      </c>
      <c r="D51" s="237">
        <f>'Yakin Pasifik Tuna'!V53</f>
        <v>13641.02725</v>
      </c>
      <c r="E51" s="237">
        <f t="shared" si="27"/>
        <v>24526566.99</v>
      </c>
      <c r="F51" s="237"/>
      <c r="G51" s="237"/>
      <c r="H51" s="237"/>
      <c r="I51" s="237">
        <f t="shared" si="28"/>
        <v>27836.9</v>
      </c>
      <c r="J51" s="237" t="str">
        <f t="shared" si="29"/>
        <v>#ERROR!</v>
      </c>
      <c r="K51" s="237" t="str">
        <f t="shared" si="30"/>
        <v>#ERROR!</v>
      </c>
    </row>
    <row r="52" ht="15.75" customHeight="1">
      <c r="A52" s="166">
        <v>47.0</v>
      </c>
      <c r="B52" s="333">
        <v>45278.0</v>
      </c>
      <c r="C52" s="237">
        <f>SUM('Yakin Pasifik Tuna'!D54:F54)</f>
        <v>1624.2</v>
      </c>
      <c r="D52" s="237">
        <f>'Yakin Pasifik Tuna'!V54</f>
        <v>13141.39192</v>
      </c>
      <c r="E52" s="237">
        <f t="shared" si="27"/>
        <v>21344248.76</v>
      </c>
      <c r="F52" s="237"/>
      <c r="G52" s="237"/>
      <c r="H52" s="237"/>
      <c r="I52" s="237">
        <f t="shared" si="28"/>
        <v>29461.1</v>
      </c>
      <c r="J52" s="237" t="str">
        <f t="shared" si="29"/>
        <v>#ERROR!</v>
      </c>
      <c r="K52" s="237" t="str">
        <f t="shared" si="30"/>
        <v>#ERROR!</v>
      </c>
    </row>
    <row r="53" ht="15.75" customHeight="1">
      <c r="A53" s="166">
        <v>48.0</v>
      </c>
      <c r="B53" s="333">
        <v>45279.0</v>
      </c>
      <c r="C53" s="237">
        <f>SUM('Yakin Pasifik Tuna'!D55:F55)</f>
        <v>1586.1</v>
      </c>
      <c r="D53" s="237">
        <f>'Yakin Pasifik Tuna'!V55</f>
        <v>13607.25601</v>
      </c>
      <c r="E53" s="237">
        <f t="shared" si="27"/>
        <v>21582468.76</v>
      </c>
      <c r="F53" s="237"/>
      <c r="G53" s="237"/>
      <c r="H53" s="237"/>
      <c r="I53" s="237">
        <f t="shared" si="28"/>
        <v>31047.2</v>
      </c>
      <c r="J53" s="237" t="str">
        <f t="shared" si="29"/>
        <v>#ERROR!</v>
      </c>
      <c r="K53" s="237" t="str">
        <f t="shared" si="30"/>
        <v>#ERROR!</v>
      </c>
    </row>
    <row r="54" ht="15.75" customHeight="1">
      <c r="A54" s="166">
        <v>49.0</v>
      </c>
      <c r="B54" s="333">
        <v>45280.0</v>
      </c>
      <c r="C54" s="237">
        <f>SUM('Yakin Pasifik Tuna'!D56:F56)</f>
        <v>0</v>
      </c>
      <c r="D54" s="237">
        <f>'Yakin Pasifik Tuna'!V56</f>
        <v>0</v>
      </c>
      <c r="E54" s="237">
        <f t="shared" si="27"/>
        <v>0</v>
      </c>
      <c r="F54" s="237"/>
      <c r="G54" s="237"/>
      <c r="H54" s="237"/>
      <c r="I54" s="237">
        <f t="shared" si="28"/>
        <v>31047.2</v>
      </c>
      <c r="J54" s="237" t="str">
        <f t="shared" si="29"/>
        <v>#ERROR!</v>
      </c>
      <c r="K54" s="237" t="str">
        <f t="shared" si="30"/>
        <v>#ERROR!</v>
      </c>
    </row>
    <row r="55" ht="15.75" customHeight="1">
      <c r="A55" s="166"/>
      <c r="B55" s="333"/>
      <c r="C55" s="237"/>
      <c r="D55" s="237"/>
      <c r="E55" s="237"/>
      <c r="F55" s="237"/>
      <c r="G55" s="237"/>
      <c r="H55" s="237"/>
      <c r="I55" s="237"/>
      <c r="J55" s="237"/>
      <c r="K55" s="237"/>
    </row>
    <row r="56" ht="15.75" customHeight="1">
      <c r="A56" s="166"/>
      <c r="B56" s="333"/>
      <c r="C56" s="237"/>
      <c r="D56" s="237"/>
      <c r="E56" s="237"/>
      <c r="F56" s="237"/>
      <c r="G56" s="237"/>
      <c r="H56" s="237"/>
      <c r="I56" s="237"/>
      <c r="J56" s="237"/>
      <c r="K56" s="237"/>
    </row>
    <row r="57" ht="15.75" customHeight="1">
      <c r="A57" s="166">
        <v>50.0</v>
      </c>
      <c r="B57" s="333">
        <v>45281.0</v>
      </c>
      <c r="C57" s="237">
        <f>SUM('Yakin Pasifik Tuna'!D57:F57)</f>
        <v>3118</v>
      </c>
      <c r="D57" s="237">
        <f>'Yakin Pasifik Tuna'!V57</f>
        <v>14062.5969</v>
      </c>
      <c r="E57" s="237">
        <f t="shared" ref="E57:E63" si="32">C57*D57</f>
        <v>43847177.13</v>
      </c>
      <c r="F57" s="237"/>
      <c r="G57" s="237"/>
      <c r="H57" s="237"/>
      <c r="I57" s="237">
        <f t="shared" ref="I57:K57" si="31">C57</f>
        <v>3118</v>
      </c>
      <c r="J57" s="237">
        <f t="shared" si="31"/>
        <v>14062.5969</v>
      </c>
      <c r="K57" s="237">
        <f t="shared" si="31"/>
        <v>43847177.13</v>
      </c>
    </row>
    <row r="58" ht="15.75" customHeight="1">
      <c r="A58" s="166">
        <v>51.0</v>
      </c>
      <c r="B58" s="333">
        <v>45282.0</v>
      </c>
      <c r="C58" s="237">
        <f>SUM('Yakin Pasifik Tuna'!D58:F58)</f>
        <v>2877</v>
      </c>
      <c r="D58" s="237">
        <f>'Yakin Pasifik Tuna'!V58</f>
        <v>12550.61507</v>
      </c>
      <c r="E58" s="237">
        <f t="shared" si="32"/>
        <v>36108119.55</v>
      </c>
      <c r="F58" s="237"/>
      <c r="G58" s="237"/>
      <c r="H58" s="237"/>
      <c r="I58" s="237">
        <f t="shared" ref="I58:I63" si="33">I57+C58</f>
        <v>5995</v>
      </c>
      <c r="J58" s="237">
        <f t="shared" ref="J58:J63" si="34">K58/I58</f>
        <v>13336.99694</v>
      </c>
      <c r="K58" s="237">
        <f t="shared" ref="K58:K63" si="35">K57+E58</f>
        <v>79955296.68</v>
      </c>
    </row>
    <row r="59" ht="15.75" customHeight="1">
      <c r="A59" s="166">
        <v>52.0</v>
      </c>
      <c r="B59" s="333">
        <v>45283.0</v>
      </c>
      <c r="C59" s="237">
        <f>SUM('Yakin Pasifik Tuna'!D59:F59)</f>
        <v>0</v>
      </c>
      <c r="D59" s="237">
        <f>'Yakin Pasifik Tuna'!V59</f>
        <v>0</v>
      </c>
      <c r="E59" s="237">
        <f t="shared" si="32"/>
        <v>0</v>
      </c>
      <c r="F59" s="237"/>
      <c r="G59" s="237"/>
      <c r="H59" s="237"/>
      <c r="I59" s="237">
        <f t="shared" si="33"/>
        <v>5995</v>
      </c>
      <c r="J59" s="237">
        <f t="shared" si="34"/>
        <v>13336.99694</v>
      </c>
      <c r="K59" s="237">
        <f t="shared" si="35"/>
        <v>79955296.68</v>
      </c>
    </row>
    <row r="60" ht="15.75" customHeight="1">
      <c r="A60" s="166">
        <v>53.0</v>
      </c>
      <c r="B60" s="333">
        <v>45284.0</v>
      </c>
      <c r="C60" s="237">
        <f>SUM('Yakin Pasifik Tuna'!D60:F60)</f>
        <v>5522</v>
      </c>
      <c r="D60" s="237">
        <f>'Yakin Pasifik Tuna'!V60</f>
        <v>13431.54652</v>
      </c>
      <c r="E60" s="237">
        <f t="shared" si="32"/>
        <v>74168999.91</v>
      </c>
      <c r="F60" s="237"/>
      <c r="G60" s="237"/>
      <c r="H60" s="237"/>
      <c r="I60" s="237">
        <f t="shared" si="33"/>
        <v>11517</v>
      </c>
      <c r="J60" s="237">
        <f t="shared" si="34"/>
        <v>13382.33017</v>
      </c>
      <c r="K60" s="237">
        <f t="shared" si="35"/>
        <v>154124296.6</v>
      </c>
    </row>
    <row r="61" ht="15.75" customHeight="1">
      <c r="A61" s="166">
        <v>54.0</v>
      </c>
      <c r="B61" s="333">
        <v>45295.0</v>
      </c>
      <c r="C61" s="237">
        <f>SUM('Yakin Pasifik Tuna'!D65:F65)</f>
        <v>2921</v>
      </c>
      <c r="D61" s="237">
        <f>'Yakin Pasifik Tuna'!W65</f>
        <v>11278.79623</v>
      </c>
      <c r="E61" s="237">
        <f t="shared" si="32"/>
        <v>32945363.78</v>
      </c>
      <c r="F61" s="237"/>
      <c r="G61" s="237"/>
      <c r="H61" s="237"/>
      <c r="I61" s="237">
        <f t="shared" si="33"/>
        <v>14438</v>
      </c>
      <c r="J61" s="237">
        <f t="shared" si="34"/>
        <v>12956.75719</v>
      </c>
      <c r="K61" s="237">
        <f t="shared" si="35"/>
        <v>187069660.4</v>
      </c>
      <c r="M61" s="151"/>
    </row>
    <row r="62" ht="15.75" customHeight="1">
      <c r="A62" s="166">
        <v>55.0</v>
      </c>
      <c r="B62" s="333">
        <v>45297.0</v>
      </c>
      <c r="C62" s="237">
        <f>SUM('Yakin Pasifik Tuna'!D66:F66)</f>
        <v>7920.2</v>
      </c>
      <c r="D62" s="237">
        <f>'Yakin Pasifik Tuna'!W66</f>
        <v>13842.20627</v>
      </c>
      <c r="E62" s="237">
        <f t="shared" si="32"/>
        <v>109633042.1</v>
      </c>
      <c r="F62" s="237"/>
      <c r="G62" s="237"/>
      <c r="H62" s="237"/>
      <c r="I62" s="237">
        <f t="shared" si="33"/>
        <v>22358.2</v>
      </c>
      <c r="J62" s="237">
        <f t="shared" si="34"/>
        <v>13270.41991</v>
      </c>
      <c r="K62" s="237">
        <f t="shared" si="35"/>
        <v>296702702.4</v>
      </c>
    </row>
    <row r="63" ht="15.75" customHeight="1">
      <c r="A63" s="166">
        <v>56.0</v>
      </c>
      <c r="B63" s="333">
        <v>45298.0</v>
      </c>
      <c r="C63" s="237">
        <f>SUM('Yakin Pasifik Tuna'!D67:F67)</f>
        <v>325.6</v>
      </c>
      <c r="D63" s="237">
        <f>'Yakin Pasifik Tuna'!W67</f>
        <v>14139.34769</v>
      </c>
      <c r="E63" s="237">
        <f t="shared" si="32"/>
        <v>4603771.607</v>
      </c>
      <c r="F63" s="237"/>
      <c r="G63" s="237"/>
      <c r="H63" s="237"/>
      <c r="I63" s="237">
        <f t="shared" si="33"/>
        <v>22683.8</v>
      </c>
      <c r="J63" s="237">
        <f t="shared" si="34"/>
        <v>13282.89237</v>
      </c>
      <c r="K63" s="237">
        <f t="shared" si="35"/>
        <v>301306474</v>
      </c>
    </row>
    <row r="64" ht="15.75" customHeight="1">
      <c r="A64" s="166">
        <v>57.0</v>
      </c>
      <c r="B64" s="333"/>
      <c r="C64" s="166"/>
      <c r="D64" s="166"/>
      <c r="E64" s="237"/>
      <c r="F64" s="237"/>
      <c r="G64" s="237"/>
      <c r="H64" s="237"/>
      <c r="I64" s="237"/>
      <c r="J64" s="341">
        <v>1862.0</v>
      </c>
      <c r="K64" s="166"/>
    </row>
    <row r="65" ht="15.75" customHeight="1">
      <c r="A65" s="166">
        <v>58.0</v>
      </c>
      <c r="B65" s="333"/>
      <c r="C65" s="166"/>
      <c r="D65" s="166"/>
      <c r="E65" s="237"/>
      <c r="F65" s="237"/>
      <c r="G65" s="237"/>
      <c r="H65" s="237"/>
      <c r="I65" s="237"/>
      <c r="J65" s="341"/>
      <c r="K65" s="166"/>
    </row>
    <row r="66" ht="15.75" customHeight="1">
      <c r="A66" s="166"/>
      <c r="B66" s="333"/>
      <c r="C66" s="166"/>
      <c r="D66" s="166"/>
      <c r="E66" s="237"/>
      <c r="F66" s="237"/>
      <c r="G66" s="237"/>
      <c r="H66" s="237"/>
      <c r="I66" s="237"/>
      <c r="J66" s="341"/>
      <c r="K66" s="166"/>
    </row>
    <row r="67" ht="15.75" customHeight="1">
      <c r="A67" s="166"/>
      <c r="B67" s="333"/>
      <c r="C67" s="166"/>
      <c r="D67" s="166"/>
      <c r="E67" s="237"/>
      <c r="F67" s="237"/>
      <c r="G67" s="237"/>
      <c r="H67" s="237"/>
      <c r="I67" s="237"/>
      <c r="J67" s="341"/>
      <c r="K67" s="166"/>
    </row>
    <row r="68" ht="15.75" customHeight="1">
      <c r="A68" s="166"/>
      <c r="B68" s="333"/>
      <c r="C68" s="166"/>
      <c r="D68" s="166"/>
      <c r="E68" s="237"/>
      <c r="F68" s="237"/>
      <c r="G68" s="237"/>
      <c r="H68" s="237"/>
      <c r="I68" s="237"/>
      <c r="J68" s="166"/>
      <c r="K68" s="166"/>
    </row>
    <row r="69" ht="15.75" customHeight="1">
      <c r="B69" s="334"/>
      <c r="E69" s="124"/>
      <c r="F69" s="124"/>
      <c r="G69" s="124"/>
      <c r="H69" s="124"/>
      <c r="I69" s="124"/>
    </row>
    <row r="70" ht="15.75" customHeight="1">
      <c r="B70" s="334"/>
      <c r="E70" s="124"/>
      <c r="F70" s="124"/>
      <c r="G70" s="124"/>
      <c r="H70" s="124"/>
      <c r="I70" s="124"/>
    </row>
    <row r="71" ht="15.75" customHeight="1">
      <c r="B71" s="334"/>
      <c r="E71" s="124"/>
      <c r="F71" s="124"/>
      <c r="G71" s="124"/>
      <c r="H71" s="124"/>
      <c r="I71" s="124"/>
    </row>
    <row r="72" ht="15.75" customHeight="1">
      <c r="B72" s="334"/>
      <c r="E72" s="124"/>
      <c r="F72" s="124"/>
      <c r="G72" s="124"/>
      <c r="H72" s="124"/>
      <c r="I72" s="124"/>
    </row>
    <row r="73" ht="15.75" customHeight="1">
      <c r="B73" s="334"/>
      <c r="E73" s="124"/>
      <c r="F73" s="124"/>
      <c r="G73" s="124"/>
      <c r="H73" s="124"/>
      <c r="I73" s="124"/>
    </row>
    <row r="74" ht="15.75" customHeight="1">
      <c r="B74" s="334"/>
      <c r="E74" s="124"/>
      <c r="F74" s="124"/>
      <c r="G74" s="124"/>
      <c r="H74" s="124"/>
      <c r="I74" s="124"/>
    </row>
    <row r="75" ht="15.75" customHeight="1">
      <c r="B75" s="334"/>
      <c r="E75" s="124"/>
      <c r="F75" s="124"/>
      <c r="G75" s="124"/>
      <c r="H75" s="124"/>
      <c r="I75" s="124"/>
    </row>
    <row r="76" ht="15.75" customHeight="1">
      <c r="B76" s="334"/>
      <c r="E76" s="124"/>
      <c r="F76" s="124"/>
      <c r="G76" s="124"/>
      <c r="H76" s="124"/>
      <c r="I76" s="124"/>
    </row>
    <row r="77" ht="15.75" customHeight="1">
      <c r="B77" s="334"/>
      <c r="E77" s="124"/>
      <c r="F77" s="124"/>
      <c r="G77" s="124"/>
      <c r="H77" s="124"/>
      <c r="I77" s="124"/>
    </row>
    <row r="78" ht="15.75" customHeight="1">
      <c r="B78" s="334"/>
      <c r="E78" s="124"/>
      <c r="F78" s="124"/>
      <c r="G78" s="124"/>
      <c r="H78" s="124"/>
      <c r="I78" s="124"/>
    </row>
    <row r="79" ht="15.75" customHeight="1">
      <c r="B79" s="334"/>
      <c r="E79" s="124"/>
      <c r="F79" s="124"/>
      <c r="G79" s="124"/>
      <c r="H79" s="124"/>
      <c r="I79" s="124"/>
    </row>
    <row r="80" ht="15.75" customHeight="1">
      <c r="B80" s="334"/>
      <c r="E80" s="124"/>
      <c r="F80" s="124"/>
      <c r="G80" s="124"/>
      <c r="H80" s="124"/>
      <c r="I80" s="124"/>
    </row>
    <row r="81" ht="15.75" customHeight="1">
      <c r="B81" s="334"/>
      <c r="E81" s="124"/>
      <c r="F81" s="124"/>
      <c r="G81" s="124"/>
      <c r="H81" s="124"/>
      <c r="I81" s="124"/>
    </row>
    <row r="82" ht="15.75" customHeight="1">
      <c r="B82" s="334"/>
      <c r="E82" s="124"/>
      <c r="F82" s="124"/>
      <c r="G82" s="124"/>
      <c r="H82" s="124"/>
      <c r="I82" s="124"/>
    </row>
    <row r="83" ht="15.75" customHeight="1">
      <c r="B83" s="334"/>
      <c r="E83" s="124"/>
      <c r="F83" s="124"/>
      <c r="G83" s="124"/>
      <c r="H83" s="124"/>
      <c r="I83" s="124"/>
    </row>
    <row r="84" ht="15.75" customHeight="1">
      <c r="B84" s="334"/>
      <c r="E84" s="124"/>
      <c r="F84" s="124"/>
      <c r="G84" s="124"/>
      <c r="H84" s="124"/>
      <c r="I84" s="124"/>
    </row>
    <row r="85" ht="15.75" customHeight="1">
      <c r="B85" s="334"/>
      <c r="E85" s="124"/>
      <c r="F85" s="124"/>
      <c r="G85" s="124"/>
      <c r="H85" s="124"/>
      <c r="I85" s="124"/>
    </row>
    <row r="86" ht="15.75" customHeight="1">
      <c r="B86" s="334"/>
      <c r="E86" s="124"/>
      <c r="F86" s="124"/>
      <c r="G86" s="124"/>
      <c r="H86" s="124"/>
      <c r="I86" s="124"/>
    </row>
    <row r="87" ht="15.75" customHeight="1">
      <c r="B87" s="334"/>
      <c r="E87" s="124"/>
      <c r="F87" s="124"/>
      <c r="G87" s="124"/>
      <c r="H87" s="124"/>
      <c r="I87" s="124"/>
    </row>
    <row r="88" ht="15.75" customHeight="1">
      <c r="B88" s="334"/>
      <c r="E88" s="124"/>
      <c r="F88" s="124"/>
      <c r="G88" s="124"/>
      <c r="H88" s="124"/>
      <c r="I88" s="124"/>
    </row>
    <row r="89" ht="15.75" customHeight="1">
      <c r="B89" s="334"/>
      <c r="E89" s="124"/>
      <c r="F89" s="124"/>
      <c r="G89" s="124"/>
      <c r="H89" s="124"/>
      <c r="I89" s="124"/>
    </row>
    <row r="90" ht="15.75" customHeight="1">
      <c r="B90" s="334"/>
      <c r="E90" s="124"/>
      <c r="F90" s="124"/>
      <c r="G90" s="124"/>
      <c r="H90" s="124"/>
      <c r="I90" s="124"/>
    </row>
    <row r="91" ht="15.75" customHeight="1">
      <c r="B91" s="334"/>
      <c r="E91" s="124"/>
      <c r="F91" s="124"/>
      <c r="G91" s="124"/>
      <c r="H91" s="124"/>
      <c r="I91" s="124"/>
    </row>
    <row r="92" ht="15.75" customHeight="1">
      <c r="B92" s="334"/>
      <c r="E92" s="124"/>
      <c r="F92" s="124"/>
      <c r="G92" s="124"/>
      <c r="H92" s="124"/>
      <c r="I92" s="124"/>
    </row>
    <row r="93" ht="15.75" customHeight="1">
      <c r="B93" s="334"/>
      <c r="E93" s="124"/>
      <c r="F93" s="124"/>
      <c r="G93" s="124"/>
      <c r="H93" s="124"/>
      <c r="I93" s="124"/>
    </row>
    <row r="94" ht="15.75" customHeight="1">
      <c r="B94" s="334"/>
      <c r="E94" s="124"/>
      <c r="F94" s="124"/>
      <c r="G94" s="124"/>
      <c r="H94" s="124"/>
      <c r="I94" s="124"/>
    </row>
    <row r="95" ht="15.75" customHeight="1">
      <c r="B95" s="334"/>
      <c r="E95" s="124"/>
      <c r="F95" s="124"/>
      <c r="G95" s="124"/>
      <c r="H95" s="124"/>
      <c r="I95" s="124"/>
    </row>
    <row r="96" ht="15.75" customHeight="1">
      <c r="B96" s="334"/>
      <c r="E96" s="124"/>
      <c r="F96" s="124"/>
      <c r="G96" s="124"/>
      <c r="H96" s="124"/>
      <c r="I96" s="124"/>
    </row>
    <row r="97" ht="15.75" customHeight="1">
      <c r="B97" s="334"/>
      <c r="E97" s="124"/>
      <c r="F97" s="124"/>
      <c r="G97" s="124"/>
      <c r="H97" s="124"/>
      <c r="I97" s="124"/>
    </row>
    <row r="98" ht="15.75" customHeight="1">
      <c r="B98" s="334"/>
      <c r="E98" s="124"/>
      <c r="F98" s="124"/>
      <c r="G98" s="124"/>
      <c r="H98" s="124"/>
      <c r="I98" s="124"/>
    </row>
    <row r="99" ht="15.75" customHeight="1">
      <c r="B99" s="334"/>
      <c r="E99" s="124"/>
      <c r="F99" s="124"/>
      <c r="G99" s="124"/>
      <c r="H99" s="124"/>
      <c r="I99" s="124"/>
    </row>
    <row r="100" ht="15.75" customHeight="1">
      <c r="B100" s="334"/>
      <c r="E100" s="124"/>
      <c r="F100" s="124"/>
      <c r="G100" s="124"/>
      <c r="H100" s="124"/>
      <c r="I100" s="124"/>
    </row>
    <row r="101" ht="15.75" customHeight="1">
      <c r="B101" s="334"/>
      <c r="E101" s="124"/>
      <c r="F101" s="124"/>
      <c r="G101" s="124"/>
      <c r="H101" s="124"/>
      <c r="I101" s="124"/>
    </row>
    <row r="102" ht="15.75" customHeight="1">
      <c r="B102" s="334"/>
      <c r="E102" s="124"/>
      <c r="F102" s="124"/>
      <c r="G102" s="124"/>
      <c r="H102" s="124"/>
      <c r="I102" s="124"/>
    </row>
    <row r="103" ht="15.75" customHeight="1">
      <c r="B103" s="334"/>
      <c r="E103" s="124"/>
      <c r="F103" s="124"/>
      <c r="G103" s="124"/>
      <c r="H103" s="124"/>
      <c r="I103" s="124"/>
    </row>
    <row r="104" ht="15.75" customHeight="1">
      <c r="B104" s="334"/>
      <c r="E104" s="124"/>
      <c r="F104" s="124"/>
      <c r="G104" s="124"/>
      <c r="H104" s="124"/>
      <c r="I104" s="124"/>
    </row>
    <row r="105" ht="15.75" customHeight="1">
      <c r="B105" s="334"/>
      <c r="E105" s="124"/>
      <c r="F105" s="124"/>
      <c r="G105" s="124"/>
      <c r="H105" s="124"/>
      <c r="I105" s="124"/>
    </row>
    <row r="106" ht="15.75" customHeight="1">
      <c r="B106" s="334"/>
      <c r="E106" s="124"/>
      <c r="F106" s="124"/>
      <c r="G106" s="124"/>
      <c r="H106" s="124"/>
      <c r="I106" s="124"/>
    </row>
    <row r="107" ht="15.75" customHeight="1">
      <c r="B107" s="334"/>
      <c r="E107" s="124"/>
      <c r="F107" s="124"/>
      <c r="G107" s="124"/>
      <c r="H107" s="124"/>
      <c r="I107" s="124"/>
    </row>
    <row r="108" ht="15.75" customHeight="1">
      <c r="B108" s="334"/>
      <c r="E108" s="124"/>
      <c r="F108" s="124"/>
      <c r="G108" s="124"/>
      <c r="H108" s="124"/>
      <c r="I108" s="124"/>
    </row>
    <row r="109" ht="15.75" customHeight="1">
      <c r="B109" s="334"/>
      <c r="E109" s="124"/>
      <c r="F109" s="124"/>
      <c r="G109" s="124"/>
      <c r="H109" s="124"/>
      <c r="I109" s="124"/>
    </row>
    <row r="110" ht="15.75" customHeight="1">
      <c r="B110" s="334"/>
      <c r="E110" s="124"/>
      <c r="F110" s="124"/>
      <c r="G110" s="124"/>
      <c r="H110" s="124"/>
      <c r="I110" s="124"/>
    </row>
    <row r="111" ht="15.75" customHeight="1">
      <c r="B111" s="334"/>
      <c r="E111" s="124"/>
      <c r="F111" s="124"/>
      <c r="G111" s="124"/>
      <c r="H111" s="124"/>
      <c r="I111" s="124"/>
    </row>
    <row r="112" ht="15.75" customHeight="1">
      <c r="B112" s="334"/>
      <c r="E112" s="124"/>
      <c r="F112" s="124"/>
      <c r="G112" s="124"/>
      <c r="H112" s="124"/>
      <c r="I112" s="124"/>
    </row>
    <row r="113" ht="15.75" customHeight="1">
      <c r="B113" s="334"/>
      <c r="E113" s="124"/>
      <c r="F113" s="124"/>
      <c r="G113" s="124"/>
      <c r="H113" s="124"/>
      <c r="I113" s="124"/>
    </row>
    <row r="114" ht="15.75" customHeight="1">
      <c r="B114" s="334"/>
      <c r="E114" s="124"/>
      <c r="F114" s="124"/>
      <c r="G114" s="124"/>
      <c r="H114" s="124"/>
      <c r="I114" s="124"/>
    </row>
    <row r="115" ht="15.75" customHeight="1">
      <c r="B115" s="334"/>
      <c r="E115" s="124"/>
      <c r="F115" s="124"/>
      <c r="G115" s="124"/>
      <c r="H115" s="124"/>
      <c r="I115" s="124"/>
    </row>
    <row r="116" ht="15.75" customHeight="1">
      <c r="B116" s="334"/>
      <c r="E116" s="124"/>
      <c r="F116" s="124"/>
      <c r="G116" s="124"/>
      <c r="H116" s="124"/>
      <c r="I116" s="124"/>
    </row>
    <row r="117" ht="15.75" customHeight="1">
      <c r="B117" s="334"/>
      <c r="E117" s="124"/>
      <c r="F117" s="124"/>
      <c r="G117" s="124"/>
      <c r="H117" s="124"/>
      <c r="I117" s="124"/>
    </row>
    <row r="118" ht="15.75" customHeight="1">
      <c r="B118" s="334"/>
      <c r="E118" s="124"/>
      <c r="F118" s="124"/>
      <c r="G118" s="124"/>
      <c r="H118" s="124"/>
      <c r="I118" s="124"/>
    </row>
    <row r="119" ht="15.75" customHeight="1">
      <c r="B119" s="334"/>
      <c r="E119" s="124"/>
      <c r="F119" s="124"/>
      <c r="G119" s="124"/>
      <c r="H119" s="124"/>
      <c r="I119" s="124"/>
    </row>
    <row r="120" ht="15.75" customHeight="1">
      <c r="B120" s="334"/>
      <c r="E120" s="124"/>
      <c r="F120" s="124"/>
      <c r="G120" s="124"/>
      <c r="H120" s="124"/>
      <c r="I120" s="124"/>
    </row>
    <row r="121" ht="15.75" customHeight="1">
      <c r="B121" s="334"/>
      <c r="E121" s="124"/>
      <c r="F121" s="124"/>
      <c r="G121" s="124"/>
      <c r="H121" s="124"/>
      <c r="I121" s="124"/>
    </row>
    <row r="122" ht="15.75" customHeight="1">
      <c r="B122" s="334"/>
      <c r="E122" s="124"/>
      <c r="F122" s="124"/>
      <c r="G122" s="124"/>
      <c r="H122" s="124"/>
      <c r="I122" s="124"/>
    </row>
    <row r="123" ht="15.75" customHeight="1">
      <c r="B123" s="334"/>
      <c r="E123" s="124"/>
      <c r="F123" s="124"/>
      <c r="G123" s="124"/>
      <c r="H123" s="124"/>
      <c r="I123" s="124"/>
    </row>
    <row r="124" ht="15.75" customHeight="1">
      <c r="B124" s="334"/>
      <c r="E124" s="124"/>
      <c r="F124" s="124"/>
      <c r="G124" s="124"/>
      <c r="H124" s="124"/>
      <c r="I124" s="124"/>
    </row>
    <row r="125" ht="15.75" customHeight="1">
      <c r="B125" s="334"/>
      <c r="E125" s="124"/>
      <c r="F125" s="124"/>
      <c r="G125" s="124"/>
      <c r="H125" s="124"/>
      <c r="I125" s="124"/>
    </row>
    <row r="126" ht="15.75" customHeight="1">
      <c r="B126" s="334"/>
      <c r="E126" s="124"/>
      <c r="F126" s="124"/>
      <c r="G126" s="124"/>
      <c r="H126" s="124"/>
      <c r="I126" s="124"/>
    </row>
    <row r="127" ht="15.75" customHeight="1">
      <c r="B127" s="334"/>
      <c r="E127" s="124"/>
      <c r="F127" s="124"/>
      <c r="G127" s="124"/>
      <c r="H127" s="124"/>
      <c r="I127" s="124"/>
    </row>
    <row r="128" ht="15.75" customHeight="1">
      <c r="B128" s="334"/>
      <c r="E128" s="124"/>
      <c r="F128" s="124"/>
      <c r="G128" s="124"/>
      <c r="H128" s="124"/>
      <c r="I128" s="124"/>
    </row>
    <row r="129" ht="15.75" customHeight="1">
      <c r="B129" s="334"/>
      <c r="E129" s="124"/>
      <c r="F129" s="124"/>
      <c r="G129" s="124"/>
      <c r="H129" s="124"/>
      <c r="I129" s="124"/>
    </row>
    <row r="130" ht="15.75" customHeight="1">
      <c r="B130" s="334"/>
      <c r="E130" s="124"/>
      <c r="F130" s="124"/>
      <c r="G130" s="124"/>
      <c r="H130" s="124"/>
      <c r="I130" s="124"/>
    </row>
    <row r="131" ht="15.75" customHeight="1">
      <c r="B131" s="334"/>
      <c r="E131" s="124"/>
      <c r="F131" s="124"/>
      <c r="G131" s="124"/>
      <c r="H131" s="124"/>
      <c r="I131" s="124"/>
    </row>
    <row r="132" ht="15.75" customHeight="1">
      <c r="B132" s="334"/>
      <c r="E132" s="124"/>
      <c r="F132" s="124"/>
      <c r="G132" s="124"/>
      <c r="H132" s="124"/>
      <c r="I132" s="124"/>
    </row>
    <row r="133" ht="15.75" customHeight="1">
      <c r="B133" s="334"/>
      <c r="E133" s="124"/>
      <c r="F133" s="124"/>
      <c r="G133" s="124"/>
      <c r="H133" s="124"/>
      <c r="I133" s="124"/>
    </row>
    <row r="134" ht="15.75" customHeight="1">
      <c r="B134" s="334"/>
      <c r="E134" s="124"/>
      <c r="F134" s="124"/>
      <c r="G134" s="124"/>
      <c r="H134" s="124"/>
      <c r="I134" s="124"/>
    </row>
    <row r="135" ht="15.75" customHeight="1">
      <c r="B135" s="334"/>
      <c r="E135" s="124"/>
      <c r="F135" s="124"/>
      <c r="G135" s="124"/>
      <c r="H135" s="124"/>
      <c r="I135" s="124"/>
    </row>
    <row r="136" ht="15.75" customHeight="1">
      <c r="B136" s="334"/>
      <c r="E136" s="124"/>
      <c r="F136" s="124"/>
      <c r="G136" s="124"/>
      <c r="H136" s="124"/>
      <c r="I136" s="124"/>
    </row>
    <row r="137" ht="15.75" customHeight="1">
      <c r="B137" s="334"/>
      <c r="E137" s="124"/>
      <c r="F137" s="124"/>
      <c r="G137" s="124"/>
      <c r="H137" s="124"/>
      <c r="I137" s="124"/>
    </row>
    <row r="138" ht="15.75" customHeight="1">
      <c r="B138" s="334"/>
      <c r="E138" s="124"/>
      <c r="F138" s="124"/>
      <c r="G138" s="124"/>
      <c r="H138" s="124"/>
      <c r="I138" s="124"/>
    </row>
    <row r="139" ht="15.75" customHeight="1">
      <c r="B139" s="334"/>
      <c r="E139" s="124"/>
      <c r="F139" s="124"/>
      <c r="G139" s="124"/>
      <c r="H139" s="124"/>
      <c r="I139" s="124"/>
    </row>
    <row r="140" ht="15.75" customHeight="1">
      <c r="B140" s="334"/>
      <c r="E140" s="124"/>
      <c r="F140" s="124"/>
      <c r="G140" s="124"/>
      <c r="H140" s="124"/>
      <c r="I140" s="124"/>
    </row>
    <row r="141" ht="15.75" customHeight="1">
      <c r="B141" s="334"/>
      <c r="E141" s="124"/>
      <c r="F141" s="124"/>
      <c r="G141" s="124"/>
      <c r="H141" s="124"/>
      <c r="I141" s="124"/>
    </row>
    <row r="142" ht="15.75" customHeight="1">
      <c r="B142" s="334"/>
      <c r="E142" s="124"/>
      <c r="F142" s="124"/>
      <c r="G142" s="124"/>
      <c r="H142" s="124"/>
      <c r="I142" s="124"/>
    </row>
    <row r="143" ht="15.75" customHeight="1">
      <c r="B143" s="334"/>
      <c r="E143" s="124"/>
      <c r="F143" s="124"/>
      <c r="G143" s="124"/>
      <c r="H143" s="124"/>
      <c r="I143" s="124"/>
    </row>
    <row r="144" ht="15.75" customHeight="1">
      <c r="B144" s="334"/>
      <c r="E144" s="124"/>
      <c r="F144" s="124"/>
      <c r="G144" s="124"/>
      <c r="H144" s="124"/>
      <c r="I144" s="124"/>
    </row>
    <row r="145" ht="15.75" customHeight="1">
      <c r="B145" s="334"/>
      <c r="E145" s="124"/>
      <c r="F145" s="124"/>
      <c r="G145" s="124"/>
      <c r="H145" s="124"/>
      <c r="I145" s="124"/>
    </row>
    <row r="146" ht="15.75" customHeight="1">
      <c r="B146" s="334"/>
      <c r="E146" s="124"/>
      <c r="F146" s="124"/>
      <c r="G146" s="124"/>
      <c r="H146" s="124"/>
      <c r="I146" s="124"/>
    </row>
    <row r="147" ht="15.75" customHeight="1">
      <c r="B147" s="334"/>
      <c r="E147" s="124"/>
      <c r="F147" s="124"/>
      <c r="G147" s="124"/>
      <c r="H147" s="124"/>
      <c r="I147" s="124"/>
    </row>
    <row r="148" ht="15.75" customHeight="1">
      <c r="B148" s="334"/>
      <c r="E148" s="124"/>
      <c r="F148" s="124"/>
      <c r="G148" s="124"/>
      <c r="H148" s="124"/>
      <c r="I148" s="124"/>
    </row>
    <row r="149" ht="15.75" customHeight="1">
      <c r="B149" s="334"/>
      <c r="E149" s="124"/>
      <c r="F149" s="124"/>
      <c r="G149" s="124"/>
      <c r="H149" s="124"/>
      <c r="I149" s="124"/>
    </row>
    <row r="150" ht="15.75" customHeight="1">
      <c r="B150" s="334"/>
      <c r="E150" s="124"/>
      <c r="F150" s="124"/>
      <c r="G150" s="124"/>
      <c r="H150" s="124"/>
      <c r="I150" s="124"/>
    </row>
    <row r="151" ht="15.75" customHeight="1">
      <c r="B151" s="334"/>
      <c r="E151" s="124"/>
      <c r="F151" s="124"/>
      <c r="G151" s="124"/>
      <c r="H151" s="124"/>
      <c r="I151" s="124"/>
    </row>
    <row r="152" ht="15.75" customHeight="1">
      <c r="B152" s="334"/>
      <c r="E152" s="124"/>
      <c r="F152" s="124"/>
      <c r="G152" s="124"/>
      <c r="H152" s="124"/>
      <c r="I152" s="124"/>
    </row>
    <row r="153" ht="15.75" customHeight="1">
      <c r="B153" s="334"/>
      <c r="E153" s="124"/>
      <c r="F153" s="124"/>
      <c r="G153" s="124"/>
      <c r="H153" s="124"/>
      <c r="I153" s="124"/>
    </row>
    <row r="154" ht="15.75" customHeight="1">
      <c r="B154" s="334"/>
      <c r="E154" s="124"/>
      <c r="F154" s="124"/>
      <c r="G154" s="124"/>
      <c r="H154" s="124"/>
      <c r="I154" s="124"/>
    </row>
    <row r="155" ht="15.75" customHeight="1">
      <c r="B155" s="334"/>
      <c r="E155" s="124"/>
      <c r="F155" s="124"/>
      <c r="G155" s="124"/>
      <c r="H155" s="124"/>
      <c r="I155" s="124"/>
    </row>
    <row r="156" ht="15.75" customHeight="1">
      <c r="B156" s="334"/>
      <c r="E156" s="124"/>
      <c r="F156" s="124"/>
      <c r="G156" s="124"/>
      <c r="H156" s="124"/>
      <c r="I156" s="124"/>
    </row>
    <row r="157" ht="15.75" customHeight="1">
      <c r="B157" s="334"/>
      <c r="E157" s="124"/>
      <c r="F157" s="124"/>
      <c r="G157" s="124"/>
      <c r="H157" s="124"/>
      <c r="I157" s="124"/>
    </row>
    <row r="158" ht="15.75" customHeight="1">
      <c r="B158" s="334"/>
      <c r="E158" s="124"/>
      <c r="F158" s="124"/>
      <c r="G158" s="124"/>
      <c r="H158" s="124"/>
      <c r="I158" s="124"/>
    </row>
    <row r="159" ht="15.75" customHeight="1">
      <c r="B159" s="334"/>
      <c r="E159" s="124"/>
      <c r="F159" s="124"/>
      <c r="G159" s="124"/>
      <c r="H159" s="124"/>
      <c r="I159" s="124"/>
    </row>
    <row r="160" ht="15.75" customHeight="1">
      <c r="B160" s="334"/>
      <c r="E160" s="124"/>
      <c r="F160" s="124"/>
      <c r="G160" s="124"/>
      <c r="H160" s="124"/>
      <c r="I160" s="124"/>
    </row>
    <row r="161" ht="15.75" customHeight="1">
      <c r="B161" s="334"/>
      <c r="E161" s="124"/>
      <c r="F161" s="124"/>
      <c r="G161" s="124"/>
      <c r="H161" s="124"/>
      <c r="I161" s="124"/>
    </row>
    <row r="162" ht="15.75" customHeight="1">
      <c r="B162" s="334"/>
      <c r="E162" s="124"/>
      <c r="F162" s="124"/>
      <c r="G162" s="124"/>
      <c r="H162" s="124"/>
      <c r="I162" s="124"/>
    </row>
    <row r="163" ht="15.75" customHeight="1">
      <c r="B163" s="334"/>
      <c r="E163" s="124"/>
      <c r="F163" s="124"/>
      <c r="G163" s="124"/>
      <c r="H163" s="124"/>
      <c r="I163" s="124"/>
    </row>
    <row r="164" ht="15.75" customHeight="1">
      <c r="B164" s="334"/>
      <c r="E164" s="124"/>
      <c r="F164" s="124"/>
      <c r="G164" s="124"/>
      <c r="H164" s="124"/>
      <c r="I164" s="124"/>
    </row>
    <row r="165" ht="15.75" customHeight="1">
      <c r="B165" s="334"/>
      <c r="E165" s="124"/>
      <c r="F165" s="124"/>
      <c r="G165" s="124"/>
      <c r="H165" s="124"/>
      <c r="I165" s="124"/>
    </row>
    <row r="166" ht="15.75" customHeight="1">
      <c r="B166" s="334"/>
      <c r="E166" s="124"/>
      <c r="F166" s="124"/>
      <c r="G166" s="124"/>
      <c r="H166" s="124"/>
      <c r="I166" s="124"/>
    </row>
    <row r="167" ht="15.75" customHeight="1">
      <c r="B167" s="334"/>
      <c r="E167" s="124"/>
      <c r="F167" s="124"/>
      <c r="G167" s="124"/>
      <c r="H167" s="124"/>
      <c r="I167" s="124"/>
    </row>
    <row r="168" ht="15.75" customHeight="1">
      <c r="B168" s="334"/>
      <c r="E168" s="124"/>
      <c r="F168" s="124"/>
      <c r="G168" s="124"/>
      <c r="H168" s="124"/>
      <c r="I168" s="124"/>
    </row>
    <row r="169" ht="15.75" customHeight="1">
      <c r="B169" s="334"/>
      <c r="E169" s="124"/>
      <c r="F169" s="124"/>
      <c r="G169" s="124"/>
      <c r="H169" s="124"/>
      <c r="I169" s="124"/>
    </row>
    <row r="170" ht="15.75" customHeight="1">
      <c r="B170" s="334"/>
      <c r="E170" s="124"/>
      <c r="F170" s="124"/>
      <c r="G170" s="124"/>
      <c r="H170" s="124"/>
      <c r="I170" s="124"/>
    </row>
    <row r="171" ht="15.75" customHeight="1">
      <c r="B171" s="334"/>
      <c r="E171" s="124"/>
      <c r="F171" s="124"/>
      <c r="G171" s="124"/>
      <c r="H171" s="124"/>
      <c r="I171" s="124"/>
    </row>
    <row r="172" ht="15.75" customHeight="1">
      <c r="B172" s="334"/>
      <c r="E172" s="124"/>
      <c r="F172" s="124"/>
      <c r="G172" s="124"/>
      <c r="H172" s="124"/>
      <c r="I172" s="124"/>
    </row>
    <row r="173" ht="15.75" customHeight="1">
      <c r="B173" s="334"/>
      <c r="E173" s="124"/>
      <c r="F173" s="124"/>
      <c r="G173" s="124"/>
      <c r="H173" s="124"/>
      <c r="I173" s="124"/>
    </row>
    <row r="174" ht="15.75" customHeight="1">
      <c r="B174" s="334"/>
      <c r="E174" s="124"/>
      <c r="F174" s="124"/>
      <c r="G174" s="124"/>
      <c r="H174" s="124"/>
      <c r="I174" s="124"/>
    </row>
    <row r="175" ht="15.75" customHeight="1">
      <c r="B175" s="334"/>
      <c r="E175" s="124"/>
      <c r="F175" s="124"/>
      <c r="G175" s="124"/>
      <c r="H175" s="124"/>
      <c r="I175" s="124"/>
    </row>
    <row r="176" ht="15.75" customHeight="1">
      <c r="B176" s="334"/>
      <c r="E176" s="124"/>
      <c r="F176" s="124"/>
      <c r="G176" s="124"/>
      <c r="H176" s="124"/>
      <c r="I176" s="124"/>
    </row>
    <row r="177" ht="15.75" customHeight="1">
      <c r="B177" s="334"/>
      <c r="E177" s="124"/>
      <c r="F177" s="124"/>
      <c r="G177" s="124"/>
      <c r="H177" s="124"/>
      <c r="I177" s="124"/>
    </row>
    <row r="178" ht="15.75" customHeight="1">
      <c r="B178" s="334"/>
      <c r="E178" s="124"/>
      <c r="F178" s="124"/>
      <c r="G178" s="124"/>
      <c r="H178" s="124"/>
      <c r="I178" s="124"/>
    </row>
    <row r="179" ht="15.75" customHeight="1">
      <c r="B179" s="334"/>
      <c r="E179" s="124"/>
      <c r="F179" s="124"/>
      <c r="G179" s="124"/>
      <c r="H179" s="124"/>
      <c r="I179" s="124"/>
    </row>
    <row r="180" ht="15.75" customHeight="1">
      <c r="B180" s="334"/>
      <c r="E180" s="124"/>
      <c r="F180" s="124"/>
      <c r="G180" s="124"/>
      <c r="H180" s="124"/>
      <c r="I180" s="124"/>
    </row>
    <row r="181" ht="15.75" customHeight="1">
      <c r="B181" s="334"/>
      <c r="E181" s="124"/>
      <c r="F181" s="124"/>
      <c r="G181" s="124"/>
      <c r="H181" s="124"/>
      <c r="I181" s="124"/>
    </row>
    <row r="182" ht="15.75" customHeight="1">
      <c r="B182" s="334"/>
      <c r="E182" s="124"/>
      <c r="F182" s="124"/>
      <c r="G182" s="124"/>
      <c r="H182" s="124"/>
      <c r="I182" s="124"/>
    </row>
    <row r="183" ht="15.75" customHeight="1">
      <c r="B183" s="334"/>
      <c r="E183" s="124"/>
      <c r="F183" s="124"/>
      <c r="G183" s="124"/>
      <c r="H183" s="124"/>
      <c r="I183" s="124"/>
    </row>
    <row r="184" ht="15.75" customHeight="1">
      <c r="B184" s="334"/>
      <c r="E184" s="124"/>
      <c r="F184" s="124"/>
      <c r="G184" s="124"/>
      <c r="H184" s="124"/>
      <c r="I184" s="124"/>
    </row>
    <row r="185" ht="15.75" customHeight="1">
      <c r="B185" s="334"/>
      <c r="E185" s="124"/>
      <c r="F185" s="124"/>
      <c r="G185" s="124"/>
      <c r="H185" s="124"/>
      <c r="I185" s="124"/>
    </row>
    <row r="186" ht="15.75" customHeight="1">
      <c r="B186" s="334"/>
      <c r="E186" s="124"/>
      <c r="F186" s="124"/>
      <c r="G186" s="124"/>
      <c r="H186" s="124"/>
      <c r="I186" s="124"/>
    </row>
    <row r="187" ht="15.75" customHeight="1">
      <c r="B187" s="334"/>
      <c r="E187" s="124"/>
      <c r="F187" s="124"/>
      <c r="G187" s="124"/>
      <c r="H187" s="124"/>
      <c r="I187" s="124"/>
    </row>
    <row r="188" ht="15.75" customHeight="1">
      <c r="B188" s="334"/>
      <c r="E188" s="124"/>
      <c r="F188" s="124"/>
      <c r="G188" s="124"/>
      <c r="H188" s="124"/>
      <c r="I188" s="124"/>
    </row>
    <row r="189" ht="15.75" customHeight="1">
      <c r="B189" s="334"/>
      <c r="E189" s="124"/>
      <c r="F189" s="124"/>
      <c r="G189" s="124"/>
      <c r="H189" s="124"/>
      <c r="I189" s="124"/>
    </row>
    <row r="190" ht="15.75" customHeight="1">
      <c r="B190" s="334"/>
      <c r="E190" s="124"/>
      <c r="F190" s="124"/>
      <c r="G190" s="124"/>
      <c r="H190" s="124"/>
      <c r="I190" s="124"/>
    </row>
    <row r="191" ht="15.75" customHeight="1">
      <c r="B191" s="334"/>
      <c r="E191" s="124"/>
      <c r="F191" s="124"/>
      <c r="G191" s="124"/>
      <c r="H191" s="124"/>
      <c r="I191" s="124"/>
    </row>
    <row r="192" ht="15.75" customHeight="1">
      <c r="B192" s="334"/>
      <c r="E192" s="124"/>
      <c r="F192" s="124"/>
      <c r="G192" s="124"/>
      <c r="H192" s="124"/>
      <c r="I192" s="124"/>
    </row>
    <row r="193" ht="15.75" customHeight="1">
      <c r="B193" s="334"/>
      <c r="E193" s="124"/>
      <c r="F193" s="124"/>
      <c r="G193" s="124"/>
      <c r="H193" s="124"/>
      <c r="I193" s="124"/>
    </row>
    <row r="194" ht="15.75" customHeight="1">
      <c r="B194" s="334"/>
      <c r="E194" s="124"/>
      <c r="F194" s="124"/>
      <c r="G194" s="124"/>
      <c r="H194" s="124"/>
      <c r="I194" s="124"/>
    </row>
    <row r="195" ht="15.75" customHeight="1">
      <c r="B195" s="334"/>
      <c r="E195" s="124"/>
      <c r="F195" s="124"/>
      <c r="G195" s="124"/>
      <c r="H195" s="124"/>
      <c r="I195" s="124"/>
    </row>
    <row r="196" ht="15.75" customHeight="1">
      <c r="B196" s="334"/>
      <c r="E196" s="124"/>
      <c r="F196" s="124"/>
      <c r="G196" s="124"/>
      <c r="H196" s="124"/>
      <c r="I196" s="124"/>
    </row>
    <row r="197" ht="15.75" customHeight="1">
      <c r="B197" s="334"/>
      <c r="E197" s="124"/>
      <c r="F197" s="124"/>
      <c r="G197" s="124"/>
      <c r="H197" s="124"/>
      <c r="I197" s="124"/>
    </row>
    <row r="198" ht="15.75" customHeight="1">
      <c r="B198" s="334"/>
      <c r="E198" s="124"/>
      <c r="F198" s="124"/>
      <c r="G198" s="124"/>
      <c r="H198" s="124"/>
      <c r="I198" s="124"/>
    </row>
    <row r="199" ht="15.75" customHeight="1">
      <c r="B199" s="334"/>
      <c r="E199" s="124"/>
      <c r="F199" s="124"/>
      <c r="G199" s="124"/>
      <c r="H199" s="124"/>
      <c r="I199" s="124"/>
    </row>
    <row r="200" ht="15.75" customHeight="1">
      <c r="B200" s="334"/>
      <c r="E200" s="124"/>
      <c r="F200" s="124"/>
      <c r="G200" s="124"/>
      <c r="H200" s="124"/>
      <c r="I200" s="124"/>
    </row>
    <row r="201" ht="15.75" customHeight="1">
      <c r="B201" s="334"/>
      <c r="E201" s="124"/>
      <c r="F201" s="124"/>
      <c r="G201" s="124"/>
      <c r="H201" s="124"/>
      <c r="I201" s="124"/>
    </row>
    <row r="202" ht="15.75" customHeight="1">
      <c r="B202" s="334"/>
      <c r="E202" s="124"/>
      <c r="F202" s="124"/>
      <c r="G202" s="124"/>
      <c r="H202" s="124"/>
      <c r="I202" s="124"/>
    </row>
    <row r="203" ht="15.75" customHeight="1">
      <c r="B203" s="334"/>
      <c r="E203" s="124"/>
      <c r="F203" s="124"/>
      <c r="G203" s="124"/>
      <c r="H203" s="124"/>
      <c r="I203" s="124"/>
    </row>
    <row r="204" ht="15.75" customHeight="1">
      <c r="B204" s="334"/>
      <c r="E204" s="124"/>
      <c r="F204" s="124"/>
      <c r="G204" s="124"/>
      <c r="H204" s="124"/>
      <c r="I204" s="124"/>
    </row>
    <row r="205" ht="15.75" customHeight="1">
      <c r="B205" s="334"/>
      <c r="E205" s="124"/>
      <c r="F205" s="124"/>
      <c r="G205" s="124"/>
      <c r="H205" s="124"/>
      <c r="I205" s="124"/>
    </row>
    <row r="206" ht="15.75" customHeight="1">
      <c r="B206" s="334"/>
      <c r="E206" s="124"/>
      <c r="F206" s="124"/>
      <c r="G206" s="124"/>
      <c r="H206" s="124"/>
      <c r="I206" s="124"/>
    </row>
    <row r="207" ht="15.75" customHeight="1">
      <c r="B207" s="334"/>
      <c r="E207" s="124"/>
      <c r="F207" s="124"/>
      <c r="G207" s="124"/>
      <c r="H207" s="124"/>
      <c r="I207" s="124"/>
    </row>
    <row r="208" ht="15.75" customHeight="1">
      <c r="B208" s="334"/>
      <c r="E208" s="124"/>
      <c r="F208" s="124"/>
      <c r="G208" s="124"/>
      <c r="H208" s="124"/>
      <c r="I208" s="124"/>
    </row>
    <row r="209" ht="15.75" customHeight="1">
      <c r="B209" s="334"/>
      <c r="E209" s="124"/>
      <c r="F209" s="124"/>
      <c r="G209" s="124"/>
      <c r="H209" s="124"/>
      <c r="I209" s="124"/>
    </row>
    <row r="210" ht="15.75" customHeight="1">
      <c r="B210" s="334"/>
      <c r="E210" s="124"/>
      <c r="F210" s="124"/>
      <c r="G210" s="124"/>
      <c r="H210" s="124"/>
      <c r="I210" s="124"/>
    </row>
    <row r="211" ht="15.75" customHeight="1">
      <c r="B211" s="334"/>
      <c r="E211" s="124"/>
      <c r="F211" s="124"/>
      <c r="G211" s="124"/>
      <c r="H211" s="124"/>
      <c r="I211" s="124"/>
    </row>
    <row r="212" ht="15.75" customHeight="1">
      <c r="B212" s="334"/>
      <c r="E212" s="124"/>
      <c r="F212" s="124"/>
      <c r="G212" s="124"/>
      <c r="H212" s="124"/>
      <c r="I212" s="124"/>
    </row>
    <row r="213" ht="15.75" customHeight="1">
      <c r="B213" s="334"/>
      <c r="E213" s="124"/>
      <c r="F213" s="124"/>
      <c r="G213" s="124"/>
      <c r="H213" s="124"/>
      <c r="I213" s="124"/>
    </row>
    <row r="214" ht="15.75" customHeight="1">
      <c r="B214" s="334"/>
      <c r="E214" s="124"/>
      <c r="F214" s="124"/>
      <c r="G214" s="124"/>
      <c r="H214" s="124"/>
      <c r="I214" s="124"/>
    </row>
    <row r="215" ht="15.75" customHeight="1">
      <c r="B215" s="334"/>
      <c r="E215" s="124"/>
      <c r="F215" s="124"/>
      <c r="G215" s="124"/>
      <c r="H215" s="124"/>
      <c r="I215" s="124"/>
    </row>
    <row r="216" ht="15.75" customHeight="1">
      <c r="B216" s="334"/>
      <c r="E216" s="124"/>
      <c r="F216" s="124"/>
      <c r="G216" s="124"/>
      <c r="H216" s="124"/>
      <c r="I216" s="124"/>
    </row>
    <row r="217" ht="15.75" customHeight="1">
      <c r="B217" s="334"/>
      <c r="E217" s="124"/>
      <c r="F217" s="124"/>
      <c r="G217" s="124"/>
      <c r="H217" s="124"/>
      <c r="I217" s="124"/>
    </row>
    <row r="218" ht="15.75" customHeight="1">
      <c r="B218" s="334"/>
      <c r="E218" s="124"/>
      <c r="F218" s="124"/>
      <c r="G218" s="124"/>
      <c r="H218" s="124"/>
      <c r="I218" s="124"/>
    </row>
    <row r="219" ht="15.75" customHeight="1">
      <c r="B219" s="334"/>
      <c r="E219" s="124"/>
      <c r="F219" s="124"/>
      <c r="G219" s="124"/>
      <c r="H219" s="124"/>
      <c r="I219" s="124"/>
    </row>
    <row r="220" ht="15.75" customHeight="1">
      <c r="B220" s="334"/>
      <c r="E220" s="124"/>
      <c r="F220" s="124"/>
      <c r="G220" s="124"/>
      <c r="H220" s="124"/>
      <c r="I220" s="124"/>
    </row>
    <row r="221" ht="15.75" customHeight="1">
      <c r="B221" s="334"/>
      <c r="E221" s="124"/>
      <c r="F221" s="124"/>
      <c r="G221" s="124"/>
      <c r="H221" s="124"/>
      <c r="I221" s="124"/>
    </row>
    <row r="222" ht="15.75" customHeight="1">
      <c r="B222" s="334"/>
      <c r="E222" s="124"/>
      <c r="F222" s="124"/>
      <c r="G222" s="124"/>
      <c r="H222" s="124"/>
      <c r="I222" s="124"/>
    </row>
    <row r="223" ht="15.75" customHeight="1">
      <c r="B223" s="334"/>
      <c r="E223" s="124"/>
      <c r="F223" s="124"/>
      <c r="G223" s="124"/>
      <c r="H223" s="124"/>
      <c r="I223" s="124"/>
    </row>
    <row r="224" ht="15.75" customHeight="1">
      <c r="B224" s="334"/>
      <c r="E224" s="124"/>
      <c r="F224" s="124"/>
      <c r="G224" s="124"/>
      <c r="H224" s="124"/>
      <c r="I224" s="124"/>
    </row>
    <row r="225" ht="15.75" customHeight="1">
      <c r="B225" s="334"/>
      <c r="E225" s="124"/>
      <c r="F225" s="124"/>
      <c r="G225" s="124"/>
      <c r="H225" s="124"/>
      <c r="I225" s="124"/>
    </row>
    <row r="226" ht="15.75" customHeight="1">
      <c r="B226" s="334"/>
      <c r="E226" s="124"/>
      <c r="F226" s="124"/>
      <c r="G226" s="124"/>
      <c r="H226" s="124"/>
      <c r="I226" s="124"/>
    </row>
    <row r="227" ht="15.75" customHeight="1">
      <c r="B227" s="334"/>
      <c r="E227" s="124"/>
      <c r="F227" s="124"/>
      <c r="G227" s="124"/>
      <c r="H227" s="124"/>
      <c r="I227" s="124"/>
    </row>
    <row r="228" ht="15.75" customHeight="1">
      <c r="B228" s="334"/>
      <c r="E228" s="124"/>
      <c r="F228" s="124"/>
      <c r="G228" s="124"/>
      <c r="H228" s="124"/>
      <c r="I228" s="124"/>
    </row>
    <row r="229" ht="15.75" customHeight="1">
      <c r="B229" s="334"/>
      <c r="E229" s="124"/>
      <c r="F229" s="124"/>
      <c r="G229" s="124"/>
      <c r="H229" s="124"/>
      <c r="I229" s="124"/>
    </row>
    <row r="230" ht="15.75" customHeight="1">
      <c r="B230" s="334"/>
      <c r="E230" s="124"/>
      <c r="F230" s="124"/>
      <c r="G230" s="124"/>
      <c r="H230" s="124"/>
      <c r="I230" s="124"/>
    </row>
    <row r="231" ht="15.75" customHeight="1">
      <c r="B231" s="334"/>
      <c r="E231" s="124"/>
      <c r="F231" s="124"/>
      <c r="G231" s="124"/>
      <c r="H231" s="124"/>
      <c r="I231" s="124"/>
    </row>
    <row r="232" ht="15.75" customHeight="1">
      <c r="B232" s="334"/>
      <c r="E232" s="124"/>
      <c r="F232" s="124"/>
      <c r="G232" s="124"/>
      <c r="H232" s="124"/>
      <c r="I232" s="124"/>
    </row>
    <row r="233" ht="15.75" customHeight="1">
      <c r="B233" s="334"/>
      <c r="E233" s="124"/>
      <c r="F233" s="124"/>
      <c r="G233" s="124"/>
      <c r="H233" s="124"/>
      <c r="I233" s="124"/>
    </row>
    <row r="234" ht="15.75" customHeight="1">
      <c r="B234" s="334"/>
      <c r="E234" s="124"/>
      <c r="F234" s="124"/>
      <c r="G234" s="124"/>
      <c r="H234" s="124"/>
      <c r="I234" s="124"/>
    </row>
    <row r="235" ht="15.75" customHeight="1">
      <c r="B235" s="334"/>
      <c r="E235" s="124"/>
      <c r="F235" s="124"/>
      <c r="G235" s="124"/>
      <c r="H235" s="124"/>
      <c r="I235" s="124"/>
    </row>
    <row r="236" ht="15.75" customHeight="1">
      <c r="B236" s="334"/>
      <c r="E236" s="124"/>
      <c r="F236" s="124"/>
      <c r="G236" s="124"/>
      <c r="H236" s="124"/>
      <c r="I236" s="124"/>
    </row>
    <row r="237" ht="15.75" customHeight="1">
      <c r="B237" s="334"/>
      <c r="E237" s="124"/>
      <c r="F237" s="124"/>
      <c r="G237" s="124"/>
      <c r="H237" s="124"/>
      <c r="I237" s="124"/>
    </row>
    <row r="238" ht="15.75" customHeight="1">
      <c r="B238" s="334"/>
      <c r="E238" s="124"/>
      <c r="F238" s="124"/>
      <c r="G238" s="124"/>
      <c r="H238" s="124"/>
      <c r="I238" s="124"/>
    </row>
    <row r="239" ht="15.75" customHeight="1">
      <c r="B239" s="334"/>
      <c r="E239" s="124"/>
      <c r="F239" s="124"/>
      <c r="G239" s="124"/>
      <c r="H239" s="124"/>
      <c r="I239" s="124"/>
    </row>
    <row r="240" ht="15.75" customHeight="1">
      <c r="B240" s="334"/>
      <c r="E240" s="124"/>
      <c r="F240" s="124"/>
      <c r="G240" s="124"/>
      <c r="H240" s="124"/>
      <c r="I240" s="124"/>
    </row>
    <row r="241" ht="15.75" customHeight="1">
      <c r="B241" s="334"/>
      <c r="E241" s="124"/>
      <c r="F241" s="124"/>
      <c r="G241" s="124"/>
      <c r="H241" s="124"/>
      <c r="I241" s="124"/>
    </row>
    <row r="242" ht="15.75" customHeight="1">
      <c r="B242" s="334"/>
      <c r="E242" s="124"/>
      <c r="F242" s="124"/>
      <c r="G242" s="124"/>
      <c r="H242" s="124"/>
      <c r="I242" s="124"/>
    </row>
    <row r="243" ht="15.75" customHeight="1">
      <c r="B243" s="334"/>
      <c r="E243" s="124"/>
      <c r="F243" s="124"/>
      <c r="G243" s="124"/>
      <c r="H243" s="124"/>
      <c r="I243" s="124"/>
    </row>
    <row r="244" ht="15.75" customHeight="1">
      <c r="B244" s="334"/>
      <c r="E244" s="124"/>
      <c r="F244" s="124"/>
      <c r="G244" s="124"/>
      <c r="H244" s="124"/>
      <c r="I244" s="124"/>
    </row>
    <row r="245" ht="15.75" customHeight="1">
      <c r="B245" s="334"/>
      <c r="E245" s="124"/>
      <c r="F245" s="124"/>
      <c r="G245" s="124"/>
      <c r="H245" s="124"/>
      <c r="I245" s="124"/>
    </row>
    <row r="246" ht="15.75" customHeight="1">
      <c r="B246" s="334"/>
      <c r="E246" s="124"/>
      <c r="F246" s="124"/>
      <c r="G246" s="124"/>
      <c r="H246" s="124"/>
      <c r="I246" s="124"/>
    </row>
    <row r="247" ht="15.75" customHeight="1">
      <c r="B247" s="334"/>
      <c r="E247" s="124"/>
      <c r="F247" s="124"/>
      <c r="G247" s="124"/>
      <c r="H247" s="124"/>
      <c r="I247" s="124"/>
    </row>
    <row r="248" ht="15.75" customHeight="1">
      <c r="B248" s="334"/>
      <c r="E248" s="124"/>
      <c r="F248" s="124"/>
      <c r="G248" s="124"/>
      <c r="H248" s="124"/>
      <c r="I248" s="124"/>
    </row>
    <row r="249" ht="15.75" customHeight="1">
      <c r="B249" s="334"/>
      <c r="E249" s="124"/>
      <c r="F249" s="124"/>
      <c r="G249" s="124"/>
      <c r="H249" s="124"/>
      <c r="I249" s="124"/>
    </row>
    <row r="250" ht="15.75" customHeight="1">
      <c r="B250" s="334"/>
      <c r="E250" s="124"/>
      <c r="F250" s="124"/>
      <c r="G250" s="124"/>
      <c r="H250" s="124"/>
      <c r="I250" s="124"/>
    </row>
    <row r="251" ht="15.75" customHeight="1">
      <c r="B251" s="334"/>
      <c r="E251" s="124"/>
      <c r="F251" s="124"/>
      <c r="G251" s="124"/>
      <c r="H251" s="124"/>
      <c r="I251" s="124"/>
    </row>
    <row r="252" ht="15.75" customHeight="1">
      <c r="B252" s="334"/>
      <c r="E252" s="124"/>
      <c r="F252" s="124"/>
      <c r="G252" s="124"/>
      <c r="H252" s="124"/>
      <c r="I252" s="124"/>
    </row>
    <row r="253" ht="15.75" customHeight="1">
      <c r="B253" s="334"/>
      <c r="E253" s="124"/>
      <c r="F253" s="124"/>
      <c r="G253" s="124"/>
      <c r="H253" s="124"/>
      <c r="I253" s="124"/>
    </row>
    <row r="254" ht="15.75" customHeight="1">
      <c r="B254" s="334"/>
      <c r="E254" s="124"/>
      <c r="F254" s="124"/>
      <c r="G254" s="124"/>
      <c r="H254" s="124"/>
      <c r="I254" s="124"/>
    </row>
    <row r="255" ht="15.75" customHeight="1">
      <c r="B255" s="334"/>
      <c r="E255" s="124"/>
      <c r="F255" s="124"/>
      <c r="G255" s="124"/>
      <c r="H255" s="124"/>
      <c r="I255" s="124"/>
    </row>
    <row r="256" ht="15.75" customHeight="1">
      <c r="B256" s="334"/>
      <c r="E256" s="124"/>
      <c r="F256" s="124"/>
      <c r="G256" s="124"/>
      <c r="H256" s="124"/>
      <c r="I256" s="124"/>
    </row>
    <row r="257" ht="15.75" customHeight="1">
      <c r="B257" s="334"/>
      <c r="E257" s="124"/>
      <c r="F257" s="124"/>
      <c r="G257" s="124"/>
      <c r="H257" s="124"/>
      <c r="I257" s="124"/>
    </row>
    <row r="258" ht="15.75" customHeight="1">
      <c r="B258" s="334"/>
      <c r="E258" s="124"/>
      <c r="F258" s="124"/>
      <c r="G258" s="124"/>
      <c r="H258" s="124"/>
      <c r="I258" s="124"/>
    </row>
    <row r="259" ht="15.75" customHeight="1">
      <c r="B259" s="334"/>
      <c r="E259" s="124"/>
      <c r="F259" s="124"/>
      <c r="G259" s="124"/>
      <c r="H259" s="124"/>
      <c r="I259" s="124"/>
    </row>
    <row r="260" ht="15.75" customHeight="1">
      <c r="B260" s="334"/>
      <c r="E260" s="124"/>
      <c r="F260" s="124"/>
      <c r="G260" s="124"/>
      <c r="H260" s="124"/>
      <c r="I260" s="124"/>
    </row>
    <row r="261" ht="15.75" customHeight="1">
      <c r="B261" s="334"/>
      <c r="E261" s="124"/>
      <c r="F261" s="124"/>
      <c r="G261" s="124"/>
      <c r="H261" s="124"/>
      <c r="I261" s="124"/>
    </row>
    <row r="262" ht="15.75" customHeight="1">
      <c r="B262" s="334"/>
      <c r="E262" s="124"/>
      <c r="F262" s="124"/>
      <c r="G262" s="124"/>
      <c r="H262" s="124"/>
      <c r="I262" s="124"/>
    </row>
    <row r="263" ht="15.75" customHeight="1">
      <c r="B263" s="334"/>
      <c r="E263" s="124"/>
      <c r="F263" s="124"/>
      <c r="G263" s="124"/>
      <c r="H263" s="124"/>
      <c r="I263" s="124"/>
    </row>
    <row r="264" ht="15.75" customHeight="1">
      <c r="B264" s="334"/>
      <c r="E264" s="124"/>
      <c r="F264" s="124"/>
      <c r="G264" s="124"/>
      <c r="H264" s="124"/>
      <c r="I264" s="124"/>
    </row>
    <row r="265" ht="15.75" customHeight="1">
      <c r="B265" s="334"/>
      <c r="E265" s="124"/>
      <c r="F265" s="124"/>
      <c r="G265" s="124"/>
      <c r="H265" s="124"/>
      <c r="I265" s="124"/>
    </row>
    <row r="266" ht="15.75" customHeight="1">
      <c r="B266" s="334"/>
      <c r="E266" s="124"/>
      <c r="F266" s="124"/>
      <c r="G266" s="124"/>
      <c r="H266" s="124"/>
      <c r="I266" s="124"/>
    </row>
    <row r="267" ht="15.75" customHeight="1">
      <c r="B267" s="334"/>
      <c r="E267" s="124"/>
      <c r="F267" s="124"/>
      <c r="G267" s="124"/>
      <c r="H267" s="124"/>
      <c r="I267" s="124"/>
    </row>
    <row r="268" ht="15.75" customHeight="1">
      <c r="B268" s="334"/>
      <c r="E268" s="124"/>
      <c r="F268" s="124"/>
      <c r="G268" s="124"/>
      <c r="H268" s="124"/>
      <c r="I268" s="124"/>
    </row>
    <row r="269" ht="15.75" customHeight="1">
      <c r="B269" s="334"/>
      <c r="E269" s="124"/>
      <c r="F269" s="124"/>
      <c r="G269" s="124"/>
      <c r="H269" s="124"/>
      <c r="I269" s="124"/>
    </row>
    <row r="270" ht="15.75" customHeight="1">
      <c r="B270" s="334"/>
      <c r="E270" s="124"/>
      <c r="F270" s="124"/>
      <c r="G270" s="124"/>
      <c r="H270" s="124"/>
      <c r="I270" s="124"/>
    </row>
    <row r="271" ht="15.75" customHeight="1">
      <c r="B271" s="334"/>
      <c r="E271" s="124"/>
      <c r="F271" s="124"/>
      <c r="G271" s="124"/>
      <c r="H271" s="124"/>
      <c r="I271" s="124"/>
    </row>
    <row r="272" ht="15.75" customHeight="1">
      <c r="B272" s="334"/>
      <c r="E272" s="124"/>
      <c r="F272" s="124"/>
      <c r="G272" s="124"/>
      <c r="H272" s="124"/>
      <c r="I272" s="124"/>
    </row>
    <row r="273" ht="15.75" customHeight="1">
      <c r="B273" s="334"/>
      <c r="E273" s="124"/>
      <c r="F273" s="124"/>
      <c r="G273" s="124"/>
      <c r="H273" s="124"/>
      <c r="I273" s="124"/>
    </row>
    <row r="274" ht="15.75" customHeight="1">
      <c r="B274" s="334"/>
      <c r="E274" s="124"/>
      <c r="F274" s="124"/>
      <c r="G274" s="124"/>
      <c r="H274" s="124"/>
      <c r="I274" s="124"/>
    </row>
    <row r="275" ht="15.75" customHeight="1">
      <c r="B275" s="334"/>
      <c r="E275" s="124"/>
      <c r="F275" s="124"/>
      <c r="G275" s="124"/>
      <c r="H275" s="124"/>
      <c r="I275" s="124"/>
    </row>
    <row r="276" ht="15.75" customHeight="1">
      <c r="B276" s="334"/>
      <c r="E276" s="124"/>
      <c r="F276" s="124"/>
      <c r="G276" s="124"/>
      <c r="H276" s="124"/>
      <c r="I276" s="124"/>
    </row>
    <row r="277" ht="15.75" customHeight="1">
      <c r="B277" s="334"/>
      <c r="E277" s="124"/>
      <c r="F277" s="124"/>
      <c r="G277" s="124"/>
      <c r="H277" s="124"/>
      <c r="I277" s="124"/>
    </row>
    <row r="278" ht="15.75" customHeight="1">
      <c r="B278" s="334"/>
      <c r="E278" s="124"/>
      <c r="F278" s="124"/>
      <c r="G278" s="124"/>
      <c r="H278" s="124"/>
      <c r="I278" s="124"/>
    </row>
    <row r="279" ht="15.75" customHeight="1">
      <c r="B279" s="334"/>
      <c r="E279" s="124"/>
      <c r="F279" s="124"/>
      <c r="G279" s="124"/>
      <c r="H279" s="124"/>
      <c r="I279" s="124"/>
    </row>
    <row r="280" ht="15.75" customHeight="1">
      <c r="B280" s="334"/>
      <c r="E280" s="124"/>
      <c r="F280" s="124"/>
      <c r="G280" s="124"/>
      <c r="H280" s="124"/>
      <c r="I280" s="124"/>
    </row>
    <row r="281" ht="15.75" customHeight="1">
      <c r="B281" s="334"/>
      <c r="E281" s="124"/>
      <c r="F281" s="124"/>
      <c r="G281" s="124"/>
      <c r="H281" s="124"/>
      <c r="I281" s="124"/>
    </row>
    <row r="282" ht="15.75" customHeight="1">
      <c r="B282" s="334"/>
      <c r="E282" s="124"/>
      <c r="F282" s="124"/>
      <c r="G282" s="124"/>
      <c r="H282" s="124"/>
      <c r="I282" s="124"/>
    </row>
    <row r="283" ht="15.75" customHeight="1">
      <c r="B283" s="334"/>
      <c r="E283" s="124"/>
      <c r="F283" s="124"/>
      <c r="G283" s="124"/>
      <c r="H283" s="124"/>
      <c r="I283" s="124"/>
    </row>
    <row r="284" ht="15.75" customHeight="1">
      <c r="B284" s="334"/>
      <c r="E284" s="124"/>
      <c r="F284" s="124"/>
      <c r="G284" s="124"/>
      <c r="H284" s="124"/>
      <c r="I284" s="124"/>
    </row>
    <row r="285" ht="15.75" customHeight="1">
      <c r="B285" s="334"/>
      <c r="E285" s="124"/>
      <c r="F285" s="124"/>
      <c r="G285" s="124"/>
      <c r="H285" s="124"/>
      <c r="I285" s="124"/>
    </row>
    <row r="286" ht="15.75" customHeight="1">
      <c r="B286" s="334"/>
      <c r="E286" s="124"/>
      <c r="F286" s="124"/>
      <c r="G286" s="124"/>
      <c r="H286" s="124"/>
      <c r="I286" s="124"/>
    </row>
    <row r="287" ht="15.75" customHeight="1">
      <c r="B287" s="334"/>
      <c r="E287" s="124"/>
      <c r="F287" s="124"/>
      <c r="G287" s="124"/>
      <c r="H287" s="124"/>
      <c r="I287" s="124"/>
    </row>
    <row r="288" ht="15.75" customHeight="1">
      <c r="B288" s="334"/>
      <c r="E288" s="124"/>
      <c r="F288" s="124"/>
      <c r="G288" s="124"/>
      <c r="H288" s="124"/>
      <c r="I288" s="124"/>
    </row>
    <row r="289" ht="15.75" customHeight="1">
      <c r="B289" s="334"/>
      <c r="E289" s="124"/>
      <c r="F289" s="124"/>
      <c r="G289" s="124"/>
      <c r="H289" s="124"/>
      <c r="I289" s="124"/>
    </row>
    <row r="290" ht="15.75" customHeight="1">
      <c r="B290" s="334"/>
      <c r="E290" s="124"/>
      <c r="F290" s="124"/>
      <c r="G290" s="124"/>
      <c r="H290" s="124"/>
      <c r="I290" s="124"/>
    </row>
    <row r="291" ht="15.75" customHeight="1">
      <c r="B291" s="334"/>
      <c r="E291" s="124"/>
      <c r="F291" s="124"/>
      <c r="G291" s="124"/>
      <c r="H291" s="124"/>
      <c r="I291" s="124"/>
    </row>
    <row r="292" ht="15.75" customHeight="1">
      <c r="B292" s="334"/>
      <c r="E292" s="124"/>
      <c r="F292" s="124"/>
      <c r="G292" s="124"/>
      <c r="H292" s="124"/>
      <c r="I292" s="124"/>
    </row>
    <row r="293" ht="15.75" customHeight="1">
      <c r="B293" s="334"/>
      <c r="E293" s="124"/>
      <c r="F293" s="124"/>
      <c r="G293" s="124"/>
      <c r="H293" s="124"/>
      <c r="I293" s="124"/>
    </row>
    <row r="294" ht="15.75" customHeight="1">
      <c r="B294" s="334"/>
      <c r="E294" s="124"/>
      <c r="F294" s="124"/>
      <c r="G294" s="124"/>
      <c r="H294" s="124"/>
      <c r="I294" s="124"/>
    </row>
    <row r="295" ht="15.75" customHeight="1">
      <c r="B295" s="334"/>
      <c r="E295" s="124"/>
      <c r="F295" s="124"/>
      <c r="G295" s="124"/>
      <c r="H295" s="124"/>
      <c r="I295" s="124"/>
    </row>
    <row r="296" ht="15.75" customHeight="1">
      <c r="B296" s="334"/>
      <c r="E296" s="124"/>
      <c r="F296" s="124"/>
      <c r="G296" s="124"/>
      <c r="H296" s="124"/>
      <c r="I296" s="124"/>
    </row>
    <row r="297" ht="15.75" customHeight="1">
      <c r="B297" s="334"/>
      <c r="E297" s="124"/>
      <c r="F297" s="124"/>
      <c r="G297" s="124"/>
      <c r="H297" s="124"/>
      <c r="I297" s="124"/>
    </row>
    <row r="298" ht="15.75" customHeight="1">
      <c r="B298" s="334"/>
      <c r="E298" s="124"/>
      <c r="F298" s="124"/>
      <c r="G298" s="124"/>
      <c r="H298" s="124"/>
      <c r="I298" s="124"/>
    </row>
    <row r="299" ht="15.75" customHeight="1">
      <c r="B299" s="334"/>
      <c r="E299" s="124"/>
      <c r="F299" s="124"/>
      <c r="G299" s="124"/>
      <c r="H299" s="124"/>
      <c r="I299" s="124"/>
    </row>
    <row r="300" ht="15.75" customHeight="1">
      <c r="B300" s="334"/>
      <c r="E300" s="124"/>
      <c r="F300" s="124"/>
      <c r="G300" s="124"/>
      <c r="H300" s="124"/>
      <c r="I300" s="124"/>
    </row>
    <row r="301" ht="15.75" customHeight="1">
      <c r="B301" s="334"/>
      <c r="E301" s="124"/>
      <c r="F301" s="124"/>
      <c r="G301" s="124"/>
      <c r="H301" s="124"/>
      <c r="I301" s="124"/>
    </row>
    <row r="302" ht="15.75" customHeight="1">
      <c r="B302" s="334"/>
      <c r="E302" s="124"/>
      <c r="F302" s="124"/>
      <c r="G302" s="124"/>
      <c r="H302" s="124"/>
      <c r="I302" s="124"/>
    </row>
    <row r="303" ht="15.75" customHeight="1">
      <c r="B303" s="334"/>
      <c r="E303" s="124"/>
      <c r="F303" s="124"/>
      <c r="G303" s="124"/>
      <c r="H303" s="124"/>
      <c r="I303" s="124"/>
    </row>
    <row r="304" ht="15.75" customHeight="1">
      <c r="B304" s="334"/>
      <c r="E304" s="124"/>
      <c r="F304" s="124"/>
      <c r="G304" s="124"/>
      <c r="H304" s="124"/>
      <c r="I304" s="124"/>
    </row>
    <row r="305" ht="15.75" customHeight="1">
      <c r="B305" s="334"/>
      <c r="E305" s="124"/>
      <c r="F305" s="124"/>
      <c r="G305" s="124"/>
      <c r="H305" s="124"/>
      <c r="I305" s="124"/>
    </row>
    <row r="306" ht="15.75" customHeight="1">
      <c r="B306" s="334"/>
      <c r="E306" s="124"/>
      <c r="F306" s="124"/>
      <c r="G306" s="124"/>
      <c r="H306" s="124"/>
      <c r="I306" s="124"/>
    </row>
    <row r="307" ht="15.75" customHeight="1">
      <c r="B307" s="334"/>
      <c r="E307" s="124"/>
      <c r="F307" s="124"/>
      <c r="G307" s="124"/>
      <c r="H307" s="124"/>
      <c r="I307" s="124"/>
    </row>
    <row r="308" ht="15.75" customHeight="1">
      <c r="B308" s="334"/>
      <c r="E308" s="124"/>
      <c r="F308" s="124"/>
      <c r="G308" s="124"/>
      <c r="H308" s="124"/>
      <c r="I308" s="124"/>
    </row>
    <row r="309" ht="15.75" customHeight="1">
      <c r="B309" s="334"/>
      <c r="E309" s="124"/>
      <c r="F309" s="124"/>
      <c r="G309" s="124"/>
      <c r="H309" s="124"/>
      <c r="I309" s="124"/>
    </row>
    <row r="310" ht="15.75" customHeight="1">
      <c r="B310" s="334"/>
      <c r="E310" s="124"/>
      <c r="F310" s="124"/>
      <c r="G310" s="124"/>
      <c r="H310" s="124"/>
      <c r="I310" s="124"/>
    </row>
    <row r="311" ht="15.75" customHeight="1">
      <c r="B311" s="334"/>
      <c r="E311" s="124"/>
      <c r="F311" s="124"/>
      <c r="G311" s="124"/>
      <c r="H311" s="124"/>
      <c r="I311" s="124"/>
    </row>
    <row r="312" ht="15.75" customHeight="1">
      <c r="B312" s="334"/>
      <c r="E312" s="124"/>
      <c r="F312" s="124"/>
      <c r="G312" s="124"/>
      <c r="H312" s="124"/>
      <c r="I312" s="124"/>
    </row>
    <row r="313" ht="15.75" customHeight="1">
      <c r="B313" s="334"/>
      <c r="E313" s="124"/>
      <c r="F313" s="124"/>
      <c r="G313" s="124"/>
      <c r="H313" s="124"/>
      <c r="I313" s="124"/>
    </row>
    <row r="314" ht="15.75" customHeight="1">
      <c r="B314" s="334"/>
      <c r="E314" s="124"/>
      <c r="F314" s="124"/>
      <c r="G314" s="124"/>
      <c r="H314" s="124"/>
      <c r="I314" s="124"/>
    </row>
    <row r="315" ht="15.75" customHeight="1">
      <c r="B315" s="334"/>
      <c r="E315" s="124"/>
      <c r="F315" s="124"/>
      <c r="G315" s="124"/>
      <c r="H315" s="124"/>
      <c r="I315" s="124"/>
    </row>
    <row r="316" ht="15.75" customHeight="1">
      <c r="B316" s="334"/>
      <c r="E316" s="124"/>
      <c r="F316" s="124"/>
      <c r="G316" s="124"/>
      <c r="H316" s="124"/>
      <c r="I316" s="124"/>
    </row>
    <row r="317" ht="15.75" customHeight="1">
      <c r="B317" s="334"/>
      <c r="E317" s="124"/>
      <c r="F317" s="124"/>
      <c r="G317" s="124"/>
      <c r="H317" s="124"/>
      <c r="I317" s="124"/>
    </row>
    <row r="318" ht="15.75" customHeight="1">
      <c r="B318" s="334"/>
      <c r="E318" s="124"/>
      <c r="F318" s="124"/>
      <c r="G318" s="124"/>
      <c r="H318" s="124"/>
      <c r="I318" s="124"/>
    </row>
    <row r="319" ht="15.75" customHeight="1">
      <c r="B319" s="334"/>
      <c r="E319" s="124"/>
      <c r="F319" s="124"/>
      <c r="G319" s="124"/>
      <c r="H319" s="124"/>
      <c r="I319" s="124"/>
    </row>
    <row r="320" ht="15.75" customHeight="1">
      <c r="B320" s="334"/>
      <c r="E320" s="124"/>
      <c r="F320" s="124"/>
      <c r="G320" s="124"/>
      <c r="H320" s="124"/>
      <c r="I320" s="124"/>
    </row>
    <row r="321" ht="15.75" customHeight="1">
      <c r="B321" s="334"/>
      <c r="E321" s="124"/>
      <c r="F321" s="124"/>
      <c r="G321" s="124"/>
      <c r="H321" s="124"/>
      <c r="I321" s="124"/>
    </row>
    <row r="322" ht="15.75" customHeight="1">
      <c r="B322" s="334"/>
      <c r="E322" s="124"/>
      <c r="F322" s="124"/>
      <c r="G322" s="124"/>
      <c r="H322" s="124"/>
      <c r="I322" s="124"/>
    </row>
    <row r="323" ht="15.75" customHeight="1">
      <c r="B323" s="334"/>
      <c r="E323" s="124"/>
      <c r="F323" s="124"/>
      <c r="G323" s="124"/>
      <c r="H323" s="124"/>
      <c r="I323" s="124"/>
    </row>
    <row r="324" ht="15.75" customHeight="1">
      <c r="B324" s="334"/>
      <c r="E324" s="124"/>
      <c r="F324" s="124"/>
      <c r="G324" s="124"/>
      <c r="H324" s="124"/>
      <c r="I324" s="124"/>
    </row>
    <row r="325" ht="15.75" customHeight="1">
      <c r="B325" s="334"/>
      <c r="E325" s="124"/>
      <c r="F325" s="124"/>
      <c r="G325" s="124"/>
      <c r="H325" s="124"/>
      <c r="I325" s="124"/>
    </row>
    <row r="326" ht="15.75" customHeight="1">
      <c r="B326" s="334"/>
      <c r="E326" s="124"/>
      <c r="F326" s="124"/>
      <c r="G326" s="124"/>
      <c r="H326" s="124"/>
      <c r="I326" s="124"/>
    </row>
    <row r="327" ht="15.75" customHeight="1">
      <c r="B327" s="334"/>
      <c r="E327" s="124"/>
      <c r="F327" s="124"/>
      <c r="G327" s="124"/>
      <c r="H327" s="124"/>
      <c r="I327" s="124"/>
    </row>
    <row r="328" ht="15.75" customHeight="1">
      <c r="B328" s="334"/>
      <c r="E328" s="124"/>
      <c r="F328" s="124"/>
      <c r="G328" s="124"/>
      <c r="H328" s="124"/>
      <c r="I328" s="124"/>
    </row>
    <row r="329" ht="15.75" customHeight="1">
      <c r="B329" s="334"/>
      <c r="E329" s="124"/>
      <c r="F329" s="124"/>
      <c r="G329" s="124"/>
      <c r="H329" s="124"/>
      <c r="I329" s="124"/>
    </row>
    <row r="330" ht="15.75" customHeight="1">
      <c r="B330" s="334"/>
      <c r="E330" s="124"/>
      <c r="F330" s="124"/>
      <c r="G330" s="124"/>
      <c r="H330" s="124"/>
      <c r="I330" s="124"/>
    </row>
    <row r="331" ht="15.75" customHeight="1">
      <c r="B331" s="334"/>
      <c r="E331" s="124"/>
      <c r="F331" s="124"/>
      <c r="G331" s="124"/>
      <c r="H331" s="124"/>
      <c r="I331" s="124"/>
    </row>
    <row r="332" ht="15.75" customHeight="1">
      <c r="B332" s="334"/>
      <c r="E332" s="124"/>
      <c r="F332" s="124"/>
      <c r="G332" s="124"/>
      <c r="H332" s="124"/>
      <c r="I332" s="124"/>
    </row>
    <row r="333" ht="15.75" customHeight="1">
      <c r="B333" s="334"/>
      <c r="E333" s="124"/>
      <c r="F333" s="124"/>
      <c r="G333" s="124"/>
      <c r="H333" s="124"/>
      <c r="I333" s="124"/>
    </row>
    <row r="334" ht="15.75" customHeight="1">
      <c r="B334" s="334"/>
      <c r="E334" s="124"/>
      <c r="F334" s="124"/>
      <c r="G334" s="124"/>
      <c r="H334" s="124"/>
      <c r="I334" s="124"/>
    </row>
    <row r="335" ht="15.75" customHeight="1">
      <c r="B335" s="334"/>
      <c r="E335" s="124"/>
      <c r="F335" s="124"/>
      <c r="G335" s="124"/>
      <c r="H335" s="124"/>
      <c r="I335" s="124"/>
    </row>
    <row r="336" ht="15.75" customHeight="1">
      <c r="B336" s="334"/>
      <c r="E336" s="124"/>
      <c r="F336" s="124"/>
      <c r="G336" s="124"/>
      <c r="H336" s="124"/>
      <c r="I336" s="124"/>
    </row>
    <row r="337" ht="15.75" customHeight="1">
      <c r="B337" s="334"/>
      <c r="E337" s="124"/>
      <c r="F337" s="124"/>
      <c r="G337" s="124"/>
      <c r="H337" s="124"/>
      <c r="I337" s="124"/>
    </row>
    <row r="338" ht="15.75" customHeight="1">
      <c r="B338" s="334"/>
      <c r="E338" s="124"/>
      <c r="F338" s="124"/>
      <c r="G338" s="124"/>
      <c r="H338" s="124"/>
      <c r="I338" s="124"/>
    </row>
    <row r="339" ht="15.75" customHeight="1">
      <c r="B339" s="334"/>
      <c r="E339" s="124"/>
      <c r="F339" s="124"/>
      <c r="G339" s="124"/>
      <c r="H339" s="124"/>
      <c r="I339" s="124"/>
    </row>
    <row r="340" ht="15.75" customHeight="1">
      <c r="B340" s="334"/>
      <c r="E340" s="124"/>
      <c r="F340" s="124"/>
      <c r="G340" s="124"/>
      <c r="H340" s="124"/>
      <c r="I340" s="124"/>
    </row>
    <row r="341" ht="15.75" customHeight="1">
      <c r="B341" s="334"/>
      <c r="E341" s="124"/>
      <c r="F341" s="124"/>
      <c r="G341" s="124"/>
      <c r="H341" s="124"/>
      <c r="I341" s="124"/>
    </row>
    <row r="342" ht="15.75" customHeight="1">
      <c r="B342" s="334"/>
      <c r="E342" s="124"/>
      <c r="F342" s="124"/>
      <c r="G342" s="124"/>
      <c r="H342" s="124"/>
      <c r="I342" s="124"/>
    </row>
    <row r="343" ht="15.75" customHeight="1">
      <c r="B343" s="334"/>
      <c r="E343" s="124"/>
      <c r="F343" s="124"/>
      <c r="G343" s="124"/>
      <c r="H343" s="124"/>
      <c r="I343" s="124"/>
    </row>
    <row r="344" ht="15.75" customHeight="1">
      <c r="B344" s="334"/>
      <c r="E344" s="124"/>
      <c r="F344" s="124"/>
      <c r="G344" s="124"/>
      <c r="H344" s="124"/>
      <c r="I344" s="124"/>
    </row>
    <row r="345" ht="15.75" customHeight="1">
      <c r="B345" s="334"/>
      <c r="E345" s="124"/>
      <c r="F345" s="124"/>
      <c r="G345" s="124"/>
      <c r="H345" s="124"/>
      <c r="I345" s="124"/>
    </row>
    <row r="346" ht="15.75" customHeight="1">
      <c r="B346" s="334"/>
      <c r="E346" s="124"/>
      <c r="F346" s="124"/>
      <c r="G346" s="124"/>
      <c r="H346" s="124"/>
      <c r="I346" s="124"/>
    </row>
    <row r="347" ht="15.75" customHeight="1">
      <c r="B347" s="334"/>
      <c r="E347" s="124"/>
      <c r="F347" s="124"/>
      <c r="G347" s="124"/>
      <c r="H347" s="124"/>
      <c r="I347" s="124"/>
    </row>
    <row r="348" ht="15.75" customHeight="1">
      <c r="B348" s="334"/>
      <c r="E348" s="124"/>
      <c r="F348" s="124"/>
      <c r="G348" s="124"/>
      <c r="H348" s="124"/>
      <c r="I348" s="124"/>
    </row>
    <row r="349" ht="15.75" customHeight="1">
      <c r="B349" s="334"/>
      <c r="E349" s="124"/>
      <c r="F349" s="124"/>
      <c r="G349" s="124"/>
      <c r="H349" s="124"/>
      <c r="I349" s="124"/>
    </row>
    <row r="350" ht="15.75" customHeight="1">
      <c r="B350" s="334"/>
      <c r="E350" s="124"/>
      <c r="F350" s="124"/>
      <c r="G350" s="124"/>
      <c r="H350" s="124"/>
      <c r="I350" s="124"/>
    </row>
    <row r="351" ht="15.75" customHeight="1">
      <c r="B351" s="334"/>
      <c r="E351" s="124"/>
      <c r="F351" s="124"/>
      <c r="G351" s="124"/>
      <c r="H351" s="124"/>
      <c r="I351" s="124"/>
    </row>
    <row r="352" ht="15.75" customHeight="1">
      <c r="B352" s="334"/>
      <c r="E352" s="124"/>
      <c r="F352" s="124"/>
      <c r="G352" s="124"/>
      <c r="H352" s="124"/>
      <c r="I352" s="124"/>
    </row>
    <row r="353" ht="15.75" customHeight="1">
      <c r="B353" s="334"/>
      <c r="E353" s="124"/>
      <c r="F353" s="124"/>
      <c r="G353" s="124"/>
      <c r="H353" s="124"/>
      <c r="I353" s="124"/>
    </row>
    <row r="354" ht="15.75" customHeight="1">
      <c r="B354" s="334"/>
      <c r="E354" s="124"/>
      <c r="F354" s="124"/>
      <c r="G354" s="124"/>
      <c r="H354" s="124"/>
      <c r="I354" s="124"/>
    </row>
    <row r="355" ht="15.75" customHeight="1">
      <c r="B355" s="334"/>
      <c r="E355" s="124"/>
      <c r="F355" s="124"/>
      <c r="G355" s="124"/>
      <c r="H355" s="124"/>
      <c r="I355" s="124"/>
    </row>
    <row r="356" ht="15.75" customHeight="1">
      <c r="B356" s="334"/>
      <c r="E356" s="124"/>
      <c r="F356" s="124"/>
      <c r="G356" s="124"/>
      <c r="H356" s="124"/>
      <c r="I356" s="124"/>
    </row>
    <row r="357" ht="15.75" customHeight="1">
      <c r="B357" s="334"/>
      <c r="E357" s="124"/>
      <c r="F357" s="124"/>
      <c r="G357" s="124"/>
      <c r="H357" s="124"/>
      <c r="I357" s="124"/>
    </row>
    <row r="358" ht="15.75" customHeight="1">
      <c r="B358" s="334"/>
      <c r="E358" s="124"/>
      <c r="F358" s="124"/>
      <c r="G358" s="124"/>
      <c r="H358" s="124"/>
      <c r="I358" s="124"/>
    </row>
    <row r="359" ht="15.75" customHeight="1">
      <c r="B359" s="334"/>
      <c r="E359" s="124"/>
      <c r="F359" s="124"/>
      <c r="G359" s="124"/>
      <c r="H359" s="124"/>
      <c r="I359" s="124"/>
    </row>
    <row r="360" ht="15.75" customHeight="1">
      <c r="B360" s="334"/>
      <c r="E360" s="124"/>
      <c r="F360" s="124"/>
      <c r="G360" s="124"/>
      <c r="H360" s="124"/>
      <c r="I360" s="124"/>
    </row>
    <row r="361" ht="15.75" customHeight="1">
      <c r="B361" s="334"/>
      <c r="E361" s="124"/>
      <c r="F361" s="124"/>
      <c r="G361" s="124"/>
      <c r="H361" s="124"/>
      <c r="I361" s="124"/>
    </row>
    <row r="362" ht="15.75" customHeight="1">
      <c r="B362" s="334"/>
      <c r="E362" s="124"/>
      <c r="F362" s="124"/>
      <c r="G362" s="124"/>
      <c r="H362" s="124"/>
      <c r="I362" s="124"/>
    </row>
    <row r="363" ht="15.75" customHeight="1">
      <c r="B363" s="334"/>
      <c r="E363" s="124"/>
      <c r="F363" s="124"/>
      <c r="G363" s="124"/>
      <c r="H363" s="124"/>
      <c r="I363" s="124"/>
    </row>
    <row r="364" ht="15.75" customHeight="1">
      <c r="B364" s="334"/>
      <c r="E364" s="124"/>
      <c r="F364" s="124"/>
      <c r="G364" s="124"/>
      <c r="H364" s="124"/>
      <c r="I364" s="124"/>
    </row>
    <row r="365" ht="15.75" customHeight="1">
      <c r="B365" s="334"/>
      <c r="E365" s="124"/>
      <c r="F365" s="124"/>
      <c r="G365" s="124"/>
      <c r="H365" s="124"/>
      <c r="I365" s="124"/>
    </row>
    <row r="366" ht="15.75" customHeight="1">
      <c r="B366" s="334"/>
      <c r="E366" s="124"/>
      <c r="F366" s="124"/>
      <c r="G366" s="124"/>
      <c r="H366" s="124"/>
      <c r="I366" s="124"/>
    </row>
    <row r="367" ht="15.75" customHeight="1">
      <c r="B367" s="334"/>
      <c r="E367" s="124"/>
      <c r="F367" s="124"/>
      <c r="G367" s="124"/>
      <c r="H367" s="124"/>
      <c r="I367" s="124"/>
    </row>
    <row r="368" ht="15.75" customHeight="1">
      <c r="B368" s="334"/>
      <c r="E368" s="124"/>
      <c r="F368" s="124"/>
      <c r="G368" s="124"/>
      <c r="H368" s="124"/>
      <c r="I368" s="124"/>
    </row>
    <row r="369" ht="15.75" customHeight="1">
      <c r="B369" s="334"/>
      <c r="E369" s="124"/>
      <c r="F369" s="124"/>
      <c r="G369" s="124"/>
      <c r="H369" s="124"/>
      <c r="I369" s="124"/>
    </row>
    <row r="370" ht="15.75" customHeight="1">
      <c r="B370" s="334"/>
      <c r="E370" s="124"/>
      <c r="F370" s="124"/>
      <c r="G370" s="124"/>
      <c r="H370" s="124"/>
      <c r="I370" s="124"/>
    </row>
    <row r="371" ht="15.75" customHeight="1">
      <c r="B371" s="334"/>
      <c r="E371" s="124"/>
      <c r="F371" s="124"/>
      <c r="G371" s="124"/>
      <c r="H371" s="124"/>
      <c r="I371" s="124"/>
    </row>
    <row r="372" ht="15.75" customHeight="1">
      <c r="B372" s="334"/>
      <c r="E372" s="124"/>
      <c r="F372" s="124"/>
      <c r="G372" s="124"/>
      <c r="H372" s="124"/>
      <c r="I372" s="124"/>
    </row>
    <row r="373" ht="15.75" customHeight="1">
      <c r="B373" s="334"/>
      <c r="E373" s="124"/>
      <c r="F373" s="124"/>
      <c r="G373" s="124"/>
      <c r="H373" s="124"/>
      <c r="I373" s="124"/>
    </row>
    <row r="374" ht="15.75" customHeight="1">
      <c r="B374" s="334"/>
      <c r="E374" s="124"/>
      <c r="F374" s="124"/>
      <c r="G374" s="124"/>
      <c r="H374" s="124"/>
      <c r="I374" s="124"/>
    </row>
    <row r="375" ht="15.75" customHeight="1">
      <c r="B375" s="334"/>
      <c r="E375" s="124"/>
      <c r="F375" s="124"/>
      <c r="G375" s="124"/>
      <c r="H375" s="124"/>
      <c r="I375" s="124"/>
    </row>
    <row r="376" ht="15.75" customHeight="1">
      <c r="B376" s="334"/>
      <c r="E376" s="124"/>
      <c r="F376" s="124"/>
      <c r="G376" s="124"/>
      <c r="H376" s="124"/>
      <c r="I376" s="124"/>
    </row>
    <row r="377" ht="15.75" customHeight="1">
      <c r="B377" s="334"/>
      <c r="E377" s="124"/>
      <c r="F377" s="124"/>
      <c r="G377" s="124"/>
      <c r="H377" s="124"/>
      <c r="I377" s="124"/>
    </row>
    <row r="378" ht="15.75" customHeight="1">
      <c r="B378" s="334"/>
      <c r="E378" s="124"/>
      <c r="F378" s="124"/>
      <c r="G378" s="124"/>
      <c r="H378" s="124"/>
      <c r="I378" s="124"/>
    </row>
    <row r="379" ht="15.75" customHeight="1">
      <c r="B379" s="334"/>
      <c r="E379" s="124"/>
      <c r="F379" s="124"/>
      <c r="G379" s="124"/>
      <c r="H379" s="124"/>
      <c r="I379" s="124"/>
    </row>
    <row r="380" ht="15.75" customHeight="1">
      <c r="B380" s="334"/>
      <c r="E380" s="124"/>
      <c r="F380" s="124"/>
      <c r="G380" s="124"/>
      <c r="H380" s="124"/>
      <c r="I380" s="124"/>
    </row>
    <row r="381" ht="15.75" customHeight="1">
      <c r="B381" s="334"/>
      <c r="E381" s="124"/>
      <c r="F381" s="124"/>
      <c r="G381" s="124"/>
      <c r="H381" s="124"/>
      <c r="I381" s="124"/>
    </row>
    <row r="382" ht="15.75" customHeight="1">
      <c r="B382" s="334"/>
      <c r="E382" s="124"/>
      <c r="F382" s="124"/>
      <c r="G382" s="124"/>
      <c r="H382" s="124"/>
      <c r="I382" s="124"/>
    </row>
    <row r="383" ht="15.75" customHeight="1">
      <c r="B383" s="334"/>
      <c r="E383" s="124"/>
      <c r="F383" s="124"/>
      <c r="G383" s="124"/>
      <c r="H383" s="124"/>
      <c r="I383" s="124"/>
    </row>
    <row r="384" ht="15.75" customHeight="1">
      <c r="B384" s="334"/>
      <c r="E384" s="124"/>
      <c r="F384" s="124"/>
      <c r="G384" s="124"/>
      <c r="H384" s="124"/>
      <c r="I384" s="124"/>
    </row>
    <row r="385" ht="15.75" customHeight="1">
      <c r="B385" s="334"/>
      <c r="E385" s="124"/>
      <c r="F385" s="124"/>
      <c r="G385" s="124"/>
      <c r="H385" s="124"/>
      <c r="I385" s="124"/>
    </row>
    <row r="386" ht="15.75" customHeight="1">
      <c r="B386" s="334"/>
      <c r="E386" s="124"/>
      <c r="F386" s="124"/>
      <c r="G386" s="124"/>
      <c r="H386" s="124"/>
      <c r="I386" s="124"/>
    </row>
    <row r="387" ht="15.75" customHeight="1">
      <c r="B387" s="334"/>
      <c r="E387" s="124"/>
      <c r="F387" s="124"/>
      <c r="G387" s="124"/>
      <c r="H387" s="124"/>
      <c r="I387" s="124"/>
    </row>
    <row r="388" ht="15.75" customHeight="1">
      <c r="B388" s="334"/>
      <c r="E388" s="124"/>
      <c r="F388" s="124"/>
      <c r="G388" s="124"/>
      <c r="H388" s="124"/>
      <c r="I388" s="124"/>
    </row>
    <row r="389" ht="15.75" customHeight="1">
      <c r="B389" s="334"/>
      <c r="E389" s="124"/>
      <c r="F389" s="124"/>
      <c r="G389" s="124"/>
      <c r="H389" s="124"/>
      <c r="I389" s="124"/>
    </row>
    <row r="390" ht="15.75" customHeight="1">
      <c r="B390" s="334"/>
      <c r="E390" s="124"/>
      <c r="F390" s="124"/>
      <c r="G390" s="124"/>
      <c r="H390" s="124"/>
      <c r="I390" s="124"/>
    </row>
    <row r="391" ht="15.75" customHeight="1">
      <c r="B391" s="334"/>
      <c r="E391" s="124"/>
      <c r="F391" s="124"/>
      <c r="G391" s="124"/>
      <c r="H391" s="124"/>
      <c r="I391" s="124"/>
    </row>
    <row r="392" ht="15.75" customHeight="1">
      <c r="B392" s="334"/>
      <c r="E392" s="124"/>
      <c r="F392" s="124"/>
      <c r="G392" s="124"/>
      <c r="H392" s="124"/>
      <c r="I392" s="124"/>
    </row>
    <row r="393" ht="15.75" customHeight="1">
      <c r="B393" s="334"/>
      <c r="E393" s="124"/>
      <c r="F393" s="124"/>
      <c r="G393" s="124"/>
      <c r="H393" s="124"/>
      <c r="I393" s="124"/>
    </row>
    <row r="394" ht="15.75" customHeight="1">
      <c r="B394" s="334"/>
      <c r="E394" s="124"/>
      <c r="F394" s="124"/>
      <c r="G394" s="124"/>
      <c r="H394" s="124"/>
      <c r="I394" s="124"/>
    </row>
    <row r="395" ht="15.75" customHeight="1">
      <c r="B395" s="334"/>
      <c r="E395" s="124"/>
      <c r="F395" s="124"/>
      <c r="G395" s="124"/>
      <c r="H395" s="124"/>
      <c r="I395" s="124"/>
    </row>
    <row r="396" ht="15.75" customHeight="1">
      <c r="B396" s="334"/>
      <c r="E396" s="124"/>
      <c r="F396" s="124"/>
      <c r="G396" s="124"/>
      <c r="H396" s="124"/>
      <c r="I396" s="124"/>
    </row>
    <row r="397" ht="15.75" customHeight="1">
      <c r="B397" s="334"/>
      <c r="E397" s="124"/>
      <c r="F397" s="124"/>
      <c r="G397" s="124"/>
      <c r="H397" s="124"/>
      <c r="I397" s="124"/>
    </row>
    <row r="398" ht="15.75" customHeight="1">
      <c r="B398" s="334"/>
      <c r="E398" s="124"/>
      <c r="F398" s="124"/>
      <c r="G398" s="124"/>
      <c r="H398" s="124"/>
      <c r="I398" s="124"/>
    </row>
    <row r="399" ht="15.75" customHeight="1">
      <c r="B399" s="334"/>
      <c r="E399" s="124"/>
      <c r="F399" s="124"/>
      <c r="G399" s="124"/>
      <c r="H399" s="124"/>
      <c r="I399" s="124"/>
    </row>
    <row r="400" ht="15.75" customHeight="1">
      <c r="B400" s="334"/>
      <c r="E400" s="124"/>
      <c r="F400" s="124"/>
      <c r="G400" s="124"/>
      <c r="H400" s="124"/>
      <c r="I400" s="124"/>
    </row>
    <row r="401" ht="15.75" customHeight="1">
      <c r="B401" s="334"/>
      <c r="E401" s="124"/>
      <c r="F401" s="124"/>
      <c r="G401" s="124"/>
      <c r="H401" s="124"/>
      <c r="I401" s="124"/>
    </row>
    <row r="402" ht="15.75" customHeight="1">
      <c r="B402" s="334"/>
      <c r="E402" s="124"/>
      <c r="F402" s="124"/>
      <c r="G402" s="124"/>
      <c r="H402" s="124"/>
      <c r="I402" s="124"/>
    </row>
    <row r="403" ht="15.75" customHeight="1">
      <c r="B403" s="334"/>
      <c r="E403" s="124"/>
      <c r="F403" s="124"/>
      <c r="G403" s="124"/>
      <c r="H403" s="124"/>
      <c r="I403" s="124"/>
    </row>
    <row r="404" ht="15.75" customHeight="1">
      <c r="B404" s="334"/>
      <c r="E404" s="124"/>
      <c r="F404" s="124"/>
      <c r="G404" s="124"/>
      <c r="H404" s="124"/>
      <c r="I404" s="124"/>
    </row>
    <row r="405" ht="15.75" customHeight="1">
      <c r="B405" s="334"/>
      <c r="E405" s="124"/>
      <c r="F405" s="124"/>
      <c r="G405" s="124"/>
      <c r="H405" s="124"/>
      <c r="I405" s="124"/>
    </row>
    <row r="406" ht="15.75" customHeight="1">
      <c r="B406" s="334"/>
      <c r="E406" s="124"/>
      <c r="F406" s="124"/>
      <c r="G406" s="124"/>
      <c r="H406" s="124"/>
      <c r="I406" s="124"/>
    </row>
    <row r="407" ht="15.75" customHeight="1">
      <c r="B407" s="334"/>
      <c r="E407" s="124"/>
      <c r="F407" s="124"/>
      <c r="G407" s="124"/>
      <c r="H407" s="124"/>
      <c r="I407" s="124"/>
    </row>
    <row r="408" ht="15.75" customHeight="1">
      <c r="B408" s="334"/>
      <c r="E408" s="124"/>
      <c r="F408" s="124"/>
      <c r="G408" s="124"/>
      <c r="H408" s="124"/>
      <c r="I408" s="124"/>
    </row>
    <row r="409" ht="15.75" customHeight="1">
      <c r="B409" s="334"/>
      <c r="E409" s="124"/>
      <c r="F409" s="124"/>
      <c r="G409" s="124"/>
      <c r="H409" s="124"/>
      <c r="I409" s="124"/>
    </row>
    <row r="410" ht="15.75" customHeight="1">
      <c r="B410" s="334"/>
      <c r="E410" s="124"/>
      <c r="F410" s="124"/>
      <c r="G410" s="124"/>
      <c r="H410" s="124"/>
      <c r="I410" s="124"/>
    </row>
    <row r="411" ht="15.75" customHeight="1">
      <c r="B411" s="334"/>
      <c r="E411" s="124"/>
      <c r="F411" s="124"/>
      <c r="G411" s="124"/>
      <c r="H411" s="124"/>
      <c r="I411" s="124"/>
    </row>
    <row r="412" ht="15.75" customHeight="1">
      <c r="B412" s="334"/>
      <c r="E412" s="124"/>
      <c r="F412" s="124"/>
      <c r="G412" s="124"/>
      <c r="H412" s="124"/>
      <c r="I412" s="124"/>
    </row>
    <row r="413" ht="15.75" customHeight="1">
      <c r="B413" s="334"/>
      <c r="E413" s="124"/>
      <c r="F413" s="124"/>
      <c r="G413" s="124"/>
      <c r="H413" s="124"/>
      <c r="I413" s="124"/>
    </row>
    <row r="414" ht="15.75" customHeight="1">
      <c r="B414" s="334"/>
      <c r="E414" s="124"/>
      <c r="F414" s="124"/>
      <c r="G414" s="124"/>
      <c r="H414" s="124"/>
      <c r="I414" s="124"/>
    </row>
    <row r="415" ht="15.75" customHeight="1">
      <c r="B415" s="334"/>
      <c r="E415" s="124"/>
      <c r="F415" s="124"/>
      <c r="G415" s="124"/>
      <c r="H415" s="124"/>
      <c r="I415" s="124"/>
    </row>
    <row r="416" ht="15.75" customHeight="1">
      <c r="B416" s="334"/>
      <c r="E416" s="124"/>
      <c r="F416" s="124"/>
      <c r="G416" s="124"/>
      <c r="H416" s="124"/>
      <c r="I416" s="124"/>
    </row>
    <row r="417" ht="15.75" customHeight="1">
      <c r="B417" s="334"/>
      <c r="E417" s="124"/>
      <c r="F417" s="124"/>
      <c r="G417" s="124"/>
      <c r="H417" s="124"/>
      <c r="I417" s="124"/>
    </row>
    <row r="418" ht="15.75" customHeight="1">
      <c r="B418" s="334"/>
      <c r="E418" s="124"/>
      <c r="F418" s="124"/>
      <c r="G418" s="124"/>
      <c r="H418" s="124"/>
      <c r="I418" s="124"/>
    </row>
    <row r="419" ht="15.75" customHeight="1">
      <c r="B419" s="334"/>
      <c r="E419" s="124"/>
      <c r="F419" s="124"/>
      <c r="G419" s="124"/>
      <c r="H419" s="124"/>
      <c r="I419" s="124"/>
    </row>
    <row r="420" ht="15.75" customHeight="1">
      <c r="B420" s="334"/>
      <c r="E420" s="124"/>
      <c r="F420" s="124"/>
      <c r="G420" s="124"/>
      <c r="H420" s="124"/>
      <c r="I420" s="124"/>
    </row>
    <row r="421" ht="15.75" customHeight="1">
      <c r="B421" s="334"/>
      <c r="E421" s="124"/>
      <c r="F421" s="124"/>
      <c r="G421" s="124"/>
      <c r="H421" s="124"/>
      <c r="I421" s="124"/>
    </row>
    <row r="422" ht="15.75" customHeight="1">
      <c r="B422" s="334"/>
      <c r="E422" s="124"/>
      <c r="F422" s="124"/>
      <c r="G422" s="124"/>
      <c r="H422" s="124"/>
      <c r="I422" s="124"/>
    </row>
    <row r="423" ht="15.75" customHeight="1">
      <c r="B423" s="334"/>
      <c r="E423" s="124"/>
      <c r="F423" s="124"/>
      <c r="G423" s="124"/>
      <c r="H423" s="124"/>
      <c r="I423" s="124"/>
    </row>
    <row r="424" ht="15.75" customHeight="1">
      <c r="B424" s="334"/>
      <c r="E424" s="124"/>
      <c r="F424" s="124"/>
      <c r="G424" s="124"/>
      <c r="H424" s="124"/>
      <c r="I424" s="124"/>
    </row>
    <row r="425" ht="15.75" customHeight="1">
      <c r="B425" s="334"/>
      <c r="E425" s="124"/>
      <c r="F425" s="124"/>
      <c r="G425" s="124"/>
      <c r="H425" s="124"/>
      <c r="I425" s="124"/>
    </row>
    <row r="426" ht="15.75" customHeight="1">
      <c r="B426" s="334"/>
      <c r="E426" s="124"/>
      <c r="F426" s="124"/>
      <c r="G426" s="124"/>
      <c r="H426" s="124"/>
      <c r="I426" s="124"/>
    </row>
    <row r="427" ht="15.75" customHeight="1">
      <c r="B427" s="334"/>
      <c r="E427" s="124"/>
      <c r="F427" s="124"/>
      <c r="G427" s="124"/>
      <c r="H427" s="124"/>
      <c r="I427" s="124"/>
    </row>
    <row r="428" ht="15.75" customHeight="1">
      <c r="B428" s="334"/>
      <c r="E428" s="124"/>
      <c r="F428" s="124"/>
      <c r="G428" s="124"/>
      <c r="H428" s="124"/>
      <c r="I428" s="124"/>
    </row>
    <row r="429" ht="15.75" customHeight="1">
      <c r="B429" s="334"/>
      <c r="E429" s="124"/>
      <c r="F429" s="124"/>
      <c r="G429" s="124"/>
      <c r="H429" s="124"/>
      <c r="I429" s="124"/>
    </row>
    <row r="430" ht="15.75" customHeight="1">
      <c r="B430" s="334"/>
      <c r="E430" s="124"/>
      <c r="F430" s="124"/>
      <c r="G430" s="124"/>
      <c r="H430" s="124"/>
      <c r="I430" s="124"/>
    </row>
    <row r="431" ht="15.75" customHeight="1">
      <c r="B431" s="334"/>
      <c r="E431" s="124"/>
      <c r="F431" s="124"/>
      <c r="G431" s="124"/>
      <c r="H431" s="124"/>
      <c r="I431" s="124"/>
    </row>
    <row r="432" ht="15.75" customHeight="1">
      <c r="B432" s="334"/>
      <c r="E432" s="124"/>
      <c r="F432" s="124"/>
      <c r="G432" s="124"/>
      <c r="H432" s="124"/>
      <c r="I432" s="124"/>
    </row>
    <row r="433" ht="15.75" customHeight="1">
      <c r="B433" s="334"/>
      <c r="E433" s="124"/>
      <c r="F433" s="124"/>
      <c r="G433" s="124"/>
      <c r="H433" s="124"/>
      <c r="I433" s="124"/>
    </row>
    <row r="434" ht="15.75" customHeight="1">
      <c r="B434" s="334"/>
      <c r="E434" s="124"/>
      <c r="F434" s="124"/>
      <c r="G434" s="124"/>
      <c r="H434" s="124"/>
      <c r="I434" s="124"/>
    </row>
    <row r="435" ht="15.75" customHeight="1">
      <c r="B435" s="334"/>
      <c r="E435" s="124"/>
      <c r="F435" s="124"/>
      <c r="G435" s="124"/>
      <c r="H435" s="124"/>
      <c r="I435" s="124"/>
    </row>
    <row r="436" ht="15.75" customHeight="1">
      <c r="B436" s="334"/>
      <c r="E436" s="124"/>
      <c r="F436" s="124"/>
      <c r="G436" s="124"/>
      <c r="H436" s="124"/>
      <c r="I436" s="124"/>
    </row>
    <row r="437" ht="15.75" customHeight="1">
      <c r="B437" s="334"/>
      <c r="E437" s="124"/>
      <c r="F437" s="124"/>
      <c r="G437" s="124"/>
      <c r="H437" s="124"/>
      <c r="I437" s="124"/>
    </row>
    <row r="438" ht="15.75" customHeight="1">
      <c r="B438" s="334"/>
      <c r="E438" s="124"/>
      <c r="F438" s="124"/>
      <c r="G438" s="124"/>
      <c r="H438" s="124"/>
      <c r="I438" s="124"/>
    </row>
    <row r="439" ht="15.75" customHeight="1">
      <c r="B439" s="334"/>
      <c r="E439" s="124"/>
      <c r="F439" s="124"/>
      <c r="G439" s="124"/>
      <c r="H439" s="124"/>
      <c r="I439" s="124"/>
    </row>
    <row r="440" ht="15.75" customHeight="1">
      <c r="B440" s="334"/>
      <c r="E440" s="124"/>
      <c r="F440" s="124"/>
      <c r="G440" s="124"/>
      <c r="H440" s="124"/>
      <c r="I440" s="124"/>
    </row>
    <row r="441" ht="15.75" customHeight="1">
      <c r="B441" s="334"/>
      <c r="E441" s="124"/>
      <c r="F441" s="124"/>
      <c r="G441" s="124"/>
      <c r="H441" s="124"/>
      <c r="I441" s="124"/>
    </row>
    <row r="442" ht="15.75" customHeight="1">
      <c r="B442" s="334"/>
      <c r="E442" s="124"/>
      <c r="F442" s="124"/>
      <c r="G442" s="124"/>
      <c r="H442" s="124"/>
      <c r="I442" s="124"/>
    </row>
    <row r="443" ht="15.75" customHeight="1">
      <c r="B443" s="334"/>
      <c r="E443" s="124"/>
      <c r="F443" s="124"/>
      <c r="G443" s="124"/>
      <c r="H443" s="124"/>
      <c r="I443" s="124"/>
    </row>
    <row r="444" ht="15.75" customHeight="1">
      <c r="B444" s="334"/>
      <c r="E444" s="124"/>
      <c r="F444" s="124"/>
      <c r="G444" s="124"/>
      <c r="H444" s="124"/>
      <c r="I444" s="124"/>
    </row>
    <row r="445" ht="15.75" customHeight="1">
      <c r="B445" s="334"/>
      <c r="E445" s="124"/>
      <c r="F445" s="124"/>
      <c r="G445" s="124"/>
      <c r="H445" s="124"/>
      <c r="I445" s="124"/>
    </row>
    <row r="446" ht="15.75" customHeight="1">
      <c r="B446" s="334"/>
      <c r="E446" s="124"/>
      <c r="F446" s="124"/>
      <c r="G446" s="124"/>
      <c r="H446" s="124"/>
      <c r="I446" s="124"/>
    </row>
    <row r="447" ht="15.75" customHeight="1">
      <c r="B447" s="334"/>
      <c r="E447" s="124"/>
      <c r="F447" s="124"/>
      <c r="G447" s="124"/>
      <c r="H447" s="124"/>
      <c r="I447" s="124"/>
    </row>
    <row r="448" ht="15.75" customHeight="1">
      <c r="B448" s="334"/>
      <c r="E448" s="124"/>
      <c r="F448" s="124"/>
      <c r="G448" s="124"/>
      <c r="H448" s="124"/>
      <c r="I448" s="124"/>
    </row>
    <row r="449" ht="15.75" customHeight="1">
      <c r="B449" s="334"/>
      <c r="E449" s="124"/>
      <c r="F449" s="124"/>
      <c r="G449" s="124"/>
      <c r="H449" s="124"/>
      <c r="I449" s="124"/>
    </row>
    <row r="450" ht="15.75" customHeight="1">
      <c r="B450" s="334"/>
      <c r="E450" s="124"/>
      <c r="F450" s="124"/>
      <c r="G450" s="124"/>
      <c r="H450" s="124"/>
      <c r="I450" s="124"/>
    </row>
    <row r="451" ht="15.75" customHeight="1">
      <c r="B451" s="334"/>
      <c r="E451" s="124"/>
      <c r="F451" s="124"/>
      <c r="G451" s="124"/>
      <c r="H451" s="124"/>
      <c r="I451" s="124"/>
    </row>
    <row r="452" ht="15.75" customHeight="1">
      <c r="B452" s="334"/>
      <c r="E452" s="124"/>
      <c r="F452" s="124"/>
      <c r="G452" s="124"/>
      <c r="H452" s="124"/>
      <c r="I452" s="124"/>
    </row>
    <row r="453" ht="15.75" customHeight="1">
      <c r="B453" s="334"/>
      <c r="E453" s="124"/>
      <c r="F453" s="124"/>
      <c r="G453" s="124"/>
      <c r="H453" s="124"/>
      <c r="I453" s="124"/>
    </row>
    <row r="454" ht="15.75" customHeight="1">
      <c r="B454" s="334"/>
      <c r="E454" s="124"/>
      <c r="F454" s="124"/>
      <c r="G454" s="124"/>
      <c r="H454" s="124"/>
      <c r="I454" s="124"/>
    </row>
    <row r="455" ht="15.75" customHeight="1">
      <c r="B455" s="334"/>
      <c r="E455" s="124"/>
      <c r="F455" s="124"/>
      <c r="G455" s="124"/>
      <c r="H455" s="124"/>
      <c r="I455" s="124"/>
    </row>
    <row r="456" ht="15.75" customHeight="1">
      <c r="B456" s="334"/>
      <c r="E456" s="124"/>
      <c r="F456" s="124"/>
      <c r="G456" s="124"/>
      <c r="H456" s="124"/>
      <c r="I456" s="124"/>
    </row>
    <row r="457" ht="15.75" customHeight="1">
      <c r="B457" s="334"/>
      <c r="E457" s="124"/>
      <c r="F457" s="124"/>
      <c r="G457" s="124"/>
      <c r="H457" s="124"/>
      <c r="I457" s="124"/>
    </row>
    <row r="458" ht="15.75" customHeight="1">
      <c r="B458" s="334"/>
      <c r="E458" s="124"/>
      <c r="F458" s="124"/>
      <c r="G458" s="124"/>
      <c r="H458" s="124"/>
      <c r="I458" s="124"/>
    </row>
    <row r="459" ht="15.75" customHeight="1">
      <c r="B459" s="334"/>
      <c r="E459" s="124"/>
      <c r="F459" s="124"/>
      <c r="G459" s="124"/>
      <c r="H459" s="124"/>
      <c r="I459" s="124"/>
    </row>
    <row r="460" ht="15.75" customHeight="1">
      <c r="B460" s="334"/>
      <c r="E460" s="124"/>
      <c r="F460" s="124"/>
      <c r="G460" s="124"/>
      <c r="H460" s="124"/>
      <c r="I460" s="124"/>
    </row>
    <row r="461" ht="15.75" customHeight="1">
      <c r="B461" s="334"/>
      <c r="E461" s="124"/>
      <c r="F461" s="124"/>
      <c r="G461" s="124"/>
      <c r="H461" s="124"/>
      <c r="I461" s="124"/>
    </row>
    <row r="462" ht="15.75" customHeight="1">
      <c r="B462" s="334"/>
      <c r="E462" s="124"/>
      <c r="F462" s="124"/>
      <c r="G462" s="124"/>
      <c r="H462" s="124"/>
      <c r="I462" s="124"/>
    </row>
    <row r="463" ht="15.75" customHeight="1">
      <c r="B463" s="334"/>
      <c r="E463" s="124"/>
      <c r="F463" s="124"/>
      <c r="G463" s="124"/>
      <c r="H463" s="124"/>
      <c r="I463" s="124"/>
    </row>
    <row r="464" ht="15.75" customHeight="1">
      <c r="B464" s="334"/>
      <c r="E464" s="124"/>
      <c r="F464" s="124"/>
      <c r="G464" s="124"/>
      <c r="H464" s="124"/>
      <c r="I464" s="124"/>
    </row>
    <row r="465" ht="15.75" customHeight="1">
      <c r="B465" s="334"/>
      <c r="E465" s="124"/>
      <c r="F465" s="124"/>
      <c r="G465" s="124"/>
      <c r="H465" s="124"/>
      <c r="I465" s="124"/>
    </row>
    <row r="466" ht="15.75" customHeight="1">
      <c r="B466" s="334"/>
      <c r="E466" s="124"/>
      <c r="F466" s="124"/>
      <c r="G466" s="124"/>
      <c r="H466" s="124"/>
      <c r="I466" s="124"/>
    </row>
    <row r="467" ht="15.75" customHeight="1">
      <c r="B467" s="334"/>
      <c r="E467" s="124"/>
      <c r="F467" s="124"/>
      <c r="G467" s="124"/>
      <c r="H467" s="124"/>
      <c r="I467" s="124"/>
    </row>
    <row r="468" ht="15.75" customHeight="1">
      <c r="B468" s="334"/>
      <c r="E468" s="124"/>
      <c r="F468" s="124"/>
      <c r="G468" s="124"/>
      <c r="H468" s="124"/>
      <c r="I468" s="124"/>
    </row>
    <row r="469" ht="15.75" customHeight="1">
      <c r="B469" s="334"/>
      <c r="E469" s="124"/>
      <c r="F469" s="124"/>
      <c r="G469" s="124"/>
      <c r="H469" s="124"/>
      <c r="I469" s="124"/>
    </row>
    <row r="470" ht="15.75" customHeight="1">
      <c r="B470" s="334"/>
      <c r="E470" s="124"/>
      <c r="F470" s="124"/>
      <c r="G470" s="124"/>
      <c r="H470" s="124"/>
      <c r="I470" s="124"/>
    </row>
    <row r="471" ht="15.75" customHeight="1">
      <c r="B471" s="334"/>
      <c r="E471" s="124"/>
      <c r="F471" s="124"/>
      <c r="G471" s="124"/>
      <c r="H471" s="124"/>
      <c r="I471" s="124"/>
    </row>
    <row r="472" ht="15.75" customHeight="1">
      <c r="B472" s="334"/>
      <c r="E472" s="124"/>
      <c r="F472" s="124"/>
      <c r="G472" s="124"/>
      <c r="H472" s="124"/>
      <c r="I472" s="124"/>
    </row>
    <row r="473" ht="15.75" customHeight="1">
      <c r="B473" s="334"/>
      <c r="E473" s="124"/>
      <c r="F473" s="124"/>
      <c r="G473" s="124"/>
      <c r="H473" s="124"/>
      <c r="I473" s="124"/>
    </row>
    <row r="474" ht="15.75" customHeight="1">
      <c r="B474" s="334"/>
      <c r="E474" s="124"/>
      <c r="F474" s="124"/>
      <c r="G474" s="124"/>
      <c r="H474" s="124"/>
      <c r="I474" s="124"/>
    </row>
    <row r="475" ht="15.75" customHeight="1">
      <c r="B475" s="334"/>
      <c r="E475" s="124"/>
      <c r="F475" s="124"/>
      <c r="G475" s="124"/>
      <c r="H475" s="124"/>
      <c r="I475" s="124"/>
    </row>
    <row r="476" ht="15.75" customHeight="1">
      <c r="B476" s="334"/>
      <c r="E476" s="124"/>
      <c r="F476" s="124"/>
      <c r="G476" s="124"/>
      <c r="H476" s="124"/>
      <c r="I476" s="124"/>
    </row>
    <row r="477" ht="15.75" customHeight="1">
      <c r="B477" s="334"/>
      <c r="E477" s="124"/>
      <c r="F477" s="124"/>
      <c r="G477" s="124"/>
      <c r="H477" s="124"/>
      <c r="I477" s="124"/>
    </row>
    <row r="478" ht="15.75" customHeight="1">
      <c r="B478" s="334"/>
      <c r="E478" s="124"/>
      <c r="F478" s="124"/>
      <c r="G478" s="124"/>
      <c r="H478" s="124"/>
      <c r="I478" s="124"/>
    </row>
    <row r="479" ht="15.75" customHeight="1">
      <c r="B479" s="334"/>
      <c r="E479" s="124"/>
      <c r="F479" s="124"/>
      <c r="G479" s="124"/>
      <c r="H479" s="124"/>
      <c r="I479" s="124"/>
    </row>
    <row r="480" ht="15.75" customHeight="1">
      <c r="B480" s="334"/>
      <c r="E480" s="124"/>
      <c r="F480" s="124"/>
      <c r="G480" s="124"/>
      <c r="H480" s="124"/>
      <c r="I480" s="124"/>
    </row>
    <row r="481" ht="15.75" customHeight="1">
      <c r="B481" s="334"/>
      <c r="E481" s="124"/>
      <c r="F481" s="124"/>
      <c r="G481" s="124"/>
      <c r="H481" s="124"/>
      <c r="I481" s="124"/>
    </row>
    <row r="482" ht="15.75" customHeight="1">
      <c r="B482" s="334"/>
      <c r="E482" s="124"/>
      <c r="F482" s="124"/>
      <c r="G482" s="124"/>
      <c r="H482" s="124"/>
      <c r="I482" s="124"/>
    </row>
    <row r="483" ht="15.75" customHeight="1">
      <c r="B483" s="334"/>
      <c r="E483" s="124"/>
      <c r="F483" s="124"/>
      <c r="G483" s="124"/>
      <c r="H483" s="124"/>
      <c r="I483" s="124"/>
    </row>
    <row r="484" ht="15.75" customHeight="1">
      <c r="B484" s="334"/>
      <c r="E484" s="124"/>
      <c r="F484" s="124"/>
      <c r="G484" s="124"/>
      <c r="H484" s="124"/>
      <c r="I484" s="124"/>
    </row>
    <row r="485" ht="15.75" customHeight="1">
      <c r="B485" s="334"/>
      <c r="E485" s="124"/>
      <c r="F485" s="124"/>
      <c r="G485" s="124"/>
      <c r="H485" s="124"/>
      <c r="I485" s="124"/>
    </row>
    <row r="486" ht="15.75" customHeight="1">
      <c r="B486" s="334"/>
      <c r="E486" s="124"/>
      <c r="F486" s="124"/>
      <c r="G486" s="124"/>
      <c r="H486" s="124"/>
      <c r="I486" s="124"/>
    </row>
    <row r="487" ht="15.75" customHeight="1">
      <c r="B487" s="334"/>
      <c r="E487" s="124"/>
      <c r="F487" s="124"/>
      <c r="G487" s="124"/>
      <c r="H487" s="124"/>
      <c r="I487" s="124"/>
    </row>
    <row r="488" ht="15.75" customHeight="1">
      <c r="B488" s="334"/>
      <c r="E488" s="124"/>
      <c r="F488" s="124"/>
      <c r="G488" s="124"/>
      <c r="H488" s="124"/>
      <c r="I488" s="124"/>
    </row>
    <row r="489" ht="15.75" customHeight="1">
      <c r="B489" s="334"/>
      <c r="E489" s="124"/>
      <c r="F489" s="124"/>
      <c r="G489" s="124"/>
      <c r="H489" s="124"/>
      <c r="I489" s="124"/>
    </row>
    <row r="490" ht="15.75" customHeight="1">
      <c r="B490" s="334"/>
      <c r="E490" s="124"/>
      <c r="F490" s="124"/>
      <c r="G490" s="124"/>
      <c r="H490" s="124"/>
      <c r="I490" s="124"/>
    </row>
    <row r="491" ht="15.75" customHeight="1">
      <c r="B491" s="334"/>
      <c r="E491" s="124"/>
      <c r="F491" s="124"/>
      <c r="G491" s="124"/>
      <c r="H491" s="124"/>
      <c r="I491" s="124"/>
    </row>
    <row r="492" ht="15.75" customHeight="1">
      <c r="B492" s="334"/>
      <c r="E492" s="124"/>
      <c r="F492" s="124"/>
      <c r="G492" s="124"/>
      <c r="H492" s="124"/>
      <c r="I492" s="124"/>
    </row>
    <row r="493" ht="15.75" customHeight="1">
      <c r="B493" s="334"/>
      <c r="E493" s="124"/>
      <c r="F493" s="124"/>
      <c r="G493" s="124"/>
      <c r="H493" s="124"/>
      <c r="I493" s="124"/>
    </row>
    <row r="494" ht="15.75" customHeight="1">
      <c r="B494" s="334"/>
      <c r="E494" s="124"/>
      <c r="F494" s="124"/>
      <c r="G494" s="124"/>
      <c r="H494" s="124"/>
      <c r="I494" s="124"/>
    </row>
    <row r="495" ht="15.75" customHeight="1">
      <c r="B495" s="334"/>
      <c r="E495" s="124"/>
      <c r="F495" s="124"/>
      <c r="G495" s="124"/>
      <c r="H495" s="124"/>
      <c r="I495" s="124"/>
    </row>
    <row r="496" ht="15.75" customHeight="1">
      <c r="B496" s="334"/>
      <c r="E496" s="124"/>
      <c r="F496" s="124"/>
      <c r="G496" s="124"/>
      <c r="H496" s="124"/>
      <c r="I496" s="124"/>
    </row>
    <row r="497" ht="15.75" customHeight="1">
      <c r="B497" s="334"/>
      <c r="E497" s="124"/>
      <c r="F497" s="124"/>
      <c r="G497" s="124"/>
      <c r="H497" s="124"/>
      <c r="I497" s="124"/>
    </row>
    <row r="498" ht="15.75" customHeight="1">
      <c r="B498" s="334"/>
      <c r="E498" s="124"/>
      <c r="F498" s="124"/>
      <c r="G498" s="124"/>
      <c r="H498" s="124"/>
      <c r="I498" s="124"/>
    </row>
    <row r="499" ht="15.75" customHeight="1">
      <c r="B499" s="334"/>
      <c r="E499" s="124"/>
      <c r="F499" s="124"/>
      <c r="G499" s="124"/>
      <c r="H499" s="124"/>
      <c r="I499" s="124"/>
    </row>
    <row r="500" ht="15.75" customHeight="1">
      <c r="B500" s="334"/>
      <c r="E500" s="124"/>
      <c r="F500" s="124"/>
      <c r="G500" s="124"/>
      <c r="H500" s="124"/>
      <c r="I500" s="124"/>
    </row>
    <row r="501" ht="15.75" customHeight="1">
      <c r="B501" s="334"/>
      <c r="E501" s="124"/>
      <c r="F501" s="124"/>
      <c r="G501" s="124"/>
      <c r="H501" s="124"/>
      <c r="I501" s="124"/>
    </row>
    <row r="502" ht="15.75" customHeight="1">
      <c r="B502" s="334"/>
      <c r="E502" s="124"/>
      <c r="F502" s="124"/>
      <c r="G502" s="124"/>
      <c r="H502" s="124"/>
      <c r="I502" s="124"/>
    </row>
    <row r="503" ht="15.75" customHeight="1">
      <c r="B503" s="334"/>
      <c r="E503" s="124"/>
      <c r="F503" s="124"/>
      <c r="G503" s="124"/>
      <c r="H503" s="124"/>
      <c r="I503" s="124"/>
    </row>
    <row r="504" ht="15.75" customHeight="1">
      <c r="B504" s="334"/>
      <c r="E504" s="124"/>
      <c r="F504" s="124"/>
      <c r="G504" s="124"/>
      <c r="H504" s="124"/>
      <c r="I504" s="124"/>
    </row>
    <row r="505" ht="15.75" customHeight="1">
      <c r="B505" s="334"/>
      <c r="E505" s="124"/>
      <c r="F505" s="124"/>
      <c r="G505" s="124"/>
      <c r="H505" s="124"/>
      <c r="I505" s="124"/>
    </row>
    <row r="506" ht="15.75" customHeight="1">
      <c r="B506" s="334"/>
      <c r="E506" s="124"/>
      <c r="F506" s="124"/>
      <c r="G506" s="124"/>
      <c r="H506" s="124"/>
      <c r="I506" s="124"/>
    </row>
    <row r="507" ht="15.75" customHeight="1">
      <c r="B507" s="334"/>
      <c r="E507" s="124"/>
      <c r="F507" s="124"/>
      <c r="G507" s="124"/>
      <c r="H507" s="124"/>
      <c r="I507" s="124"/>
    </row>
    <row r="508" ht="15.75" customHeight="1">
      <c r="B508" s="334"/>
      <c r="E508" s="124"/>
      <c r="F508" s="124"/>
      <c r="G508" s="124"/>
      <c r="H508" s="124"/>
      <c r="I508" s="124"/>
    </row>
    <row r="509" ht="15.75" customHeight="1">
      <c r="B509" s="334"/>
      <c r="E509" s="124"/>
      <c r="F509" s="124"/>
      <c r="G509" s="124"/>
      <c r="H509" s="124"/>
      <c r="I509" s="124"/>
    </row>
    <row r="510" ht="15.75" customHeight="1">
      <c r="B510" s="334"/>
      <c r="E510" s="124"/>
      <c r="F510" s="124"/>
      <c r="G510" s="124"/>
      <c r="H510" s="124"/>
      <c r="I510" s="124"/>
    </row>
    <row r="511" ht="15.75" customHeight="1">
      <c r="B511" s="334"/>
      <c r="E511" s="124"/>
      <c r="F511" s="124"/>
      <c r="G511" s="124"/>
      <c r="H511" s="124"/>
      <c r="I511" s="124"/>
    </row>
    <row r="512" ht="15.75" customHeight="1">
      <c r="B512" s="334"/>
      <c r="E512" s="124"/>
      <c r="F512" s="124"/>
      <c r="G512" s="124"/>
      <c r="H512" s="124"/>
      <c r="I512" s="124"/>
    </row>
    <row r="513" ht="15.75" customHeight="1">
      <c r="B513" s="334"/>
      <c r="E513" s="124"/>
      <c r="F513" s="124"/>
      <c r="G513" s="124"/>
      <c r="H513" s="124"/>
      <c r="I513" s="124"/>
    </row>
    <row r="514" ht="15.75" customHeight="1">
      <c r="B514" s="334"/>
      <c r="E514" s="124"/>
      <c r="F514" s="124"/>
      <c r="G514" s="124"/>
      <c r="H514" s="124"/>
      <c r="I514" s="124"/>
    </row>
    <row r="515" ht="15.75" customHeight="1">
      <c r="B515" s="334"/>
      <c r="E515" s="124"/>
      <c r="F515" s="124"/>
      <c r="G515" s="124"/>
      <c r="H515" s="124"/>
      <c r="I515" s="124"/>
    </row>
    <row r="516" ht="15.75" customHeight="1">
      <c r="B516" s="334"/>
      <c r="E516" s="124"/>
      <c r="F516" s="124"/>
      <c r="G516" s="124"/>
      <c r="H516" s="124"/>
      <c r="I516" s="124"/>
    </row>
    <row r="517" ht="15.75" customHeight="1">
      <c r="B517" s="334"/>
      <c r="E517" s="124"/>
      <c r="F517" s="124"/>
      <c r="G517" s="124"/>
      <c r="H517" s="124"/>
      <c r="I517" s="124"/>
    </row>
    <row r="518" ht="15.75" customHeight="1">
      <c r="B518" s="334"/>
      <c r="E518" s="124"/>
      <c r="F518" s="124"/>
      <c r="G518" s="124"/>
      <c r="H518" s="124"/>
      <c r="I518" s="124"/>
    </row>
    <row r="519" ht="15.75" customHeight="1">
      <c r="B519" s="334"/>
      <c r="E519" s="124"/>
      <c r="F519" s="124"/>
      <c r="G519" s="124"/>
      <c r="H519" s="124"/>
      <c r="I519" s="124"/>
    </row>
    <row r="520" ht="15.75" customHeight="1">
      <c r="B520" s="334"/>
      <c r="E520" s="124"/>
      <c r="F520" s="124"/>
      <c r="G520" s="124"/>
      <c r="H520" s="124"/>
      <c r="I520" s="124"/>
    </row>
    <row r="521" ht="15.75" customHeight="1">
      <c r="B521" s="334"/>
      <c r="E521" s="124"/>
      <c r="F521" s="124"/>
      <c r="G521" s="124"/>
      <c r="H521" s="124"/>
      <c r="I521" s="124"/>
    </row>
    <row r="522" ht="15.75" customHeight="1">
      <c r="B522" s="334"/>
      <c r="E522" s="124"/>
      <c r="F522" s="124"/>
      <c r="G522" s="124"/>
      <c r="H522" s="124"/>
      <c r="I522" s="124"/>
    </row>
    <row r="523" ht="15.75" customHeight="1">
      <c r="B523" s="334"/>
      <c r="E523" s="124"/>
      <c r="F523" s="124"/>
      <c r="G523" s="124"/>
      <c r="H523" s="124"/>
      <c r="I523" s="124"/>
    </row>
    <row r="524" ht="15.75" customHeight="1">
      <c r="B524" s="334"/>
      <c r="E524" s="124"/>
      <c r="F524" s="124"/>
      <c r="G524" s="124"/>
      <c r="H524" s="124"/>
      <c r="I524" s="124"/>
    </row>
    <row r="525" ht="15.75" customHeight="1">
      <c r="B525" s="334"/>
      <c r="E525" s="124"/>
      <c r="F525" s="124"/>
      <c r="G525" s="124"/>
      <c r="H525" s="124"/>
      <c r="I525" s="124"/>
    </row>
    <row r="526" ht="15.75" customHeight="1">
      <c r="B526" s="334"/>
      <c r="E526" s="124"/>
      <c r="F526" s="124"/>
      <c r="G526" s="124"/>
      <c r="H526" s="124"/>
      <c r="I526" s="124"/>
    </row>
    <row r="527" ht="15.75" customHeight="1">
      <c r="B527" s="334"/>
      <c r="E527" s="124"/>
      <c r="F527" s="124"/>
      <c r="G527" s="124"/>
      <c r="H527" s="124"/>
      <c r="I527" s="124"/>
    </row>
    <row r="528" ht="15.75" customHeight="1">
      <c r="B528" s="334"/>
      <c r="E528" s="124"/>
      <c r="F528" s="124"/>
      <c r="G528" s="124"/>
      <c r="H528" s="124"/>
      <c r="I528" s="124"/>
    </row>
    <row r="529" ht="15.75" customHeight="1">
      <c r="B529" s="334"/>
      <c r="E529" s="124"/>
      <c r="F529" s="124"/>
      <c r="G529" s="124"/>
      <c r="H529" s="124"/>
      <c r="I529" s="124"/>
    </row>
    <row r="530" ht="15.75" customHeight="1">
      <c r="B530" s="334"/>
      <c r="E530" s="124"/>
      <c r="F530" s="124"/>
      <c r="G530" s="124"/>
      <c r="H530" s="124"/>
      <c r="I530" s="124"/>
    </row>
    <row r="531" ht="15.75" customHeight="1">
      <c r="B531" s="334"/>
      <c r="E531" s="124"/>
      <c r="F531" s="124"/>
      <c r="G531" s="124"/>
      <c r="H531" s="124"/>
      <c r="I531" s="124"/>
    </row>
    <row r="532" ht="15.75" customHeight="1">
      <c r="B532" s="334"/>
      <c r="E532" s="124"/>
      <c r="F532" s="124"/>
      <c r="G532" s="124"/>
      <c r="H532" s="124"/>
      <c r="I532" s="124"/>
    </row>
    <row r="533" ht="15.75" customHeight="1">
      <c r="B533" s="334"/>
      <c r="E533" s="124"/>
      <c r="F533" s="124"/>
      <c r="G533" s="124"/>
      <c r="H533" s="124"/>
      <c r="I533" s="124"/>
    </row>
    <row r="534" ht="15.75" customHeight="1">
      <c r="B534" s="334"/>
      <c r="E534" s="124"/>
      <c r="F534" s="124"/>
      <c r="G534" s="124"/>
      <c r="H534" s="124"/>
      <c r="I534" s="124"/>
    </row>
    <row r="535" ht="15.75" customHeight="1">
      <c r="B535" s="334"/>
      <c r="E535" s="124"/>
      <c r="F535" s="124"/>
      <c r="G535" s="124"/>
      <c r="H535" s="124"/>
      <c r="I535" s="124"/>
    </row>
    <row r="536" ht="15.75" customHeight="1">
      <c r="B536" s="334"/>
      <c r="E536" s="124"/>
      <c r="F536" s="124"/>
      <c r="G536" s="124"/>
      <c r="H536" s="124"/>
      <c r="I536" s="124"/>
    </row>
    <row r="537" ht="15.75" customHeight="1">
      <c r="B537" s="334"/>
      <c r="E537" s="124"/>
      <c r="F537" s="124"/>
      <c r="G537" s="124"/>
      <c r="H537" s="124"/>
      <c r="I537" s="124"/>
    </row>
    <row r="538" ht="15.75" customHeight="1">
      <c r="B538" s="334"/>
      <c r="E538" s="124"/>
      <c r="F538" s="124"/>
      <c r="G538" s="124"/>
      <c r="H538" s="124"/>
      <c r="I538" s="124"/>
    </row>
    <row r="539" ht="15.75" customHeight="1">
      <c r="B539" s="334"/>
      <c r="E539" s="124"/>
      <c r="F539" s="124"/>
      <c r="G539" s="124"/>
      <c r="H539" s="124"/>
      <c r="I539" s="124"/>
    </row>
    <row r="540" ht="15.75" customHeight="1">
      <c r="B540" s="334"/>
      <c r="E540" s="124"/>
      <c r="F540" s="124"/>
      <c r="G540" s="124"/>
      <c r="H540" s="124"/>
      <c r="I540" s="124"/>
    </row>
    <row r="541" ht="15.75" customHeight="1">
      <c r="B541" s="334"/>
      <c r="E541" s="124"/>
      <c r="F541" s="124"/>
      <c r="G541" s="124"/>
      <c r="H541" s="124"/>
      <c r="I541" s="124"/>
    </row>
    <row r="542" ht="15.75" customHeight="1">
      <c r="B542" s="334"/>
      <c r="E542" s="124"/>
      <c r="F542" s="124"/>
      <c r="G542" s="124"/>
      <c r="H542" s="124"/>
      <c r="I542" s="124"/>
    </row>
    <row r="543" ht="15.75" customHeight="1">
      <c r="B543" s="334"/>
      <c r="E543" s="124"/>
      <c r="F543" s="124"/>
      <c r="G543" s="124"/>
      <c r="H543" s="124"/>
      <c r="I543" s="124"/>
    </row>
    <row r="544" ht="15.75" customHeight="1">
      <c r="B544" s="334"/>
      <c r="E544" s="124"/>
      <c r="F544" s="124"/>
      <c r="G544" s="124"/>
      <c r="H544" s="124"/>
      <c r="I544" s="124"/>
    </row>
    <row r="545" ht="15.75" customHeight="1">
      <c r="B545" s="334"/>
      <c r="E545" s="124"/>
      <c r="F545" s="124"/>
      <c r="G545" s="124"/>
      <c r="H545" s="124"/>
      <c r="I545" s="124"/>
    </row>
    <row r="546" ht="15.75" customHeight="1">
      <c r="B546" s="334"/>
      <c r="E546" s="124"/>
      <c r="F546" s="124"/>
      <c r="G546" s="124"/>
      <c r="H546" s="124"/>
      <c r="I546" s="124"/>
    </row>
    <row r="547" ht="15.75" customHeight="1">
      <c r="B547" s="334"/>
      <c r="E547" s="124"/>
      <c r="F547" s="124"/>
      <c r="G547" s="124"/>
      <c r="H547" s="124"/>
      <c r="I547" s="124"/>
    </row>
    <row r="548" ht="15.75" customHeight="1">
      <c r="B548" s="334"/>
      <c r="E548" s="124"/>
      <c r="F548" s="124"/>
      <c r="G548" s="124"/>
      <c r="H548" s="124"/>
      <c r="I548" s="124"/>
    </row>
    <row r="549" ht="15.75" customHeight="1">
      <c r="B549" s="334"/>
      <c r="E549" s="124"/>
      <c r="F549" s="124"/>
      <c r="G549" s="124"/>
      <c r="H549" s="124"/>
      <c r="I549" s="124"/>
    </row>
    <row r="550" ht="15.75" customHeight="1">
      <c r="B550" s="334"/>
      <c r="E550" s="124"/>
      <c r="F550" s="124"/>
      <c r="G550" s="124"/>
      <c r="H550" s="124"/>
      <c r="I550" s="124"/>
    </row>
    <row r="551" ht="15.75" customHeight="1">
      <c r="B551" s="334"/>
      <c r="E551" s="124"/>
      <c r="F551" s="124"/>
      <c r="G551" s="124"/>
      <c r="H551" s="124"/>
      <c r="I551" s="124"/>
    </row>
    <row r="552" ht="15.75" customHeight="1">
      <c r="B552" s="334"/>
      <c r="E552" s="124"/>
      <c r="F552" s="124"/>
      <c r="G552" s="124"/>
      <c r="H552" s="124"/>
      <c r="I552" s="124"/>
    </row>
    <row r="553" ht="15.75" customHeight="1">
      <c r="B553" s="334"/>
      <c r="E553" s="124"/>
      <c r="F553" s="124"/>
      <c r="G553" s="124"/>
      <c r="H553" s="124"/>
      <c r="I553" s="124"/>
    </row>
    <row r="554" ht="15.75" customHeight="1">
      <c r="B554" s="334"/>
      <c r="E554" s="124"/>
      <c r="F554" s="124"/>
      <c r="G554" s="124"/>
      <c r="H554" s="124"/>
      <c r="I554" s="124"/>
    </row>
    <row r="555" ht="15.75" customHeight="1">
      <c r="B555" s="334"/>
      <c r="E555" s="124"/>
      <c r="F555" s="124"/>
      <c r="G555" s="124"/>
      <c r="H555" s="124"/>
      <c r="I555" s="124"/>
    </row>
    <row r="556" ht="15.75" customHeight="1">
      <c r="B556" s="334"/>
      <c r="E556" s="124"/>
      <c r="F556" s="124"/>
      <c r="G556" s="124"/>
      <c r="H556" s="124"/>
      <c r="I556" s="124"/>
    </row>
    <row r="557" ht="15.75" customHeight="1">
      <c r="B557" s="334"/>
      <c r="E557" s="124"/>
      <c r="F557" s="124"/>
      <c r="G557" s="124"/>
      <c r="H557" s="124"/>
      <c r="I557" s="124"/>
    </row>
    <row r="558" ht="15.75" customHeight="1">
      <c r="B558" s="334"/>
      <c r="E558" s="124"/>
      <c r="F558" s="124"/>
      <c r="G558" s="124"/>
      <c r="H558" s="124"/>
      <c r="I558" s="124"/>
    </row>
    <row r="559" ht="15.75" customHeight="1">
      <c r="B559" s="334"/>
      <c r="E559" s="124"/>
      <c r="F559" s="124"/>
      <c r="G559" s="124"/>
      <c r="H559" s="124"/>
      <c r="I559" s="124"/>
    </row>
    <row r="560" ht="15.75" customHeight="1">
      <c r="B560" s="334"/>
      <c r="E560" s="124"/>
      <c r="F560" s="124"/>
      <c r="G560" s="124"/>
      <c r="H560" s="124"/>
      <c r="I560" s="124"/>
    </row>
    <row r="561" ht="15.75" customHeight="1">
      <c r="B561" s="334"/>
      <c r="E561" s="124"/>
      <c r="F561" s="124"/>
      <c r="G561" s="124"/>
      <c r="H561" s="124"/>
      <c r="I561" s="124"/>
    </row>
    <row r="562" ht="15.75" customHeight="1">
      <c r="B562" s="334"/>
      <c r="E562" s="124"/>
      <c r="F562" s="124"/>
      <c r="G562" s="124"/>
      <c r="H562" s="124"/>
      <c r="I562" s="124"/>
    </row>
    <row r="563" ht="15.75" customHeight="1">
      <c r="B563" s="334"/>
      <c r="E563" s="124"/>
      <c r="F563" s="124"/>
      <c r="G563" s="124"/>
      <c r="H563" s="124"/>
      <c r="I563" s="124"/>
    </row>
    <row r="564" ht="15.75" customHeight="1">
      <c r="B564" s="334"/>
      <c r="E564" s="124"/>
      <c r="F564" s="124"/>
      <c r="G564" s="124"/>
      <c r="H564" s="124"/>
      <c r="I564" s="124"/>
    </row>
    <row r="565" ht="15.75" customHeight="1">
      <c r="B565" s="334"/>
      <c r="E565" s="124"/>
      <c r="F565" s="124"/>
      <c r="G565" s="124"/>
      <c r="H565" s="124"/>
      <c r="I565" s="124"/>
    </row>
    <row r="566" ht="15.75" customHeight="1">
      <c r="B566" s="334"/>
      <c r="E566" s="124"/>
      <c r="F566" s="124"/>
      <c r="G566" s="124"/>
      <c r="H566" s="124"/>
      <c r="I566" s="124"/>
    </row>
    <row r="567" ht="15.75" customHeight="1">
      <c r="B567" s="334"/>
      <c r="E567" s="124"/>
      <c r="F567" s="124"/>
      <c r="G567" s="124"/>
      <c r="H567" s="124"/>
      <c r="I567" s="124"/>
    </row>
    <row r="568" ht="15.75" customHeight="1">
      <c r="B568" s="334"/>
      <c r="E568" s="124"/>
      <c r="F568" s="124"/>
      <c r="G568" s="124"/>
      <c r="H568" s="124"/>
      <c r="I568" s="124"/>
    </row>
    <row r="569" ht="15.75" customHeight="1">
      <c r="B569" s="334"/>
      <c r="E569" s="124"/>
      <c r="F569" s="124"/>
      <c r="G569" s="124"/>
      <c r="H569" s="124"/>
      <c r="I569" s="124"/>
    </row>
    <row r="570" ht="15.75" customHeight="1">
      <c r="B570" s="334"/>
      <c r="E570" s="124"/>
      <c r="F570" s="124"/>
      <c r="G570" s="124"/>
      <c r="H570" s="124"/>
      <c r="I570" s="124"/>
    </row>
    <row r="571" ht="15.75" customHeight="1">
      <c r="B571" s="334"/>
      <c r="E571" s="124"/>
      <c r="F571" s="124"/>
      <c r="G571" s="124"/>
      <c r="H571" s="124"/>
      <c r="I571" s="124"/>
    </row>
    <row r="572" ht="15.75" customHeight="1">
      <c r="B572" s="334"/>
      <c r="E572" s="124"/>
      <c r="F572" s="124"/>
      <c r="G572" s="124"/>
      <c r="H572" s="124"/>
      <c r="I572" s="124"/>
    </row>
    <row r="573" ht="15.75" customHeight="1">
      <c r="B573" s="334"/>
      <c r="E573" s="124"/>
      <c r="F573" s="124"/>
      <c r="G573" s="124"/>
      <c r="H573" s="124"/>
      <c r="I573" s="124"/>
    </row>
    <row r="574" ht="15.75" customHeight="1">
      <c r="B574" s="334"/>
      <c r="E574" s="124"/>
      <c r="F574" s="124"/>
      <c r="G574" s="124"/>
      <c r="H574" s="124"/>
      <c r="I574" s="124"/>
    </row>
    <row r="575" ht="15.75" customHeight="1">
      <c r="B575" s="334"/>
      <c r="E575" s="124"/>
      <c r="F575" s="124"/>
      <c r="G575" s="124"/>
      <c r="H575" s="124"/>
      <c r="I575" s="124"/>
    </row>
    <row r="576" ht="15.75" customHeight="1">
      <c r="B576" s="334"/>
      <c r="E576" s="124"/>
      <c r="F576" s="124"/>
      <c r="G576" s="124"/>
      <c r="H576" s="124"/>
      <c r="I576" s="124"/>
    </row>
    <row r="577" ht="15.75" customHeight="1">
      <c r="B577" s="334"/>
      <c r="E577" s="124"/>
      <c r="F577" s="124"/>
      <c r="G577" s="124"/>
      <c r="H577" s="124"/>
      <c r="I577" s="124"/>
    </row>
    <row r="578" ht="15.75" customHeight="1">
      <c r="B578" s="334"/>
      <c r="E578" s="124"/>
      <c r="F578" s="124"/>
      <c r="G578" s="124"/>
      <c r="H578" s="124"/>
      <c r="I578" s="124"/>
    </row>
    <row r="579" ht="15.75" customHeight="1">
      <c r="B579" s="334"/>
      <c r="E579" s="124"/>
      <c r="F579" s="124"/>
      <c r="G579" s="124"/>
      <c r="H579" s="124"/>
      <c r="I579" s="124"/>
    </row>
    <row r="580" ht="15.75" customHeight="1">
      <c r="B580" s="334"/>
      <c r="E580" s="124"/>
      <c r="F580" s="124"/>
      <c r="G580" s="124"/>
      <c r="H580" s="124"/>
      <c r="I580" s="124"/>
    </row>
    <row r="581" ht="15.75" customHeight="1">
      <c r="B581" s="334"/>
      <c r="E581" s="124"/>
      <c r="F581" s="124"/>
      <c r="G581" s="124"/>
      <c r="H581" s="124"/>
      <c r="I581" s="124"/>
    </row>
    <row r="582" ht="15.75" customHeight="1">
      <c r="B582" s="334"/>
      <c r="E582" s="124"/>
      <c r="F582" s="124"/>
      <c r="G582" s="124"/>
      <c r="H582" s="124"/>
      <c r="I582" s="124"/>
    </row>
    <row r="583" ht="15.75" customHeight="1">
      <c r="B583" s="334"/>
      <c r="E583" s="124"/>
      <c r="F583" s="124"/>
      <c r="G583" s="124"/>
      <c r="H583" s="124"/>
      <c r="I583" s="124"/>
    </row>
    <row r="584" ht="15.75" customHeight="1">
      <c r="B584" s="334"/>
      <c r="E584" s="124"/>
      <c r="F584" s="124"/>
      <c r="G584" s="124"/>
      <c r="H584" s="124"/>
      <c r="I584" s="124"/>
    </row>
    <row r="585" ht="15.75" customHeight="1">
      <c r="B585" s="334"/>
      <c r="E585" s="124"/>
      <c r="F585" s="124"/>
      <c r="G585" s="124"/>
      <c r="H585" s="124"/>
      <c r="I585" s="124"/>
    </row>
    <row r="586" ht="15.75" customHeight="1">
      <c r="B586" s="334"/>
      <c r="E586" s="124"/>
      <c r="F586" s="124"/>
      <c r="G586" s="124"/>
      <c r="H586" s="124"/>
      <c r="I586" s="124"/>
    </row>
    <row r="587" ht="15.75" customHeight="1">
      <c r="B587" s="334"/>
      <c r="E587" s="124"/>
      <c r="F587" s="124"/>
      <c r="G587" s="124"/>
      <c r="H587" s="124"/>
      <c r="I587" s="124"/>
    </row>
    <row r="588" ht="15.75" customHeight="1">
      <c r="B588" s="334"/>
      <c r="E588" s="124"/>
      <c r="F588" s="124"/>
      <c r="G588" s="124"/>
      <c r="H588" s="124"/>
      <c r="I588" s="124"/>
    </row>
    <row r="589" ht="15.75" customHeight="1">
      <c r="B589" s="334"/>
      <c r="E589" s="124"/>
      <c r="F589" s="124"/>
      <c r="G589" s="124"/>
      <c r="H589" s="124"/>
      <c r="I589" s="124"/>
    </row>
    <row r="590" ht="15.75" customHeight="1">
      <c r="B590" s="334"/>
      <c r="E590" s="124"/>
      <c r="F590" s="124"/>
      <c r="G590" s="124"/>
      <c r="H590" s="124"/>
      <c r="I590" s="124"/>
    </row>
    <row r="591" ht="15.75" customHeight="1">
      <c r="B591" s="334"/>
      <c r="E591" s="124"/>
      <c r="F591" s="124"/>
      <c r="G591" s="124"/>
      <c r="H591" s="124"/>
      <c r="I591" s="124"/>
    </row>
    <row r="592" ht="15.75" customHeight="1">
      <c r="B592" s="334"/>
      <c r="E592" s="124"/>
      <c r="F592" s="124"/>
      <c r="G592" s="124"/>
      <c r="H592" s="124"/>
      <c r="I592" s="124"/>
    </row>
    <row r="593" ht="15.75" customHeight="1">
      <c r="B593" s="334"/>
      <c r="E593" s="124"/>
      <c r="F593" s="124"/>
      <c r="G593" s="124"/>
      <c r="H593" s="124"/>
      <c r="I593" s="124"/>
    </row>
    <row r="594" ht="15.75" customHeight="1">
      <c r="B594" s="334"/>
      <c r="E594" s="124"/>
      <c r="F594" s="124"/>
      <c r="G594" s="124"/>
      <c r="H594" s="124"/>
      <c r="I594" s="124"/>
    </row>
    <row r="595" ht="15.75" customHeight="1">
      <c r="B595" s="334"/>
      <c r="E595" s="124"/>
      <c r="F595" s="124"/>
      <c r="G595" s="124"/>
      <c r="H595" s="124"/>
      <c r="I595" s="124"/>
    </row>
    <row r="596" ht="15.75" customHeight="1">
      <c r="B596" s="334"/>
      <c r="E596" s="124"/>
      <c r="F596" s="124"/>
      <c r="G596" s="124"/>
      <c r="H596" s="124"/>
      <c r="I596" s="124"/>
    </row>
    <row r="597" ht="15.75" customHeight="1">
      <c r="B597" s="334"/>
      <c r="E597" s="124"/>
      <c r="F597" s="124"/>
      <c r="G597" s="124"/>
      <c r="H597" s="124"/>
      <c r="I597" s="124"/>
    </row>
    <row r="598" ht="15.75" customHeight="1">
      <c r="B598" s="334"/>
      <c r="E598" s="124"/>
      <c r="F598" s="124"/>
      <c r="G598" s="124"/>
      <c r="H598" s="124"/>
      <c r="I598" s="124"/>
    </row>
    <row r="599" ht="15.75" customHeight="1">
      <c r="B599" s="334"/>
      <c r="E599" s="124"/>
      <c r="F599" s="124"/>
      <c r="G599" s="124"/>
      <c r="H599" s="124"/>
      <c r="I599" s="124"/>
    </row>
    <row r="600" ht="15.75" customHeight="1">
      <c r="B600" s="334"/>
      <c r="E600" s="124"/>
      <c r="F600" s="124"/>
      <c r="G600" s="124"/>
      <c r="H600" s="124"/>
      <c r="I600" s="124"/>
    </row>
    <row r="601" ht="15.75" customHeight="1">
      <c r="B601" s="334"/>
      <c r="E601" s="124"/>
      <c r="F601" s="124"/>
      <c r="G601" s="124"/>
      <c r="H601" s="124"/>
      <c r="I601" s="124"/>
    </row>
    <row r="602" ht="15.75" customHeight="1">
      <c r="B602" s="334"/>
      <c r="E602" s="124"/>
      <c r="F602" s="124"/>
      <c r="G602" s="124"/>
      <c r="H602" s="124"/>
      <c r="I602" s="124"/>
    </row>
    <row r="603" ht="15.75" customHeight="1">
      <c r="B603" s="334"/>
      <c r="E603" s="124"/>
      <c r="F603" s="124"/>
      <c r="G603" s="124"/>
      <c r="H603" s="124"/>
      <c r="I603" s="124"/>
    </row>
    <row r="604" ht="15.75" customHeight="1">
      <c r="B604" s="334"/>
      <c r="E604" s="124"/>
      <c r="F604" s="124"/>
      <c r="G604" s="124"/>
      <c r="H604" s="124"/>
      <c r="I604" s="124"/>
    </row>
    <row r="605" ht="15.75" customHeight="1">
      <c r="B605" s="334"/>
      <c r="E605" s="124"/>
      <c r="F605" s="124"/>
      <c r="G605" s="124"/>
      <c r="H605" s="124"/>
      <c r="I605" s="124"/>
    </row>
    <row r="606" ht="15.75" customHeight="1">
      <c r="B606" s="334"/>
      <c r="E606" s="124"/>
      <c r="F606" s="124"/>
      <c r="G606" s="124"/>
      <c r="H606" s="124"/>
      <c r="I606" s="124"/>
    </row>
    <row r="607" ht="15.75" customHeight="1">
      <c r="B607" s="334"/>
      <c r="E607" s="124"/>
      <c r="F607" s="124"/>
      <c r="G607" s="124"/>
      <c r="H607" s="124"/>
      <c r="I607" s="124"/>
    </row>
    <row r="608" ht="15.75" customHeight="1">
      <c r="B608" s="334"/>
      <c r="E608" s="124"/>
      <c r="F608" s="124"/>
      <c r="G608" s="124"/>
      <c r="H608" s="124"/>
      <c r="I608" s="124"/>
    </row>
    <row r="609" ht="15.75" customHeight="1">
      <c r="B609" s="334"/>
      <c r="E609" s="124"/>
      <c r="F609" s="124"/>
      <c r="G609" s="124"/>
      <c r="H609" s="124"/>
      <c r="I609" s="124"/>
    </row>
    <row r="610" ht="15.75" customHeight="1">
      <c r="B610" s="334"/>
      <c r="E610" s="124"/>
      <c r="F610" s="124"/>
      <c r="G610" s="124"/>
      <c r="H610" s="124"/>
      <c r="I610" s="124"/>
    </row>
    <row r="611" ht="15.75" customHeight="1">
      <c r="B611" s="334"/>
      <c r="E611" s="124"/>
      <c r="F611" s="124"/>
      <c r="G611" s="124"/>
      <c r="H611" s="124"/>
      <c r="I611" s="124"/>
    </row>
    <row r="612" ht="15.75" customHeight="1">
      <c r="B612" s="334"/>
      <c r="E612" s="124"/>
      <c r="F612" s="124"/>
      <c r="G612" s="124"/>
      <c r="H612" s="124"/>
      <c r="I612" s="124"/>
    </row>
    <row r="613" ht="15.75" customHeight="1">
      <c r="B613" s="334"/>
      <c r="E613" s="124"/>
      <c r="F613" s="124"/>
      <c r="G613" s="124"/>
      <c r="H613" s="124"/>
      <c r="I613" s="124"/>
    </row>
    <row r="614" ht="15.75" customHeight="1">
      <c r="B614" s="334"/>
      <c r="E614" s="124"/>
      <c r="F614" s="124"/>
      <c r="G614" s="124"/>
      <c r="H614" s="124"/>
      <c r="I614" s="124"/>
    </row>
    <row r="615" ht="15.75" customHeight="1">
      <c r="B615" s="334"/>
      <c r="E615" s="124"/>
      <c r="F615" s="124"/>
      <c r="G615" s="124"/>
      <c r="H615" s="124"/>
      <c r="I615" s="124"/>
    </row>
    <row r="616" ht="15.75" customHeight="1">
      <c r="B616" s="334"/>
      <c r="E616" s="124"/>
      <c r="F616" s="124"/>
      <c r="G616" s="124"/>
      <c r="H616" s="124"/>
      <c r="I616" s="124"/>
    </row>
    <row r="617" ht="15.75" customHeight="1">
      <c r="B617" s="334"/>
      <c r="E617" s="124"/>
      <c r="F617" s="124"/>
      <c r="G617" s="124"/>
      <c r="H617" s="124"/>
      <c r="I617" s="124"/>
    </row>
    <row r="618" ht="15.75" customHeight="1">
      <c r="B618" s="334"/>
      <c r="E618" s="124"/>
      <c r="F618" s="124"/>
      <c r="G618" s="124"/>
      <c r="H618" s="124"/>
      <c r="I618" s="124"/>
    </row>
    <row r="619" ht="15.75" customHeight="1">
      <c r="B619" s="334"/>
      <c r="E619" s="124"/>
      <c r="F619" s="124"/>
      <c r="G619" s="124"/>
      <c r="H619" s="124"/>
      <c r="I619" s="124"/>
    </row>
    <row r="620" ht="15.75" customHeight="1">
      <c r="B620" s="334"/>
      <c r="E620" s="124"/>
      <c r="F620" s="124"/>
      <c r="G620" s="124"/>
      <c r="H620" s="124"/>
      <c r="I620" s="124"/>
    </row>
    <row r="621" ht="15.75" customHeight="1">
      <c r="B621" s="334"/>
      <c r="E621" s="124"/>
      <c r="F621" s="124"/>
      <c r="G621" s="124"/>
      <c r="H621" s="124"/>
      <c r="I621" s="124"/>
    </row>
    <row r="622" ht="15.75" customHeight="1">
      <c r="B622" s="334"/>
      <c r="E622" s="124"/>
      <c r="F622" s="124"/>
      <c r="G622" s="124"/>
      <c r="H622" s="124"/>
      <c r="I622" s="124"/>
    </row>
    <row r="623" ht="15.75" customHeight="1">
      <c r="B623" s="334"/>
      <c r="E623" s="124"/>
      <c r="F623" s="124"/>
      <c r="G623" s="124"/>
      <c r="H623" s="124"/>
      <c r="I623" s="124"/>
    </row>
    <row r="624" ht="15.75" customHeight="1">
      <c r="B624" s="334"/>
      <c r="E624" s="124"/>
      <c r="F624" s="124"/>
      <c r="G624" s="124"/>
      <c r="H624" s="124"/>
      <c r="I624" s="124"/>
    </row>
    <row r="625" ht="15.75" customHeight="1">
      <c r="B625" s="334"/>
      <c r="E625" s="124"/>
      <c r="F625" s="124"/>
      <c r="G625" s="124"/>
      <c r="H625" s="124"/>
      <c r="I625" s="124"/>
    </row>
    <row r="626" ht="15.75" customHeight="1">
      <c r="B626" s="334"/>
      <c r="E626" s="124"/>
      <c r="F626" s="124"/>
      <c r="G626" s="124"/>
      <c r="H626" s="124"/>
      <c r="I626" s="124"/>
    </row>
    <row r="627" ht="15.75" customHeight="1">
      <c r="B627" s="334"/>
      <c r="E627" s="124"/>
      <c r="F627" s="124"/>
      <c r="G627" s="124"/>
      <c r="H627" s="124"/>
      <c r="I627" s="124"/>
    </row>
    <row r="628" ht="15.75" customHeight="1">
      <c r="B628" s="334"/>
      <c r="E628" s="124"/>
      <c r="F628" s="124"/>
      <c r="G628" s="124"/>
      <c r="H628" s="124"/>
      <c r="I628" s="124"/>
    </row>
    <row r="629" ht="15.75" customHeight="1">
      <c r="B629" s="334"/>
      <c r="E629" s="124"/>
      <c r="F629" s="124"/>
      <c r="G629" s="124"/>
      <c r="H629" s="124"/>
      <c r="I629" s="124"/>
    </row>
    <row r="630" ht="15.75" customHeight="1">
      <c r="B630" s="334"/>
      <c r="E630" s="124"/>
      <c r="F630" s="124"/>
      <c r="G630" s="124"/>
      <c r="H630" s="124"/>
      <c r="I630" s="124"/>
    </row>
    <row r="631" ht="15.75" customHeight="1">
      <c r="B631" s="334"/>
      <c r="E631" s="124"/>
      <c r="F631" s="124"/>
      <c r="G631" s="124"/>
      <c r="H631" s="124"/>
      <c r="I631" s="124"/>
    </row>
    <row r="632" ht="15.75" customHeight="1">
      <c r="B632" s="334"/>
      <c r="E632" s="124"/>
      <c r="F632" s="124"/>
      <c r="G632" s="124"/>
      <c r="H632" s="124"/>
      <c r="I632" s="124"/>
    </row>
    <row r="633" ht="15.75" customHeight="1">
      <c r="B633" s="334"/>
      <c r="E633" s="124"/>
      <c r="F633" s="124"/>
      <c r="G633" s="124"/>
      <c r="H633" s="124"/>
      <c r="I633" s="124"/>
    </row>
    <row r="634" ht="15.75" customHeight="1">
      <c r="B634" s="334"/>
      <c r="E634" s="124"/>
      <c r="F634" s="124"/>
      <c r="G634" s="124"/>
      <c r="H634" s="124"/>
      <c r="I634" s="124"/>
    </row>
    <row r="635" ht="15.75" customHeight="1">
      <c r="B635" s="334"/>
      <c r="E635" s="124"/>
      <c r="F635" s="124"/>
      <c r="G635" s="124"/>
      <c r="H635" s="124"/>
      <c r="I635" s="124"/>
    </row>
    <row r="636" ht="15.75" customHeight="1">
      <c r="B636" s="334"/>
      <c r="E636" s="124"/>
      <c r="F636" s="124"/>
      <c r="G636" s="124"/>
      <c r="H636" s="124"/>
      <c r="I636" s="124"/>
    </row>
    <row r="637" ht="15.75" customHeight="1">
      <c r="B637" s="334"/>
      <c r="E637" s="124"/>
      <c r="F637" s="124"/>
      <c r="G637" s="124"/>
      <c r="H637" s="124"/>
      <c r="I637" s="124"/>
    </row>
    <row r="638" ht="15.75" customHeight="1">
      <c r="B638" s="334"/>
      <c r="E638" s="124"/>
      <c r="F638" s="124"/>
      <c r="G638" s="124"/>
      <c r="H638" s="124"/>
      <c r="I638" s="124"/>
    </row>
    <row r="639" ht="15.75" customHeight="1">
      <c r="B639" s="334"/>
      <c r="E639" s="124"/>
      <c r="F639" s="124"/>
      <c r="G639" s="124"/>
      <c r="H639" s="124"/>
      <c r="I639" s="124"/>
    </row>
    <row r="640" ht="15.75" customHeight="1">
      <c r="B640" s="334"/>
      <c r="E640" s="124"/>
      <c r="F640" s="124"/>
      <c r="G640" s="124"/>
      <c r="H640" s="124"/>
      <c r="I640" s="124"/>
    </row>
    <row r="641" ht="15.75" customHeight="1">
      <c r="B641" s="334"/>
      <c r="E641" s="124"/>
      <c r="F641" s="124"/>
      <c r="G641" s="124"/>
      <c r="H641" s="124"/>
      <c r="I641" s="124"/>
    </row>
    <row r="642" ht="15.75" customHeight="1">
      <c r="B642" s="334"/>
      <c r="E642" s="124"/>
      <c r="F642" s="124"/>
      <c r="G642" s="124"/>
      <c r="H642" s="124"/>
      <c r="I642" s="124"/>
    </row>
    <row r="643" ht="15.75" customHeight="1">
      <c r="B643" s="334"/>
      <c r="E643" s="124"/>
      <c r="F643" s="124"/>
      <c r="G643" s="124"/>
      <c r="H643" s="124"/>
      <c r="I643" s="124"/>
    </row>
    <row r="644" ht="15.75" customHeight="1">
      <c r="B644" s="334"/>
      <c r="E644" s="124"/>
      <c r="F644" s="124"/>
      <c r="G644" s="124"/>
      <c r="H644" s="124"/>
      <c r="I644" s="124"/>
    </row>
    <row r="645" ht="15.75" customHeight="1">
      <c r="B645" s="334"/>
      <c r="E645" s="124"/>
      <c r="F645" s="124"/>
      <c r="G645" s="124"/>
      <c r="H645" s="124"/>
      <c r="I645" s="124"/>
    </row>
    <row r="646" ht="15.75" customHeight="1">
      <c r="B646" s="334"/>
      <c r="E646" s="124"/>
      <c r="F646" s="124"/>
      <c r="G646" s="124"/>
      <c r="H646" s="124"/>
      <c r="I646" s="124"/>
    </row>
    <row r="647" ht="15.75" customHeight="1">
      <c r="B647" s="334"/>
      <c r="E647" s="124"/>
      <c r="F647" s="124"/>
      <c r="G647" s="124"/>
      <c r="H647" s="124"/>
      <c r="I647" s="124"/>
    </row>
    <row r="648" ht="15.75" customHeight="1">
      <c r="B648" s="334"/>
      <c r="E648" s="124"/>
      <c r="F648" s="124"/>
      <c r="G648" s="124"/>
      <c r="H648" s="124"/>
      <c r="I648" s="124"/>
    </row>
    <row r="649" ht="15.75" customHeight="1">
      <c r="B649" s="334"/>
      <c r="E649" s="124"/>
      <c r="F649" s="124"/>
      <c r="G649" s="124"/>
      <c r="H649" s="124"/>
      <c r="I649" s="124"/>
    </row>
    <row r="650" ht="15.75" customHeight="1">
      <c r="B650" s="334"/>
      <c r="E650" s="124"/>
      <c r="F650" s="124"/>
      <c r="G650" s="124"/>
      <c r="H650" s="124"/>
      <c r="I650" s="124"/>
    </row>
    <row r="651" ht="15.75" customHeight="1">
      <c r="B651" s="334"/>
      <c r="E651" s="124"/>
      <c r="F651" s="124"/>
      <c r="G651" s="124"/>
      <c r="H651" s="124"/>
      <c r="I651" s="124"/>
    </row>
    <row r="652" ht="15.75" customHeight="1">
      <c r="B652" s="334"/>
      <c r="E652" s="124"/>
      <c r="F652" s="124"/>
      <c r="G652" s="124"/>
      <c r="H652" s="124"/>
      <c r="I652" s="124"/>
    </row>
    <row r="653" ht="15.75" customHeight="1">
      <c r="B653" s="334"/>
      <c r="E653" s="124"/>
      <c r="F653" s="124"/>
      <c r="G653" s="124"/>
      <c r="H653" s="124"/>
      <c r="I653" s="124"/>
    </row>
    <row r="654" ht="15.75" customHeight="1">
      <c r="B654" s="334"/>
      <c r="E654" s="124"/>
      <c r="F654" s="124"/>
      <c r="G654" s="124"/>
      <c r="H654" s="124"/>
      <c r="I654" s="124"/>
    </row>
    <row r="655" ht="15.75" customHeight="1">
      <c r="B655" s="334"/>
      <c r="E655" s="124"/>
      <c r="F655" s="124"/>
      <c r="G655" s="124"/>
      <c r="H655" s="124"/>
      <c r="I655" s="124"/>
    </row>
    <row r="656" ht="15.75" customHeight="1">
      <c r="B656" s="334"/>
      <c r="E656" s="124"/>
      <c r="F656" s="124"/>
      <c r="G656" s="124"/>
      <c r="H656" s="124"/>
      <c r="I656" s="124"/>
    </row>
    <row r="657" ht="15.75" customHeight="1">
      <c r="B657" s="334"/>
      <c r="E657" s="124"/>
      <c r="F657" s="124"/>
      <c r="G657" s="124"/>
      <c r="H657" s="124"/>
      <c r="I657" s="124"/>
    </row>
    <row r="658" ht="15.75" customHeight="1">
      <c r="B658" s="334"/>
      <c r="E658" s="124"/>
      <c r="F658" s="124"/>
      <c r="G658" s="124"/>
      <c r="H658" s="124"/>
      <c r="I658" s="124"/>
    </row>
    <row r="659" ht="15.75" customHeight="1">
      <c r="B659" s="334"/>
      <c r="E659" s="124"/>
      <c r="F659" s="124"/>
      <c r="G659" s="124"/>
      <c r="H659" s="124"/>
      <c r="I659" s="124"/>
    </row>
    <row r="660" ht="15.75" customHeight="1">
      <c r="B660" s="334"/>
      <c r="E660" s="124"/>
      <c r="F660" s="124"/>
      <c r="G660" s="124"/>
      <c r="H660" s="124"/>
      <c r="I660" s="124"/>
    </row>
    <row r="661" ht="15.75" customHeight="1">
      <c r="B661" s="334"/>
      <c r="E661" s="124"/>
      <c r="F661" s="124"/>
      <c r="G661" s="124"/>
      <c r="H661" s="124"/>
      <c r="I661" s="124"/>
    </row>
    <row r="662" ht="15.75" customHeight="1">
      <c r="B662" s="334"/>
      <c r="E662" s="124"/>
      <c r="F662" s="124"/>
      <c r="G662" s="124"/>
      <c r="H662" s="124"/>
      <c r="I662" s="124"/>
    </row>
    <row r="663" ht="15.75" customHeight="1">
      <c r="B663" s="334"/>
      <c r="E663" s="124"/>
      <c r="F663" s="124"/>
      <c r="G663" s="124"/>
      <c r="H663" s="124"/>
      <c r="I663" s="124"/>
    </row>
    <row r="664" ht="15.75" customHeight="1">
      <c r="B664" s="334"/>
      <c r="E664" s="124"/>
      <c r="F664" s="124"/>
      <c r="G664" s="124"/>
      <c r="H664" s="124"/>
      <c r="I664" s="124"/>
    </row>
    <row r="665" ht="15.75" customHeight="1">
      <c r="B665" s="334"/>
      <c r="E665" s="124"/>
      <c r="F665" s="124"/>
      <c r="G665" s="124"/>
      <c r="H665" s="124"/>
      <c r="I665" s="124"/>
    </row>
    <row r="666" ht="15.75" customHeight="1">
      <c r="B666" s="334"/>
      <c r="E666" s="124"/>
      <c r="F666" s="124"/>
      <c r="G666" s="124"/>
      <c r="H666" s="124"/>
      <c r="I666" s="124"/>
    </row>
    <row r="667" ht="15.75" customHeight="1">
      <c r="B667" s="334"/>
      <c r="E667" s="124"/>
      <c r="F667" s="124"/>
      <c r="G667" s="124"/>
      <c r="H667" s="124"/>
      <c r="I667" s="124"/>
    </row>
    <row r="668" ht="15.75" customHeight="1">
      <c r="B668" s="334"/>
      <c r="E668" s="124"/>
      <c r="F668" s="124"/>
      <c r="G668" s="124"/>
      <c r="H668" s="124"/>
      <c r="I668" s="124"/>
    </row>
    <row r="669" ht="15.75" customHeight="1">
      <c r="B669" s="334"/>
      <c r="E669" s="124"/>
      <c r="F669" s="124"/>
      <c r="G669" s="124"/>
      <c r="H669" s="124"/>
      <c r="I669" s="124"/>
    </row>
    <row r="670" ht="15.75" customHeight="1">
      <c r="B670" s="334"/>
      <c r="E670" s="124"/>
      <c r="F670" s="124"/>
      <c r="G670" s="124"/>
      <c r="H670" s="124"/>
      <c r="I670" s="124"/>
    </row>
    <row r="671" ht="15.75" customHeight="1">
      <c r="B671" s="334"/>
      <c r="E671" s="124"/>
      <c r="F671" s="124"/>
      <c r="G671" s="124"/>
      <c r="H671" s="124"/>
      <c r="I671" s="124"/>
    </row>
    <row r="672" ht="15.75" customHeight="1">
      <c r="B672" s="334"/>
      <c r="E672" s="124"/>
      <c r="F672" s="124"/>
      <c r="G672" s="124"/>
      <c r="H672" s="124"/>
      <c r="I672" s="124"/>
    </row>
    <row r="673" ht="15.75" customHeight="1">
      <c r="B673" s="334"/>
      <c r="E673" s="124"/>
      <c r="F673" s="124"/>
      <c r="G673" s="124"/>
      <c r="H673" s="124"/>
      <c r="I673" s="124"/>
    </row>
    <row r="674" ht="15.75" customHeight="1">
      <c r="B674" s="334"/>
      <c r="E674" s="124"/>
      <c r="F674" s="124"/>
      <c r="G674" s="124"/>
      <c r="H674" s="124"/>
      <c r="I674" s="124"/>
    </row>
    <row r="675" ht="15.75" customHeight="1">
      <c r="B675" s="334"/>
      <c r="E675" s="124"/>
      <c r="F675" s="124"/>
      <c r="G675" s="124"/>
      <c r="H675" s="124"/>
      <c r="I675" s="124"/>
    </row>
    <row r="676" ht="15.75" customHeight="1">
      <c r="B676" s="334"/>
      <c r="E676" s="124"/>
      <c r="F676" s="124"/>
      <c r="G676" s="124"/>
      <c r="H676" s="124"/>
      <c r="I676" s="124"/>
    </row>
    <row r="677" ht="15.75" customHeight="1">
      <c r="B677" s="334"/>
      <c r="E677" s="124"/>
      <c r="F677" s="124"/>
      <c r="G677" s="124"/>
      <c r="H677" s="124"/>
      <c r="I677" s="124"/>
    </row>
    <row r="678" ht="15.75" customHeight="1">
      <c r="B678" s="334"/>
      <c r="E678" s="124"/>
      <c r="F678" s="124"/>
      <c r="G678" s="124"/>
      <c r="H678" s="124"/>
      <c r="I678" s="124"/>
    </row>
    <row r="679" ht="15.75" customHeight="1">
      <c r="B679" s="334"/>
      <c r="E679" s="124"/>
      <c r="F679" s="124"/>
      <c r="G679" s="124"/>
      <c r="H679" s="124"/>
      <c r="I679" s="124"/>
    </row>
    <row r="680" ht="15.75" customHeight="1">
      <c r="B680" s="334"/>
      <c r="E680" s="124"/>
      <c r="F680" s="124"/>
      <c r="G680" s="124"/>
      <c r="H680" s="124"/>
      <c r="I680" s="124"/>
    </row>
    <row r="681" ht="15.75" customHeight="1">
      <c r="B681" s="334"/>
      <c r="E681" s="124"/>
      <c r="F681" s="124"/>
      <c r="G681" s="124"/>
      <c r="H681" s="124"/>
      <c r="I681" s="124"/>
    </row>
    <row r="682" ht="15.75" customHeight="1">
      <c r="B682" s="334"/>
      <c r="E682" s="124"/>
      <c r="F682" s="124"/>
      <c r="G682" s="124"/>
      <c r="H682" s="124"/>
      <c r="I682" s="124"/>
    </row>
    <row r="683" ht="15.75" customHeight="1">
      <c r="B683" s="334"/>
      <c r="E683" s="124"/>
      <c r="F683" s="124"/>
      <c r="G683" s="124"/>
      <c r="H683" s="124"/>
      <c r="I683" s="124"/>
    </row>
    <row r="684" ht="15.75" customHeight="1">
      <c r="B684" s="334"/>
      <c r="E684" s="124"/>
      <c r="F684" s="124"/>
      <c r="G684" s="124"/>
      <c r="H684" s="124"/>
      <c r="I684" s="124"/>
    </row>
    <row r="685" ht="15.75" customHeight="1">
      <c r="B685" s="334"/>
      <c r="E685" s="124"/>
      <c r="F685" s="124"/>
      <c r="G685" s="124"/>
      <c r="H685" s="124"/>
      <c r="I685" s="124"/>
    </row>
    <row r="686" ht="15.75" customHeight="1">
      <c r="B686" s="334"/>
      <c r="E686" s="124"/>
      <c r="F686" s="124"/>
      <c r="G686" s="124"/>
      <c r="H686" s="124"/>
      <c r="I686" s="124"/>
    </row>
    <row r="687" ht="15.75" customHeight="1">
      <c r="B687" s="334"/>
      <c r="E687" s="124"/>
      <c r="F687" s="124"/>
      <c r="G687" s="124"/>
      <c r="H687" s="124"/>
      <c r="I687" s="124"/>
    </row>
    <row r="688" ht="15.75" customHeight="1">
      <c r="B688" s="334"/>
      <c r="E688" s="124"/>
      <c r="F688" s="124"/>
      <c r="G688" s="124"/>
      <c r="H688" s="124"/>
      <c r="I688" s="124"/>
    </row>
    <row r="689" ht="15.75" customHeight="1">
      <c r="B689" s="334"/>
      <c r="E689" s="124"/>
      <c r="F689" s="124"/>
      <c r="G689" s="124"/>
      <c r="H689" s="124"/>
      <c r="I689" s="124"/>
    </row>
    <row r="690" ht="15.75" customHeight="1">
      <c r="B690" s="334"/>
      <c r="E690" s="124"/>
      <c r="F690" s="124"/>
      <c r="G690" s="124"/>
      <c r="H690" s="124"/>
      <c r="I690" s="124"/>
    </row>
    <row r="691" ht="15.75" customHeight="1">
      <c r="B691" s="334"/>
      <c r="E691" s="124"/>
      <c r="F691" s="124"/>
      <c r="G691" s="124"/>
      <c r="H691" s="124"/>
      <c r="I691" s="124"/>
    </row>
    <row r="692" ht="15.75" customHeight="1">
      <c r="B692" s="334"/>
      <c r="E692" s="124"/>
      <c r="F692" s="124"/>
      <c r="G692" s="124"/>
      <c r="H692" s="124"/>
      <c r="I692" s="124"/>
    </row>
    <row r="693" ht="15.75" customHeight="1">
      <c r="B693" s="334"/>
      <c r="E693" s="124"/>
      <c r="F693" s="124"/>
      <c r="G693" s="124"/>
      <c r="H693" s="124"/>
      <c r="I693" s="124"/>
    </row>
    <row r="694" ht="15.75" customHeight="1">
      <c r="B694" s="334"/>
      <c r="E694" s="124"/>
      <c r="F694" s="124"/>
      <c r="G694" s="124"/>
      <c r="H694" s="124"/>
      <c r="I694" s="124"/>
    </row>
    <row r="695" ht="15.75" customHeight="1">
      <c r="B695" s="334"/>
      <c r="E695" s="124"/>
      <c r="F695" s="124"/>
      <c r="G695" s="124"/>
      <c r="H695" s="124"/>
      <c r="I695" s="124"/>
    </row>
    <row r="696" ht="15.75" customHeight="1">
      <c r="B696" s="334"/>
      <c r="E696" s="124"/>
      <c r="F696" s="124"/>
      <c r="G696" s="124"/>
      <c r="H696" s="124"/>
      <c r="I696" s="124"/>
    </row>
    <row r="697" ht="15.75" customHeight="1">
      <c r="B697" s="334"/>
      <c r="E697" s="124"/>
      <c r="F697" s="124"/>
      <c r="G697" s="124"/>
      <c r="H697" s="124"/>
      <c r="I697" s="124"/>
    </row>
    <row r="698" ht="15.75" customHeight="1">
      <c r="B698" s="334"/>
      <c r="E698" s="124"/>
      <c r="F698" s="124"/>
      <c r="G698" s="124"/>
      <c r="H698" s="124"/>
      <c r="I698" s="124"/>
    </row>
    <row r="699" ht="15.75" customHeight="1">
      <c r="B699" s="334"/>
      <c r="E699" s="124"/>
      <c r="F699" s="124"/>
      <c r="G699" s="124"/>
      <c r="H699" s="124"/>
      <c r="I699" s="124"/>
    </row>
    <row r="700" ht="15.75" customHeight="1">
      <c r="B700" s="334"/>
      <c r="E700" s="124"/>
      <c r="F700" s="124"/>
      <c r="G700" s="124"/>
      <c r="H700" s="124"/>
      <c r="I700" s="124"/>
    </row>
    <row r="701" ht="15.75" customHeight="1">
      <c r="B701" s="334"/>
      <c r="E701" s="124"/>
      <c r="F701" s="124"/>
      <c r="G701" s="124"/>
      <c r="H701" s="124"/>
      <c r="I701" s="124"/>
    </row>
    <row r="702" ht="15.75" customHeight="1">
      <c r="B702" s="334"/>
      <c r="E702" s="124"/>
      <c r="F702" s="124"/>
      <c r="G702" s="124"/>
      <c r="H702" s="124"/>
      <c r="I702" s="124"/>
    </row>
    <row r="703" ht="15.75" customHeight="1">
      <c r="B703" s="334"/>
      <c r="E703" s="124"/>
      <c r="F703" s="124"/>
      <c r="G703" s="124"/>
      <c r="H703" s="124"/>
      <c r="I703" s="124"/>
    </row>
    <row r="704" ht="15.75" customHeight="1">
      <c r="B704" s="334"/>
      <c r="E704" s="124"/>
      <c r="F704" s="124"/>
      <c r="G704" s="124"/>
      <c r="H704" s="124"/>
      <c r="I704" s="124"/>
    </row>
    <row r="705" ht="15.75" customHeight="1">
      <c r="B705" s="334"/>
      <c r="E705" s="124"/>
      <c r="F705" s="124"/>
      <c r="G705" s="124"/>
      <c r="H705" s="124"/>
      <c r="I705" s="124"/>
    </row>
    <row r="706" ht="15.75" customHeight="1">
      <c r="B706" s="334"/>
      <c r="E706" s="124"/>
      <c r="F706" s="124"/>
      <c r="G706" s="124"/>
      <c r="H706" s="124"/>
      <c r="I706" s="124"/>
    </row>
    <row r="707" ht="15.75" customHeight="1">
      <c r="B707" s="334"/>
      <c r="E707" s="124"/>
      <c r="F707" s="124"/>
      <c r="G707" s="124"/>
      <c r="H707" s="124"/>
      <c r="I707" s="124"/>
    </row>
    <row r="708" ht="15.75" customHeight="1">
      <c r="B708" s="334"/>
      <c r="E708" s="124"/>
      <c r="F708" s="124"/>
      <c r="G708" s="124"/>
      <c r="H708" s="124"/>
      <c r="I708" s="124"/>
    </row>
    <row r="709" ht="15.75" customHeight="1">
      <c r="B709" s="334"/>
      <c r="E709" s="124"/>
      <c r="F709" s="124"/>
      <c r="G709" s="124"/>
      <c r="H709" s="124"/>
      <c r="I709" s="124"/>
    </row>
    <row r="710" ht="15.75" customHeight="1">
      <c r="B710" s="334"/>
      <c r="E710" s="124"/>
      <c r="F710" s="124"/>
      <c r="G710" s="124"/>
      <c r="H710" s="124"/>
      <c r="I710" s="124"/>
    </row>
    <row r="711" ht="15.75" customHeight="1">
      <c r="B711" s="334"/>
      <c r="E711" s="124"/>
      <c r="F711" s="124"/>
      <c r="G711" s="124"/>
      <c r="H711" s="124"/>
      <c r="I711" s="124"/>
    </row>
    <row r="712" ht="15.75" customHeight="1">
      <c r="B712" s="334"/>
      <c r="E712" s="124"/>
      <c r="F712" s="124"/>
      <c r="G712" s="124"/>
      <c r="H712" s="124"/>
      <c r="I712" s="124"/>
    </row>
    <row r="713" ht="15.75" customHeight="1">
      <c r="B713" s="334"/>
      <c r="E713" s="124"/>
      <c r="F713" s="124"/>
      <c r="G713" s="124"/>
      <c r="H713" s="124"/>
      <c r="I713" s="124"/>
    </row>
    <row r="714" ht="15.75" customHeight="1">
      <c r="B714" s="334"/>
      <c r="E714" s="124"/>
      <c r="F714" s="124"/>
      <c r="G714" s="124"/>
      <c r="H714" s="124"/>
      <c r="I714" s="124"/>
    </row>
    <row r="715" ht="15.75" customHeight="1">
      <c r="B715" s="334"/>
      <c r="E715" s="124"/>
      <c r="F715" s="124"/>
      <c r="G715" s="124"/>
      <c r="H715" s="124"/>
      <c r="I715" s="124"/>
    </row>
    <row r="716" ht="15.75" customHeight="1">
      <c r="B716" s="334"/>
      <c r="E716" s="124"/>
      <c r="F716" s="124"/>
      <c r="G716" s="124"/>
      <c r="H716" s="124"/>
      <c r="I716" s="124"/>
    </row>
    <row r="717" ht="15.75" customHeight="1">
      <c r="B717" s="334"/>
      <c r="E717" s="124"/>
      <c r="F717" s="124"/>
      <c r="G717" s="124"/>
      <c r="H717" s="124"/>
      <c r="I717" s="124"/>
    </row>
    <row r="718" ht="15.75" customHeight="1">
      <c r="B718" s="334"/>
      <c r="E718" s="124"/>
      <c r="F718" s="124"/>
      <c r="G718" s="124"/>
      <c r="H718" s="124"/>
      <c r="I718" s="124"/>
    </row>
    <row r="719" ht="15.75" customHeight="1">
      <c r="B719" s="334"/>
      <c r="E719" s="124"/>
      <c r="F719" s="124"/>
      <c r="G719" s="124"/>
      <c r="H719" s="124"/>
      <c r="I719" s="124"/>
    </row>
    <row r="720" ht="15.75" customHeight="1">
      <c r="B720" s="334"/>
      <c r="E720" s="124"/>
      <c r="F720" s="124"/>
      <c r="G720" s="124"/>
      <c r="H720" s="124"/>
      <c r="I720" s="124"/>
    </row>
    <row r="721" ht="15.75" customHeight="1">
      <c r="B721" s="334"/>
      <c r="E721" s="124"/>
      <c r="F721" s="124"/>
      <c r="G721" s="124"/>
      <c r="H721" s="124"/>
      <c r="I721" s="124"/>
    </row>
    <row r="722" ht="15.75" customHeight="1">
      <c r="B722" s="334"/>
      <c r="E722" s="124"/>
      <c r="F722" s="124"/>
      <c r="G722" s="124"/>
      <c r="H722" s="124"/>
      <c r="I722" s="124"/>
    </row>
    <row r="723" ht="15.75" customHeight="1">
      <c r="B723" s="334"/>
      <c r="E723" s="124"/>
      <c r="F723" s="124"/>
      <c r="G723" s="124"/>
      <c r="H723" s="124"/>
      <c r="I723" s="124"/>
    </row>
    <row r="724" ht="15.75" customHeight="1">
      <c r="B724" s="334"/>
      <c r="E724" s="124"/>
      <c r="F724" s="124"/>
      <c r="G724" s="124"/>
      <c r="H724" s="124"/>
      <c r="I724" s="124"/>
    </row>
    <row r="725" ht="15.75" customHeight="1">
      <c r="B725" s="334"/>
      <c r="E725" s="124"/>
      <c r="F725" s="124"/>
      <c r="G725" s="124"/>
      <c r="H725" s="124"/>
      <c r="I725" s="124"/>
    </row>
    <row r="726" ht="15.75" customHeight="1">
      <c r="B726" s="334"/>
      <c r="E726" s="124"/>
      <c r="F726" s="124"/>
      <c r="G726" s="124"/>
      <c r="H726" s="124"/>
      <c r="I726" s="124"/>
    </row>
    <row r="727" ht="15.75" customHeight="1">
      <c r="B727" s="334"/>
      <c r="E727" s="124"/>
      <c r="F727" s="124"/>
      <c r="G727" s="124"/>
      <c r="H727" s="124"/>
      <c r="I727" s="124"/>
    </row>
    <row r="728" ht="15.75" customHeight="1">
      <c r="B728" s="334"/>
      <c r="E728" s="124"/>
      <c r="F728" s="124"/>
      <c r="G728" s="124"/>
      <c r="H728" s="124"/>
      <c r="I728" s="124"/>
    </row>
    <row r="729" ht="15.75" customHeight="1">
      <c r="B729" s="334"/>
      <c r="E729" s="124"/>
      <c r="F729" s="124"/>
      <c r="G729" s="124"/>
      <c r="H729" s="124"/>
      <c r="I729" s="124"/>
    </row>
    <row r="730" ht="15.75" customHeight="1">
      <c r="B730" s="334"/>
      <c r="E730" s="124"/>
      <c r="F730" s="124"/>
      <c r="G730" s="124"/>
      <c r="H730" s="124"/>
      <c r="I730" s="124"/>
    </row>
    <row r="731" ht="15.75" customHeight="1">
      <c r="B731" s="334"/>
      <c r="E731" s="124"/>
      <c r="F731" s="124"/>
      <c r="G731" s="124"/>
      <c r="H731" s="124"/>
      <c r="I731" s="124"/>
    </row>
    <row r="732" ht="15.75" customHeight="1">
      <c r="B732" s="334"/>
      <c r="E732" s="124"/>
      <c r="F732" s="124"/>
      <c r="G732" s="124"/>
      <c r="H732" s="124"/>
      <c r="I732" s="124"/>
    </row>
    <row r="733" ht="15.75" customHeight="1">
      <c r="B733" s="334"/>
      <c r="E733" s="124"/>
      <c r="F733" s="124"/>
      <c r="G733" s="124"/>
      <c r="H733" s="124"/>
      <c r="I733" s="124"/>
    </row>
    <row r="734" ht="15.75" customHeight="1">
      <c r="B734" s="334"/>
      <c r="E734" s="124"/>
      <c r="F734" s="124"/>
      <c r="G734" s="124"/>
      <c r="H734" s="124"/>
      <c r="I734" s="124"/>
    </row>
    <row r="735" ht="15.75" customHeight="1">
      <c r="B735" s="334"/>
      <c r="E735" s="124"/>
      <c r="F735" s="124"/>
      <c r="G735" s="124"/>
      <c r="H735" s="124"/>
      <c r="I735" s="124"/>
    </row>
    <row r="736" ht="15.75" customHeight="1">
      <c r="B736" s="334"/>
      <c r="E736" s="124"/>
      <c r="F736" s="124"/>
      <c r="G736" s="124"/>
      <c r="H736" s="124"/>
      <c r="I736" s="124"/>
    </row>
    <row r="737" ht="15.75" customHeight="1">
      <c r="B737" s="334"/>
      <c r="E737" s="124"/>
      <c r="F737" s="124"/>
      <c r="G737" s="124"/>
      <c r="H737" s="124"/>
      <c r="I737" s="124"/>
    </row>
    <row r="738" ht="15.75" customHeight="1">
      <c r="B738" s="334"/>
      <c r="E738" s="124"/>
      <c r="F738" s="124"/>
      <c r="G738" s="124"/>
      <c r="H738" s="124"/>
      <c r="I738" s="124"/>
    </row>
    <row r="739" ht="15.75" customHeight="1">
      <c r="B739" s="334"/>
      <c r="E739" s="124"/>
      <c r="F739" s="124"/>
      <c r="G739" s="124"/>
      <c r="H739" s="124"/>
      <c r="I739" s="124"/>
    </row>
    <row r="740" ht="15.75" customHeight="1">
      <c r="B740" s="334"/>
      <c r="E740" s="124"/>
      <c r="F740" s="124"/>
      <c r="G740" s="124"/>
      <c r="H740" s="124"/>
      <c r="I740" s="124"/>
    </row>
    <row r="741" ht="15.75" customHeight="1">
      <c r="B741" s="334"/>
      <c r="E741" s="124"/>
      <c r="F741" s="124"/>
      <c r="G741" s="124"/>
      <c r="H741" s="124"/>
      <c r="I741" s="124"/>
    </row>
    <row r="742" ht="15.75" customHeight="1">
      <c r="B742" s="334"/>
      <c r="E742" s="124"/>
      <c r="F742" s="124"/>
      <c r="G742" s="124"/>
      <c r="H742" s="124"/>
      <c r="I742" s="124"/>
    </row>
    <row r="743" ht="15.75" customHeight="1">
      <c r="B743" s="334"/>
      <c r="E743" s="124"/>
      <c r="F743" s="124"/>
      <c r="G743" s="124"/>
      <c r="H743" s="124"/>
      <c r="I743" s="124"/>
    </row>
    <row r="744" ht="15.75" customHeight="1">
      <c r="B744" s="334"/>
      <c r="E744" s="124"/>
      <c r="F744" s="124"/>
      <c r="G744" s="124"/>
      <c r="H744" s="124"/>
      <c r="I744" s="124"/>
    </row>
    <row r="745" ht="15.75" customHeight="1">
      <c r="B745" s="334"/>
      <c r="E745" s="124"/>
      <c r="F745" s="124"/>
      <c r="G745" s="124"/>
      <c r="H745" s="124"/>
      <c r="I745" s="124"/>
    </row>
    <row r="746" ht="15.75" customHeight="1">
      <c r="B746" s="334"/>
      <c r="E746" s="124"/>
      <c r="F746" s="124"/>
      <c r="G746" s="124"/>
      <c r="H746" s="124"/>
      <c r="I746" s="124"/>
    </row>
    <row r="747" ht="15.75" customHeight="1">
      <c r="B747" s="334"/>
      <c r="E747" s="124"/>
      <c r="F747" s="124"/>
      <c r="G747" s="124"/>
      <c r="H747" s="124"/>
      <c r="I747" s="124"/>
    </row>
    <row r="748" ht="15.75" customHeight="1">
      <c r="B748" s="334"/>
      <c r="E748" s="124"/>
      <c r="F748" s="124"/>
      <c r="G748" s="124"/>
      <c r="H748" s="124"/>
      <c r="I748" s="124"/>
    </row>
    <row r="749" ht="15.75" customHeight="1">
      <c r="B749" s="334"/>
      <c r="E749" s="124"/>
      <c r="F749" s="124"/>
      <c r="G749" s="124"/>
      <c r="H749" s="124"/>
      <c r="I749" s="124"/>
    </row>
    <row r="750" ht="15.75" customHeight="1">
      <c r="B750" s="334"/>
      <c r="E750" s="124"/>
      <c r="F750" s="124"/>
      <c r="G750" s="124"/>
      <c r="H750" s="124"/>
      <c r="I750" s="124"/>
    </row>
    <row r="751" ht="15.75" customHeight="1">
      <c r="B751" s="334"/>
      <c r="E751" s="124"/>
      <c r="F751" s="124"/>
      <c r="G751" s="124"/>
      <c r="H751" s="124"/>
      <c r="I751" s="124"/>
    </row>
    <row r="752" ht="15.75" customHeight="1">
      <c r="B752" s="334"/>
      <c r="E752" s="124"/>
      <c r="F752" s="124"/>
      <c r="G752" s="124"/>
      <c r="H752" s="124"/>
      <c r="I752" s="124"/>
    </row>
    <row r="753" ht="15.75" customHeight="1">
      <c r="B753" s="334"/>
      <c r="E753" s="124"/>
      <c r="F753" s="124"/>
      <c r="G753" s="124"/>
      <c r="H753" s="124"/>
      <c r="I753" s="124"/>
    </row>
    <row r="754" ht="15.75" customHeight="1">
      <c r="B754" s="334"/>
      <c r="E754" s="124"/>
      <c r="F754" s="124"/>
      <c r="G754" s="124"/>
      <c r="H754" s="124"/>
      <c r="I754" s="124"/>
    </row>
    <row r="755" ht="15.75" customHeight="1">
      <c r="B755" s="334"/>
      <c r="E755" s="124"/>
      <c r="F755" s="124"/>
      <c r="G755" s="124"/>
      <c r="H755" s="124"/>
      <c r="I755" s="124"/>
    </row>
    <row r="756" ht="15.75" customHeight="1">
      <c r="B756" s="334"/>
      <c r="E756" s="124"/>
      <c r="F756" s="124"/>
      <c r="G756" s="124"/>
      <c r="H756" s="124"/>
      <c r="I756" s="124"/>
    </row>
    <row r="757" ht="15.75" customHeight="1">
      <c r="B757" s="334"/>
      <c r="E757" s="124"/>
      <c r="F757" s="124"/>
      <c r="G757" s="124"/>
      <c r="H757" s="124"/>
      <c r="I757" s="124"/>
    </row>
    <row r="758" ht="15.75" customHeight="1">
      <c r="B758" s="334"/>
      <c r="E758" s="124"/>
      <c r="F758" s="124"/>
      <c r="G758" s="124"/>
      <c r="H758" s="124"/>
      <c r="I758" s="124"/>
    </row>
    <row r="759" ht="15.75" customHeight="1">
      <c r="B759" s="334"/>
      <c r="E759" s="124"/>
      <c r="F759" s="124"/>
      <c r="G759" s="124"/>
      <c r="H759" s="124"/>
      <c r="I759" s="124"/>
    </row>
    <row r="760" ht="15.75" customHeight="1">
      <c r="B760" s="334"/>
      <c r="E760" s="124"/>
      <c r="F760" s="124"/>
      <c r="G760" s="124"/>
      <c r="H760" s="124"/>
      <c r="I760" s="124"/>
    </row>
    <row r="761" ht="15.75" customHeight="1">
      <c r="B761" s="334"/>
      <c r="E761" s="124"/>
      <c r="F761" s="124"/>
      <c r="G761" s="124"/>
      <c r="H761" s="124"/>
      <c r="I761" s="124"/>
    </row>
    <row r="762" ht="15.75" customHeight="1">
      <c r="B762" s="334"/>
      <c r="E762" s="124"/>
      <c r="F762" s="124"/>
      <c r="G762" s="124"/>
      <c r="H762" s="124"/>
      <c r="I762" s="124"/>
    </row>
    <row r="763" ht="15.75" customHeight="1">
      <c r="B763" s="334"/>
      <c r="E763" s="124"/>
      <c r="F763" s="124"/>
      <c r="G763" s="124"/>
      <c r="H763" s="124"/>
      <c r="I763" s="124"/>
    </row>
    <row r="764" ht="15.75" customHeight="1">
      <c r="B764" s="334"/>
      <c r="E764" s="124"/>
      <c r="F764" s="124"/>
      <c r="G764" s="124"/>
      <c r="H764" s="124"/>
      <c r="I764" s="124"/>
    </row>
    <row r="765" ht="15.75" customHeight="1">
      <c r="B765" s="334"/>
      <c r="E765" s="124"/>
      <c r="F765" s="124"/>
      <c r="G765" s="124"/>
      <c r="H765" s="124"/>
      <c r="I765" s="124"/>
    </row>
    <row r="766" ht="15.75" customHeight="1">
      <c r="B766" s="334"/>
      <c r="E766" s="124"/>
      <c r="F766" s="124"/>
      <c r="G766" s="124"/>
      <c r="H766" s="124"/>
      <c r="I766" s="124"/>
    </row>
    <row r="767" ht="15.75" customHeight="1">
      <c r="B767" s="334"/>
      <c r="E767" s="124"/>
      <c r="F767" s="124"/>
      <c r="G767" s="124"/>
      <c r="H767" s="124"/>
      <c r="I767" s="124"/>
    </row>
    <row r="768" ht="15.75" customHeight="1">
      <c r="B768" s="334"/>
      <c r="E768" s="124"/>
      <c r="F768" s="124"/>
      <c r="G768" s="124"/>
      <c r="H768" s="124"/>
      <c r="I768" s="124"/>
    </row>
    <row r="769" ht="15.75" customHeight="1">
      <c r="B769" s="334"/>
      <c r="E769" s="124"/>
      <c r="F769" s="124"/>
      <c r="G769" s="124"/>
      <c r="H769" s="124"/>
      <c r="I769" s="124"/>
    </row>
    <row r="770" ht="15.75" customHeight="1">
      <c r="B770" s="334"/>
      <c r="E770" s="124"/>
      <c r="F770" s="124"/>
      <c r="G770" s="124"/>
      <c r="H770" s="124"/>
      <c r="I770" s="124"/>
    </row>
    <row r="771" ht="15.75" customHeight="1">
      <c r="B771" s="334"/>
      <c r="E771" s="124"/>
      <c r="F771" s="124"/>
      <c r="G771" s="124"/>
      <c r="H771" s="124"/>
      <c r="I771" s="124"/>
    </row>
    <row r="772" ht="15.75" customHeight="1">
      <c r="B772" s="334"/>
      <c r="E772" s="124"/>
      <c r="F772" s="124"/>
      <c r="G772" s="124"/>
      <c r="H772" s="124"/>
      <c r="I772" s="124"/>
    </row>
    <row r="773" ht="15.75" customHeight="1">
      <c r="B773" s="334"/>
      <c r="E773" s="124"/>
      <c r="F773" s="124"/>
      <c r="G773" s="124"/>
      <c r="H773" s="124"/>
      <c r="I773" s="124"/>
    </row>
    <row r="774" ht="15.75" customHeight="1">
      <c r="B774" s="334"/>
      <c r="E774" s="124"/>
      <c r="F774" s="124"/>
      <c r="G774" s="124"/>
      <c r="H774" s="124"/>
      <c r="I774" s="124"/>
    </row>
    <row r="775" ht="15.75" customHeight="1">
      <c r="B775" s="334"/>
      <c r="E775" s="124"/>
      <c r="F775" s="124"/>
      <c r="G775" s="124"/>
      <c r="H775" s="124"/>
      <c r="I775" s="124"/>
    </row>
    <row r="776" ht="15.75" customHeight="1">
      <c r="B776" s="334"/>
      <c r="E776" s="124"/>
      <c r="F776" s="124"/>
      <c r="G776" s="124"/>
      <c r="H776" s="124"/>
      <c r="I776" s="124"/>
    </row>
    <row r="777" ht="15.75" customHeight="1">
      <c r="B777" s="334"/>
      <c r="E777" s="124"/>
      <c r="F777" s="124"/>
      <c r="G777" s="124"/>
      <c r="H777" s="124"/>
      <c r="I777" s="124"/>
    </row>
    <row r="778" ht="15.75" customHeight="1">
      <c r="B778" s="334"/>
      <c r="E778" s="124"/>
      <c r="F778" s="124"/>
      <c r="G778" s="124"/>
      <c r="H778" s="124"/>
      <c r="I778" s="124"/>
    </row>
    <row r="779" ht="15.75" customHeight="1">
      <c r="B779" s="334"/>
      <c r="E779" s="124"/>
      <c r="F779" s="124"/>
      <c r="G779" s="124"/>
      <c r="H779" s="124"/>
      <c r="I779" s="124"/>
    </row>
    <row r="780" ht="15.75" customHeight="1">
      <c r="B780" s="334"/>
      <c r="E780" s="124"/>
      <c r="F780" s="124"/>
      <c r="G780" s="124"/>
      <c r="H780" s="124"/>
      <c r="I780" s="124"/>
    </row>
    <row r="781" ht="15.75" customHeight="1">
      <c r="B781" s="334"/>
      <c r="E781" s="124"/>
      <c r="F781" s="124"/>
      <c r="G781" s="124"/>
      <c r="H781" s="124"/>
      <c r="I781" s="124"/>
    </row>
    <row r="782" ht="15.75" customHeight="1">
      <c r="B782" s="334"/>
      <c r="E782" s="124"/>
      <c r="F782" s="124"/>
      <c r="G782" s="124"/>
      <c r="H782" s="124"/>
      <c r="I782" s="124"/>
    </row>
    <row r="783" ht="15.75" customHeight="1">
      <c r="B783" s="334"/>
      <c r="E783" s="124"/>
      <c r="F783" s="124"/>
      <c r="G783" s="124"/>
      <c r="H783" s="124"/>
      <c r="I783" s="124"/>
    </row>
    <row r="784" ht="15.75" customHeight="1">
      <c r="B784" s="334"/>
      <c r="E784" s="124"/>
      <c r="F784" s="124"/>
      <c r="G784" s="124"/>
      <c r="H784" s="124"/>
      <c r="I784" s="124"/>
    </row>
    <row r="785" ht="15.75" customHeight="1">
      <c r="B785" s="334"/>
      <c r="E785" s="124"/>
      <c r="F785" s="124"/>
      <c r="G785" s="124"/>
      <c r="H785" s="124"/>
      <c r="I785" s="124"/>
    </row>
    <row r="786" ht="15.75" customHeight="1">
      <c r="B786" s="334"/>
      <c r="E786" s="124"/>
      <c r="F786" s="124"/>
      <c r="G786" s="124"/>
      <c r="H786" s="124"/>
      <c r="I786" s="124"/>
    </row>
    <row r="787" ht="15.75" customHeight="1">
      <c r="B787" s="334"/>
      <c r="E787" s="124"/>
      <c r="F787" s="124"/>
      <c r="G787" s="124"/>
      <c r="H787" s="124"/>
      <c r="I787" s="124"/>
    </row>
    <row r="788" ht="15.75" customHeight="1">
      <c r="B788" s="334"/>
      <c r="E788" s="124"/>
      <c r="F788" s="124"/>
      <c r="G788" s="124"/>
      <c r="H788" s="124"/>
      <c r="I788" s="124"/>
    </row>
    <row r="789" ht="15.75" customHeight="1">
      <c r="B789" s="334"/>
      <c r="E789" s="124"/>
      <c r="F789" s="124"/>
      <c r="G789" s="124"/>
      <c r="H789" s="124"/>
      <c r="I789" s="124"/>
    </row>
    <row r="790" ht="15.75" customHeight="1">
      <c r="B790" s="334"/>
      <c r="E790" s="124"/>
      <c r="F790" s="124"/>
      <c r="G790" s="124"/>
      <c r="H790" s="124"/>
      <c r="I790" s="124"/>
    </row>
    <row r="791" ht="15.75" customHeight="1">
      <c r="B791" s="334"/>
      <c r="E791" s="124"/>
      <c r="F791" s="124"/>
      <c r="G791" s="124"/>
      <c r="H791" s="124"/>
      <c r="I791" s="124"/>
    </row>
    <row r="792" ht="15.75" customHeight="1">
      <c r="B792" s="334"/>
      <c r="E792" s="124"/>
      <c r="F792" s="124"/>
      <c r="G792" s="124"/>
      <c r="H792" s="124"/>
      <c r="I792" s="124"/>
    </row>
    <row r="793" ht="15.75" customHeight="1">
      <c r="B793" s="334"/>
      <c r="E793" s="124"/>
      <c r="F793" s="124"/>
      <c r="G793" s="124"/>
      <c r="H793" s="124"/>
      <c r="I793" s="124"/>
    </row>
    <row r="794" ht="15.75" customHeight="1">
      <c r="B794" s="334"/>
      <c r="E794" s="124"/>
      <c r="F794" s="124"/>
      <c r="G794" s="124"/>
      <c r="H794" s="124"/>
      <c r="I794" s="124"/>
    </row>
    <row r="795" ht="15.75" customHeight="1">
      <c r="B795" s="334"/>
      <c r="E795" s="124"/>
      <c r="F795" s="124"/>
      <c r="G795" s="124"/>
      <c r="H795" s="124"/>
      <c r="I795" s="124"/>
    </row>
    <row r="796" ht="15.75" customHeight="1">
      <c r="B796" s="334"/>
      <c r="E796" s="124"/>
      <c r="F796" s="124"/>
      <c r="G796" s="124"/>
      <c r="H796" s="124"/>
      <c r="I796" s="124"/>
    </row>
    <row r="797" ht="15.75" customHeight="1">
      <c r="B797" s="334"/>
      <c r="E797" s="124"/>
      <c r="F797" s="124"/>
      <c r="G797" s="124"/>
      <c r="H797" s="124"/>
      <c r="I797" s="124"/>
    </row>
    <row r="798" ht="15.75" customHeight="1">
      <c r="B798" s="334"/>
      <c r="E798" s="124"/>
      <c r="F798" s="124"/>
      <c r="G798" s="124"/>
      <c r="H798" s="124"/>
      <c r="I798" s="124"/>
    </row>
    <row r="799" ht="15.75" customHeight="1">
      <c r="B799" s="334"/>
      <c r="E799" s="124"/>
      <c r="F799" s="124"/>
      <c r="G799" s="124"/>
      <c r="H799" s="124"/>
      <c r="I799" s="124"/>
    </row>
    <row r="800" ht="15.75" customHeight="1">
      <c r="B800" s="334"/>
      <c r="E800" s="124"/>
      <c r="F800" s="124"/>
      <c r="G800" s="124"/>
      <c r="H800" s="124"/>
      <c r="I800" s="124"/>
    </row>
    <row r="801" ht="15.75" customHeight="1">
      <c r="B801" s="334"/>
      <c r="E801" s="124"/>
      <c r="F801" s="124"/>
      <c r="G801" s="124"/>
      <c r="H801" s="124"/>
      <c r="I801" s="124"/>
    </row>
    <row r="802" ht="15.75" customHeight="1">
      <c r="B802" s="334"/>
      <c r="E802" s="124"/>
      <c r="F802" s="124"/>
      <c r="G802" s="124"/>
      <c r="H802" s="124"/>
      <c r="I802" s="124"/>
    </row>
    <row r="803" ht="15.75" customHeight="1">
      <c r="B803" s="334"/>
      <c r="E803" s="124"/>
      <c r="F803" s="124"/>
      <c r="G803" s="124"/>
      <c r="H803" s="124"/>
      <c r="I803" s="124"/>
    </row>
    <row r="804" ht="15.75" customHeight="1">
      <c r="B804" s="334"/>
      <c r="E804" s="124"/>
      <c r="F804" s="124"/>
      <c r="G804" s="124"/>
      <c r="H804" s="124"/>
      <c r="I804" s="124"/>
    </row>
    <row r="805" ht="15.75" customHeight="1">
      <c r="B805" s="334"/>
      <c r="E805" s="124"/>
      <c r="F805" s="124"/>
      <c r="G805" s="124"/>
      <c r="H805" s="124"/>
      <c r="I805" s="124"/>
    </row>
    <row r="806" ht="15.75" customHeight="1">
      <c r="B806" s="334"/>
      <c r="E806" s="124"/>
      <c r="F806" s="124"/>
      <c r="G806" s="124"/>
      <c r="H806" s="124"/>
      <c r="I806" s="124"/>
    </row>
    <row r="807" ht="15.75" customHeight="1">
      <c r="B807" s="334"/>
      <c r="E807" s="124"/>
      <c r="F807" s="124"/>
      <c r="G807" s="124"/>
      <c r="H807" s="124"/>
      <c r="I807" s="124"/>
    </row>
    <row r="808" ht="15.75" customHeight="1">
      <c r="B808" s="334"/>
      <c r="E808" s="124"/>
      <c r="F808" s="124"/>
      <c r="G808" s="124"/>
      <c r="H808" s="124"/>
      <c r="I808" s="124"/>
    </row>
    <row r="809" ht="15.75" customHeight="1">
      <c r="B809" s="334"/>
      <c r="E809" s="124"/>
      <c r="F809" s="124"/>
      <c r="G809" s="124"/>
      <c r="H809" s="124"/>
      <c r="I809" s="124"/>
    </row>
    <row r="810" ht="15.75" customHeight="1">
      <c r="B810" s="334"/>
      <c r="E810" s="124"/>
      <c r="F810" s="124"/>
      <c r="G810" s="124"/>
      <c r="H810" s="124"/>
      <c r="I810" s="124"/>
    </row>
    <row r="811" ht="15.75" customHeight="1">
      <c r="B811" s="334"/>
      <c r="E811" s="124"/>
      <c r="F811" s="124"/>
      <c r="G811" s="124"/>
      <c r="H811" s="124"/>
      <c r="I811" s="124"/>
    </row>
    <row r="812" ht="15.75" customHeight="1">
      <c r="B812" s="334"/>
      <c r="E812" s="124"/>
      <c r="F812" s="124"/>
      <c r="G812" s="124"/>
      <c r="H812" s="124"/>
      <c r="I812" s="124"/>
    </row>
    <row r="813" ht="15.75" customHeight="1">
      <c r="B813" s="334"/>
      <c r="E813" s="124"/>
      <c r="F813" s="124"/>
      <c r="G813" s="124"/>
      <c r="H813" s="124"/>
      <c r="I813" s="124"/>
    </row>
    <row r="814" ht="15.75" customHeight="1">
      <c r="B814" s="334"/>
      <c r="E814" s="124"/>
      <c r="F814" s="124"/>
      <c r="G814" s="124"/>
      <c r="H814" s="124"/>
      <c r="I814" s="124"/>
    </row>
    <row r="815" ht="15.75" customHeight="1">
      <c r="B815" s="334"/>
      <c r="E815" s="124"/>
      <c r="F815" s="124"/>
      <c r="G815" s="124"/>
      <c r="H815" s="124"/>
      <c r="I815" s="124"/>
    </row>
    <row r="816" ht="15.75" customHeight="1">
      <c r="B816" s="334"/>
      <c r="E816" s="124"/>
      <c r="F816" s="124"/>
      <c r="G816" s="124"/>
      <c r="H816" s="124"/>
      <c r="I816" s="124"/>
    </row>
    <row r="817" ht="15.75" customHeight="1">
      <c r="B817" s="334"/>
      <c r="E817" s="124"/>
      <c r="F817" s="124"/>
      <c r="G817" s="124"/>
      <c r="H817" s="124"/>
      <c r="I817" s="124"/>
    </row>
    <row r="818" ht="15.75" customHeight="1">
      <c r="B818" s="334"/>
      <c r="E818" s="124"/>
      <c r="F818" s="124"/>
      <c r="G818" s="124"/>
      <c r="H818" s="124"/>
      <c r="I818" s="124"/>
    </row>
    <row r="819" ht="15.75" customHeight="1">
      <c r="B819" s="334"/>
      <c r="E819" s="124"/>
      <c r="F819" s="124"/>
      <c r="G819" s="124"/>
      <c r="H819" s="124"/>
      <c r="I819" s="124"/>
    </row>
    <row r="820" ht="15.75" customHeight="1">
      <c r="B820" s="334"/>
      <c r="E820" s="124"/>
      <c r="F820" s="124"/>
      <c r="G820" s="124"/>
      <c r="H820" s="124"/>
      <c r="I820" s="124"/>
    </row>
    <row r="821" ht="15.75" customHeight="1">
      <c r="B821" s="334"/>
      <c r="E821" s="124"/>
      <c r="F821" s="124"/>
      <c r="G821" s="124"/>
      <c r="H821" s="124"/>
      <c r="I821" s="124"/>
    </row>
    <row r="822" ht="15.75" customHeight="1">
      <c r="B822" s="334"/>
      <c r="E822" s="124"/>
      <c r="F822" s="124"/>
      <c r="G822" s="124"/>
      <c r="H822" s="124"/>
      <c r="I822" s="124"/>
    </row>
    <row r="823" ht="15.75" customHeight="1">
      <c r="B823" s="334"/>
      <c r="E823" s="124"/>
      <c r="F823" s="124"/>
      <c r="G823" s="124"/>
      <c r="H823" s="124"/>
      <c r="I823" s="124"/>
    </row>
    <row r="824" ht="15.75" customHeight="1">
      <c r="B824" s="334"/>
      <c r="E824" s="124"/>
      <c r="F824" s="124"/>
      <c r="G824" s="124"/>
      <c r="H824" s="124"/>
      <c r="I824" s="124"/>
    </row>
    <row r="825" ht="15.75" customHeight="1">
      <c r="B825" s="334"/>
      <c r="E825" s="124"/>
      <c r="F825" s="124"/>
      <c r="G825" s="124"/>
      <c r="H825" s="124"/>
      <c r="I825" s="124"/>
    </row>
    <row r="826" ht="15.75" customHeight="1">
      <c r="B826" s="334"/>
      <c r="E826" s="124"/>
      <c r="F826" s="124"/>
      <c r="G826" s="124"/>
      <c r="H826" s="124"/>
      <c r="I826" s="124"/>
    </row>
    <row r="827" ht="15.75" customHeight="1">
      <c r="B827" s="334"/>
      <c r="E827" s="124"/>
      <c r="F827" s="124"/>
      <c r="G827" s="124"/>
      <c r="H827" s="124"/>
      <c r="I827" s="124"/>
    </row>
    <row r="828" ht="15.75" customHeight="1">
      <c r="B828" s="334"/>
      <c r="E828" s="124"/>
      <c r="F828" s="124"/>
      <c r="G828" s="124"/>
      <c r="H828" s="124"/>
      <c r="I828" s="124"/>
    </row>
    <row r="829" ht="15.75" customHeight="1">
      <c r="B829" s="334"/>
      <c r="E829" s="124"/>
      <c r="F829" s="124"/>
      <c r="G829" s="124"/>
      <c r="H829" s="124"/>
      <c r="I829" s="124"/>
    </row>
    <row r="830" ht="15.75" customHeight="1">
      <c r="B830" s="334"/>
      <c r="E830" s="124"/>
      <c r="F830" s="124"/>
      <c r="G830" s="124"/>
      <c r="H830" s="124"/>
      <c r="I830" s="124"/>
    </row>
    <row r="831" ht="15.75" customHeight="1">
      <c r="B831" s="334"/>
      <c r="E831" s="124"/>
      <c r="F831" s="124"/>
      <c r="G831" s="124"/>
      <c r="H831" s="124"/>
      <c r="I831" s="124"/>
    </row>
    <row r="832" ht="15.75" customHeight="1">
      <c r="B832" s="334"/>
      <c r="E832" s="124"/>
      <c r="F832" s="124"/>
      <c r="G832" s="124"/>
      <c r="H832" s="124"/>
      <c r="I832" s="124"/>
    </row>
    <row r="833" ht="15.75" customHeight="1">
      <c r="B833" s="334"/>
      <c r="E833" s="124"/>
      <c r="F833" s="124"/>
      <c r="G833" s="124"/>
      <c r="H833" s="124"/>
      <c r="I833" s="124"/>
    </row>
    <row r="834" ht="15.75" customHeight="1">
      <c r="B834" s="334"/>
      <c r="E834" s="124"/>
      <c r="F834" s="124"/>
      <c r="G834" s="124"/>
      <c r="H834" s="124"/>
      <c r="I834" s="124"/>
    </row>
    <row r="835" ht="15.75" customHeight="1">
      <c r="B835" s="334"/>
      <c r="E835" s="124"/>
      <c r="F835" s="124"/>
      <c r="G835" s="124"/>
      <c r="H835" s="124"/>
      <c r="I835" s="124"/>
    </row>
    <row r="836" ht="15.75" customHeight="1">
      <c r="B836" s="334"/>
      <c r="E836" s="124"/>
      <c r="F836" s="124"/>
      <c r="G836" s="124"/>
      <c r="H836" s="124"/>
      <c r="I836" s="124"/>
    </row>
    <row r="837" ht="15.75" customHeight="1">
      <c r="B837" s="334"/>
      <c r="E837" s="124"/>
      <c r="F837" s="124"/>
      <c r="G837" s="124"/>
      <c r="H837" s="124"/>
      <c r="I837" s="124"/>
    </row>
    <row r="838" ht="15.75" customHeight="1">
      <c r="B838" s="334"/>
      <c r="E838" s="124"/>
      <c r="F838" s="124"/>
      <c r="G838" s="124"/>
      <c r="H838" s="124"/>
      <c r="I838" s="124"/>
    </row>
    <row r="839" ht="15.75" customHeight="1">
      <c r="B839" s="334"/>
      <c r="E839" s="124"/>
      <c r="F839" s="124"/>
      <c r="G839" s="124"/>
      <c r="H839" s="124"/>
      <c r="I839" s="124"/>
    </row>
    <row r="840" ht="15.75" customHeight="1">
      <c r="B840" s="334"/>
      <c r="E840" s="124"/>
      <c r="F840" s="124"/>
      <c r="G840" s="124"/>
      <c r="H840" s="124"/>
      <c r="I840" s="124"/>
    </row>
    <row r="841" ht="15.75" customHeight="1">
      <c r="B841" s="334"/>
      <c r="E841" s="124"/>
      <c r="F841" s="124"/>
      <c r="G841" s="124"/>
      <c r="H841" s="124"/>
      <c r="I841" s="124"/>
    </row>
    <row r="842" ht="15.75" customHeight="1">
      <c r="B842" s="334"/>
      <c r="E842" s="124"/>
      <c r="F842" s="124"/>
      <c r="G842" s="124"/>
      <c r="H842" s="124"/>
      <c r="I842" s="124"/>
    </row>
    <row r="843" ht="15.75" customHeight="1">
      <c r="B843" s="334"/>
      <c r="E843" s="124"/>
      <c r="F843" s="124"/>
      <c r="G843" s="124"/>
      <c r="H843" s="124"/>
      <c r="I843" s="124"/>
    </row>
    <row r="844" ht="15.75" customHeight="1">
      <c r="B844" s="334"/>
      <c r="E844" s="124"/>
      <c r="F844" s="124"/>
      <c r="G844" s="124"/>
      <c r="H844" s="124"/>
      <c r="I844" s="124"/>
    </row>
    <row r="845" ht="15.75" customHeight="1">
      <c r="B845" s="334"/>
      <c r="E845" s="124"/>
      <c r="F845" s="124"/>
      <c r="G845" s="124"/>
      <c r="H845" s="124"/>
      <c r="I845" s="124"/>
    </row>
    <row r="846" ht="15.75" customHeight="1">
      <c r="B846" s="334"/>
      <c r="E846" s="124"/>
      <c r="F846" s="124"/>
      <c r="G846" s="124"/>
      <c r="H846" s="124"/>
      <c r="I846" s="124"/>
    </row>
    <row r="847" ht="15.75" customHeight="1">
      <c r="B847" s="334"/>
      <c r="E847" s="124"/>
      <c r="F847" s="124"/>
      <c r="G847" s="124"/>
      <c r="H847" s="124"/>
      <c r="I847" s="124"/>
    </row>
    <row r="848" ht="15.75" customHeight="1">
      <c r="B848" s="334"/>
      <c r="E848" s="124"/>
      <c r="F848" s="124"/>
      <c r="G848" s="124"/>
      <c r="H848" s="124"/>
      <c r="I848" s="124"/>
    </row>
    <row r="849" ht="15.75" customHeight="1">
      <c r="B849" s="334"/>
      <c r="E849" s="124"/>
      <c r="F849" s="124"/>
      <c r="G849" s="124"/>
      <c r="H849" s="124"/>
      <c r="I849" s="124"/>
    </row>
    <row r="850" ht="15.75" customHeight="1">
      <c r="B850" s="334"/>
      <c r="E850" s="124"/>
      <c r="F850" s="124"/>
      <c r="G850" s="124"/>
      <c r="H850" s="124"/>
      <c r="I850" s="124"/>
    </row>
    <row r="851" ht="15.75" customHeight="1">
      <c r="B851" s="334"/>
      <c r="E851" s="124"/>
      <c r="F851" s="124"/>
      <c r="G851" s="124"/>
      <c r="H851" s="124"/>
      <c r="I851" s="124"/>
    </row>
    <row r="852" ht="15.75" customHeight="1">
      <c r="B852" s="334"/>
      <c r="E852" s="124"/>
      <c r="F852" s="124"/>
      <c r="G852" s="124"/>
      <c r="H852" s="124"/>
      <c r="I852" s="124"/>
    </row>
    <row r="853" ht="15.75" customHeight="1">
      <c r="B853" s="334"/>
      <c r="E853" s="124"/>
      <c r="F853" s="124"/>
      <c r="G853" s="124"/>
      <c r="H853" s="124"/>
      <c r="I853" s="124"/>
    </row>
    <row r="854" ht="15.75" customHeight="1">
      <c r="B854" s="334"/>
      <c r="E854" s="124"/>
      <c r="F854" s="124"/>
      <c r="G854" s="124"/>
      <c r="H854" s="124"/>
      <c r="I854" s="124"/>
    </row>
    <row r="855" ht="15.75" customHeight="1">
      <c r="B855" s="334"/>
      <c r="E855" s="124"/>
      <c r="F855" s="124"/>
      <c r="G855" s="124"/>
      <c r="H855" s="124"/>
      <c r="I855" s="124"/>
    </row>
    <row r="856" ht="15.75" customHeight="1">
      <c r="B856" s="334"/>
      <c r="E856" s="124"/>
      <c r="F856" s="124"/>
      <c r="G856" s="124"/>
      <c r="H856" s="124"/>
      <c r="I856" s="124"/>
    </row>
    <row r="857" ht="15.75" customHeight="1">
      <c r="B857" s="334"/>
      <c r="E857" s="124"/>
      <c r="F857" s="124"/>
      <c r="G857" s="124"/>
      <c r="H857" s="124"/>
      <c r="I857" s="124"/>
    </row>
    <row r="858" ht="15.75" customHeight="1">
      <c r="B858" s="334"/>
      <c r="E858" s="124"/>
      <c r="F858" s="124"/>
      <c r="G858" s="124"/>
      <c r="H858" s="124"/>
      <c r="I858" s="124"/>
    </row>
    <row r="859" ht="15.75" customHeight="1">
      <c r="B859" s="334"/>
      <c r="E859" s="124"/>
      <c r="F859" s="124"/>
      <c r="G859" s="124"/>
      <c r="H859" s="124"/>
      <c r="I859" s="124"/>
    </row>
    <row r="860" ht="15.75" customHeight="1">
      <c r="B860" s="334"/>
      <c r="E860" s="124"/>
      <c r="F860" s="124"/>
      <c r="G860" s="124"/>
      <c r="H860" s="124"/>
      <c r="I860" s="124"/>
    </row>
    <row r="861" ht="15.75" customHeight="1">
      <c r="B861" s="334"/>
      <c r="E861" s="124"/>
      <c r="F861" s="124"/>
      <c r="G861" s="124"/>
      <c r="H861" s="124"/>
      <c r="I861" s="124"/>
    </row>
    <row r="862" ht="15.75" customHeight="1">
      <c r="B862" s="334"/>
      <c r="E862" s="124"/>
      <c r="F862" s="124"/>
      <c r="G862" s="124"/>
      <c r="H862" s="124"/>
      <c r="I862" s="124"/>
    </row>
    <row r="863" ht="15.75" customHeight="1">
      <c r="B863" s="334"/>
      <c r="E863" s="124"/>
      <c r="F863" s="124"/>
      <c r="G863" s="124"/>
      <c r="H863" s="124"/>
      <c r="I863" s="124"/>
    </row>
    <row r="864" ht="15.75" customHeight="1">
      <c r="B864" s="334"/>
      <c r="E864" s="124"/>
      <c r="F864" s="124"/>
      <c r="G864" s="124"/>
      <c r="H864" s="124"/>
      <c r="I864" s="124"/>
    </row>
    <row r="865" ht="15.75" customHeight="1">
      <c r="B865" s="334"/>
      <c r="E865" s="124"/>
      <c r="F865" s="124"/>
      <c r="G865" s="124"/>
      <c r="H865" s="124"/>
      <c r="I865" s="124"/>
    </row>
    <row r="866" ht="15.75" customHeight="1">
      <c r="B866" s="334"/>
      <c r="E866" s="124"/>
      <c r="F866" s="124"/>
      <c r="G866" s="124"/>
      <c r="H866" s="124"/>
      <c r="I866" s="124"/>
    </row>
    <row r="867" ht="15.75" customHeight="1">
      <c r="B867" s="334"/>
      <c r="E867" s="124"/>
      <c r="F867" s="124"/>
      <c r="G867" s="124"/>
      <c r="H867" s="124"/>
      <c r="I867" s="124"/>
    </row>
    <row r="868" ht="15.75" customHeight="1">
      <c r="B868" s="334"/>
      <c r="E868" s="124"/>
      <c r="F868" s="124"/>
      <c r="G868" s="124"/>
      <c r="H868" s="124"/>
      <c r="I868" s="124"/>
    </row>
    <row r="869" ht="15.75" customHeight="1">
      <c r="B869" s="334"/>
      <c r="E869" s="124"/>
      <c r="F869" s="124"/>
      <c r="G869" s="124"/>
      <c r="H869" s="124"/>
      <c r="I869" s="124"/>
    </row>
    <row r="870" ht="15.75" customHeight="1">
      <c r="B870" s="334"/>
      <c r="E870" s="124"/>
      <c r="F870" s="124"/>
      <c r="G870" s="124"/>
      <c r="H870" s="124"/>
      <c r="I870" s="124"/>
    </row>
    <row r="871" ht="15.75" customHeight="1">
      <c r="B871" s="334"/>
      <c r="E871" s="124"/>
      <c r="F871" s="124"/>
      <c r="G871" s="124"/>
      <c r="H871" s="124"/>
      <c r="I871" s="124"/>
    </row>
    <row r="872" ht="15.75" customHeight="1">
      <c r="B872" s="334"/>
      <c r="E872" s="124"/>
      <c r="F872" s="124"/>
      <c r="G872" s="124"/>
      <c r="H872" s="124"/>
      <c r="I872" s="124"/>
    </row>
    <row r="873" ht="15.75" customHeight="1">
      <c r="B873" s="334"/>
      <c r="E873" s="124"/>
      <c r="F873" s="124"/>
      <c r="G873" s="124"/>
      <c r="H873" s="124"/>
      <c r="I873" s="124"/>
    </row>
    <row r="874" ht="15.75" customHeight="1">
      <c r="B874" s="334"/>
      <c r="E874" s="124"/>
      <c r="F874" s="124"/>
      <c r="G874" s="124"/>
      <c r="H874" s="124"/>
      <c r="I874" s="124"/>
    </row>
    <row r="875" ht="15.75" customHeight="1">
      <c r="B875" s="334"/>
      <c r="E875" s="124"/>
      <c r="F875" s="124"/>
      <c r="G875" s="124"/>
      <c r="H875" s="124"/>
      <c r="I875" s="124"/>
    </row>
    <row r="876" ht="15.75" customHeight="1">
      <c r="B876" s="334"/>
      <c r="E876" s="124"/>
      <c r="F876" s="124"/>
      <c r="G876" s="124"/>
      <c r="H876" s="124"/>
      <c r="I876" s="124"/>
    </row>
    <row r="877" ht="15.75" customHeight="1">
      <c r="B877" s="334"/>
      <c r="E877" s="124"/>
      <c r="F877" s="124"/>
      <c r="G877" s="124"/>
      <c r="H877" s="124"/>
      <c r="I877" s="124"/>
    </row>
    <row r="878" ht="15.75" customHeight="1">
      <c r="B878" s="334"/>
      <c r="E878" s="124"/>
      <c r="F878" s="124"/>
      <c r="G878" s="124"/>
      <c r="H878" s="124"/>
      <c r="I878" s="124"/>
    </row>
    <row r="879" ht="15.75" customHeight="1">
      <c r="B879" s="334"/>
      <c r="E879" s="124"/>
      <c r="F879" s="124"/>
      <c r="G879" s="124"/>
      <c r="H879" s="124"/>
      <c r="I879" s="124"/>
    </row>
    <row r="880" ht="15.75" customHeight="1">
      <c r="B880" s="334"/>
      <c r="E880" s="124"/>
      <c r="F880" s="124"/>
      <c r="G880" s="124"/>
      <c r="H880" s="124"/>
      <c r="I880" s="124"/>
    </row>
    <row r="881" ht="15.75" customHeight="1">
      <c r="B881" s="334"/>
      <c r="E881" s="124"/>
      <c r="F881" s="124"/>
      <c r="G881" s="124"/>
      <c r="H881" s="124"/>
      <c r="I881" s="124"/>
    </row>
    <row r="882" ht="15.75" customHeight="1">
      <c r="B882" s="334"/>
      <c r="E882" s="124"/>
      <c r="F882" s="124"/>
      <c r="G882" s="124"/>
      <c r="H882" s="124"/>
      <c r="I882" s="124"/>
    </row>
    <row r="883" ht="15.75" customHeight="1">
      <c r="B883" s="334"/>
      <c r="E883" s="124"/>
      <c r="F883" s="124"/>
      <c r="G883" s="124"/>
      <c r="H883" s="124"/>
      <c r="I883" s="124"/>
    </row>
    <row r="884" ht="15.75" customHeight="1">
      <c r="B884" s="334"/>
      <c r="E884" s="124"/>
      <c r="F884" s="124"/>
      <c r="G884" s="124"/>
      <c r="H884" s="124"/>
      <c r="I884" s="124"/>
    </row>
    <row r="885" ht="15.75" customHeight="1">
      <c r="B885" s="334"/>
      <c r="E885" s="124"/>
      <c r="F885" s="124"/>
      <c r="G885" s="124"/>
      <c r="H885" s="124"/>
      <c r="I885" s="124"/>
    </row>
    <row r="886" ht="15.75" customHeight="1">
      <c r="B886" s="334"/>
      <c r="E886" s="124"/>
      <c r="F886" s="124"/>
      <c r="G886" s="124"/>
      <c r="H886" s="124"/>
      <c r="I886" s="124"/>
    </row>
    <row r="887" ht="15.75" customHeight="1">
      <c r="B887" s="334"/>
      <c r="E887" s="124"/>
      <c r="F887" s="124"/>
      <c r="G887" s="124"/>
      <c r="H887" s="124"/>
      <c r="I887" s="124"/>
    </row>
    <row r="888" ht="15.75" customHeight="1">
      <c r="B888" s="334"/>
      <c r="E888" s="124"/>
      <c r="F888" s="124"/>
      <c r="G888" s="124"/>
      <c r="H888" s="124"/>
      <c r="I888" s="124"/>
    </row>
    <row r="889" ht="15.75" customHeight="1">
      <c r="B889" s="334"/>
      <c r="E889" s="124"/>
      <c r="F889" s="124"/>
      <c r="G889" s="124"/>
      <c r="H889" s="124"/>
      <c r="I889" s="124"/>
    </row>
    <row r="890" ht="15.75" customHeight="1">
      <c r="B890" s="334"/>
      <c r="E890" s="124"/>
      <c r="F890" s="124"/>
      <c r="G890" s="124"/>
      <c r="H890" s="124"/>
      <c r="I890" s="124"/>
    </row>
    <row r="891" ht="15.75" customHeight="1">
      <c r="B891" s="334"/>
      <c r="E891" s="124"/>
      <c r="F891" s="124"/>
      <c r="G891" s="124"/>
      <c r="H891" s="124"/>
      <c r="I891" s="124"/>
    </row>
    <row r="892" ht="15.75" customHeight="1">
      <c r="B892" s="334"/>
      <c r="E892" s="124"/>
      <c r="F892" s="124"/>
      <c r="G892" s="124"/>
      <c r="H892" s="124"/>
      <c r="I892" s="124"/>
    </row>
    <row r="893" ht="15.75" customHeight="1">
      <c r="B893" s="334"/>
      <c r="E893" s="124"/>
      <c r="F893" s="124"/>
      <c r="G893" s="124"/>
      <c r="H893" s="124"/>
      <c r="I893" s="124"/>
    </row>
    <row r="894" ht="15.75" customHeight="1">
      <c r="B894" s="334"/>
      <c r="E894" s="124"/>
      <c r="F894" s="124"/>
      <c r="G894" s="124"/>
      <c r="H894" s="124"/>
      <c r="I894" s="124"/>
    </row>
    <row r="895" ht="15.75" customHeight="1">
      <c r="B895" s="334"/>
      <c r="E895" s="124"/>
      <c r="F895" s="124"/>
      <c r="G895" s="124"/>
      <c r="H895" s="124"/>
      <c r="I895" s="124"/>
    </row>
    <row r="896" ht="15.75" customHeight="1">
      <c r="B896" s="334"/>
      <c r="E896" s="124"/>
      <c r="F896" s="124"/>
      <c r="G896" s="124"/>
      <c r="H896" s="124"/>
      <c r="I896" s="124"/>
    </row>
    <row r="897" ht="15.75" customHeight="1">
      <c r="B897" s="334"/>
      <c r="E897" s="124"/>
      <c r="F897" s="124"/>
      <c r="G897" s="124"/>
      <c r="H897" s="124"/>
      <c r="I897" s="124"/>
    </row>
    <row r="898" ht="15.75" customHeight="1">
      <c r="B898" s="334"/>
      <c r="E898" s="124"/>
      <c r="F898" s="124"/>
      <c r="G898" s="124"/>
      <c r="H898" s="124"/>
      <c r="I898" s="124"/>
    </row>
    <row r="899" ht="15.75" customHeight="1">
      <c r="B899" s="334"/>
      <c r="E899" s="124"/>
      <c r="F899" s="124"/>
      <c r="G899" s="124"/>
      <c r="H899" s="124"/>
      <c r="I899" s="124"/>
    </row>
    <row r="900" ht="15.75" customHeight="1">
      <c r="B900" s="334"/>
      <c r="E900" s="124"/>
      <c r="F900" s="124"/>
      <c r="G900" s="124"/>
      <c r="H900" s="124"/>
      <c r="I900" s="124"/>
    </row>
    <row r="901" ht="15.75" customHeight="1">
      <c r="B901" s="334"/>
      <c r="E901" s="124"/>
      <c r="F901" s="124"/>
      <c r="G901" s="124"/>
      <c r="H901" s="124"/>
      <c r="I901" s="124"/>
    </row>
    <row r="902" ht="15.75" customHeight="1">
      <c r="B902" s="334"/>
      <c r="E902" s="124"/>
      <c r="F902" s="124"/>
      <c r="G902" s="124"/>
      <c r="H902" s="124"/>
      <c r="I902" s="124"/>
    </row>
    <row r="903" ht="15.75" customHeight="1">
      <c r="B903" s="334"/>
      <c r="E903" s="124"/>
      <c r="F903" s="124"/>
      <c r="G903" s="124"/>
      <c r="H903" s="124"/>
      <c r="I903" s="124"/>
    </row>
    <row r="904" ht="15.75" customHeight="1">
      <c r="B904" s="334"/>
      <c r="E904" s="124"/>
      <c r="F904" s="124"/>
      <c r="G904" s="124"/>
      <c r="H904" s="124"/>
      <c r="I904" s="124"/>
    </row>
    <row r="905" ht="15.75" customHeight="1">
      <c r="B905" s="334"/>
      <c r="E905" s="124"/>
      <c r="F905" s="124"/>
      <c r="G905" s="124"/>
      <c r="H905" s="124"/>
      <c r="I905" s="124"/>
    </row>
    <row r="906" ht="15.75" customHeight="1">
      <c r="B906" s="334"/>
      <c r="E906" s="124"/>
      <c r="F906" s="124"/>
      <c r="G906" s="124"/>
      <c r="H906" s="124"/>
      <c r="I906" s="124"/>
    </row>
    <row r="907" ht="15.75" customHeight="1">
      <c r="B907" s="334"/>
      <c r="E907" s="124"/>
      <c r="F907" s="124"/>
      <c r="G907" s="124"/>
      <c r="H907" s="124"/>
      <c r="I907" s="124"/>
    </row>
    <row r="908" ht="15.75" customHeight="1">
      <c r="B908" s="334"/>
      <c r="E908" s="124"/>
      <c r="F908" s="124"/>
      <c r="G908" s="124"/>
      <c r="H908" s="124"/>
      <c r="I908" s="124"/>
    </row>
    <row r="909" ht="15.75" customHeight="1">
      <c r="B909" s="334"/>
      <c r="E909" s="124"/>
      <c r="F909" s="124"/>
      <c r="G909" s="124"/>
      <c r="H909" s="124"/>
      <c r="I909" s="124"/>
    </row>
    <row r="910" ht="15.75" customHeight="1">
      <c r="B910" s="334"/>
      <c r="E910" s="124"/>
      <c r="F910" s="124"/>
      <c r="G910" s="124"/>
      <c r="H910" s="124"/>
      <c r="I910" s="124"/>
    </row>
    <row r="911" ht="15.75" customHeight="1">
      <c r="B911" s="334"/>
      <c r="E911" s="124"/>
      <c r="F911" s="124"/>
      <c r="G911" s="124"/>
      <c r="H911" s="124"/>
      <c r="I911" s="124"/>
    </row>
    <row r="912" ht="15.75" customHeight="1">
      <c r="B912" s="334"/>
      <c r="E912" s="124"/>
      <c r="F912" s="124"/>
      <c r="G912" s="124"/>
      <c r="H912" s="124"/>
      <c r="I912" s="124"/>
    </row>
    <row r="913" ht="15.75" customHeight="1">
      <c r="B913" s="334"/>
      <c r="E913" s="124"/>
      <c r="F913" s="124"/>
      <c r="G913" s="124"/>
      <c r="H913" s="124"/>
      <c r="I913" s="124"/>
    </row>
    <row r="914" ht="15.75" customHeight="1">
      <c r="B914" s="334"/>
      <c r="E914" s="124"/>
      <c r="F914" s="124"/>
      <c r="G914" s="124"/>
      <c r="H914" s="124"/>
      <c r="I914" s="124"/>
    </row>
    <row r="915" ht="15.75" customHeight="1">
      <c r="B915" s="334"/>
      <c r="E915" s="124"/>
      <c r="F915" s="124"/>
      <c r="G915" s="124"/>
      <c r="H915" s="124"/>
      <c r="I915" s="124"/>
    </row>
    <row r="916" ht="15.75" customHeight="1">
      <c r="B916" s="334"/>
      <c r="E916" s="124"/>
      <c r="F916" s="124"/>
      <c r="G916" s="124"/>
      <c r="H916" s="124"/>
      <c r="I916" s="124"/>
    </row>
    <row r="917" ht="15.75" customHeight="1">
      <c r="B917" s="334"/>
      <c r="E917" s="124"/>
      <c r="F917" s="124"/>
      <c r="G917" s="124"/>
      <c r="H917" s="124"/>
      <c r="I917" s="124"/>
    </row>
    <row r="918" ht="15.75" customHeight="1">
      <c r="B918" s="334"/>
      <c r="E918" s="124"/>
      <c r="F918" s="124"/>
      <c r="G918" s="124"/>
      <c r="H918" s="124"/>
      <c r="I918" s="124"/>
    </row>
    <row r="919" ht="15.75" customHeight="1">
      <c r="B919" s="334"/>
      <c r="E919" s="124"/>
      <c r="F919" s="124"/>
      <c r="G919" s="124"/>
      <c r="H919" s="124"/>
      <c r="I919" s="124"/>
    </row>
    <row r="920" ht="15.75" customHeight="1">
      <c r="B920" s="334"/>
      <c r="E920" s="124"/>
      <c r="F920" s="124"/>
      <c r="G920" s="124"/>
      <c r="H920" s="124"/>
      <c r="I920" s="124"/>
    </row>
    <row r="921" ht="15.75" customHeight="1">
      <c r="B921" s="334"/>
      <c r="E921" s="124"/>
      <c r="F921" s="124"/>
      <c r="G921" s="124"/>
      <c r="H921" s="124"/>
      <c r="I921" s="124"/>
    </row>
    <row r="922" ht="15.75" customHeight="1">
      <c r="B922" s="334"/>
      <c r="E922" s="124"/>
      <c r="F922" s="124"/>
      <c r="G922" s="124"/>
      <c r="H922" s="124"/>
      <c r="I922" s="124"/>
    </row>
    <row r="923" ht="15.75" customHeight="1">
      <c r="B923" s="334"/>
      <c r="E923" s="124"/>
      <c r="F923" s="124"/>
      <c r="G923" s="124"/>
      <c r="H923" s="124"/>
      <c r="I923" s="124"/>
    </row>
    <row r="924" ht="15.75" customHeight="1">
      <c r="B924" s="334"/>
      <c r="E924" s="124"/>
      <c r="F924" s="124"/>
      <c r="G924" s="124"/>
      <c r="H924" s="124"/>
      <c r="I924" s="124"/>
    </row>
    <row r="925" ht="15.75" customHeight="1">
      <c r="B925" s="334"/>
      <c r="E925" s="124"/>
      <c r="F925" s="124"/>
      <c r="G925" s="124"/>
      <c r="H925" s="124"/>
      <c r="I925" s="124"/>
    </row>
    <row r="926" ht="15.75" customHeight="1">
      <c r="B926" s="334"/>
      <c r="E926" s="124"/>
      <c r="F926" s="124"/>
      <c r="G926" s="124"/>
      <c r="H926" s="124"/>
      <c r="I926" s="124"/>
    </row>
    <row r="927" ht="15.75" customHeight="1">
      <c r="B927" s="334"/>
      <c r="E927" s="124"/>
      <c r="F927" s="124"/>
      <c r="G927" s="124"/>
      <c r="H927" s="124"/>
      <c r="I927" s="124"/>
    </row>
    <row r="928" ht="15.75" customHeight="1">
      <c r="B928" s="334"/>
      <c r="E928" s="124"/>
      <c r="F928" s="124"/>
      <c r="G928" s="124"/>
      <c r="H928" s="124"/>
      <c r="I928" s="124"/>
    </row>
    <row r="929" ht="15.75" customHeight="1">
      <c r="B929" s="334"/>
      <c r="E929" s="124"/>
      <c r="F929" s="124"/>
      <c r="G929" s="124"/>
      <c r="H929" s="124"/>
      <c r="I929" s="124"/>
    </row>
    <row r="930" ht="15.75" customHeight="1">
      <c r="B930" s="334"/>
      <c r="E930" s="124"/>
      <c r="F930" s="124"/>
      <c r="G930" s="124"/>
      <c r="H930" s="124"/>
      <c r="I930" s="124"/>
    </row>
    <row r="931" ht="15.75" customHeight="1">
      <c r="B931" s="334"/>
      <c r="E931" s="124"/>
      <c r="F931" s="124"/>
      <c r="G931" s="124"/>
      <c r="H931" s="124"/>
      <c r="I931" s="124"/>
    </row>
    <row r="932" ht="15.75" customHeight="1">
      <c r="B932" s="334"/>
      <c r="E932" s="124"/>
      <c r="F932" s="124"/>
      <c r="G932" s="124"/>
      <c r="H932" s="124"/>
      <c r="I932" s="124"/>
    </row>
    <row r="933" ht="15.75" customHeight="1">
      <c r="B933" s="334"/>
      <c r="E933" s="124"/>
      <c r="F933" s="124"/>
      <c r="G933" s="124"/>
      <c r="H933" s="124"/>
      <c r="I933" s="124"/>
    </row>
    <row r="934" ht="15.75" customHeight="1">
      <c r="B934" s="334"/>
      <c r="E934" s="124"/>
      <c r="F934" s="124"/>
      <c r="G934" s="124"/>
      <c r="H934" s="124"/>
      <c r="I934" s="124"/>
    </row>
    <row r="935" ht="15.75" customHeight="1">
      <c r="B935" s="334"/>
      <c r="E935" s="124"/>
      <c r="F935" s="124"/>
      <c r="G935" s="124"/>
      <c r="H935" s="124"/>
      <c r="I935" s="124"/>
    </row>
    <row r="936" ht="15.75" customHeight="1">
      <c r="B936" s="334"/>
      <c r="E936" s="124"/>
      <c r="F936" s="124"/>
      <c r="G936" s="124"/>
      <c r="H936" s="124"/>
      <c r="I936" s="124"/>
    </row>
    <row r="937" ht="15.75" customHeight="1">
      <c r="B937" s="334"/>
      <c r="E937" s="124"/>
      <c r="F937" s="124"/>
      <c r="G937" s="124"/>
      <c r="H937" s="124"/>
      <c r="I937" s="124"/>
    </row>
    <row r="938" ht="15.75" customHeight="1">
      <c r="B938" s="334"/>
      <c r="E938" s="124"/>
      <c r="F938" s="124"/>
      <c r="G938" s="124"/>
      <c r="H938" s="124"/>
      <c r="I938" s="124"/>
    </row>
    <row r="939" ht="15.75" customHeight="1">
      <c r="B939" s="334"/>
      <c r="E939" s="124"/>
      <c r="F939" s="124"/>
      <c r="G939" s="124"/>
      <c r="H939" s="124"/>
      <c r="I939" s="124"/>
    </row>
    <row r="940" ht="15.75" customHeight="1">
      <c r="B940" s="334"/>
      <c r="E940" s="124"/>
      <c r="F940" s="124"/>
      <c r="G940" s="124"/>
      <c r="H940" s="124"/>
      <c r="I940" s="124"/>
    </row>
    <row r="941" ht="15.75" customHeight="1">
      <c r="B941" s="334"/>
      <c r="E941" s="124"/>
      <c r="F941" s="124"/>
      <c r="G941" s="124"/>
      <c r="H941" s="124"/>
      <c r="I941" s="124"/>
    </row>
    <row r="942" ht="15.75" customHeight="1">
      <c r="B942" s="334"/>
      <c r="E942" s="124"/>
      <c r="F942" s="124"/>
      <c r="G942" s="124"/>
      <c r="H942" s="124"/>
      <c r="I942" s="124"/>
    </row>
    <row r="943" ht="15.75" customHeight="1">
      <c r="B943" s="334"/>
      <c r="E943" s="124"/>
      <c r="F943" s="124"/>
      <c r="G943" s="124"/>
      <c r="H943" s="124"/>
      <c r="I943" s="124"/>
    </row>
    <row r="944" ht="15.75" customHeight="1">
      <c r="B944" s="334"/>
      <c r="E944" s="124"/>
      <c r="F944" s="124"/>
      <c r="G944" s="124"/>
      <c r="H944" s="124"/>
      <c r="I944" s="124"/>
    </row>
    <row r="945" ht="15.75" customHeight="1">
      <c r="B945" s="334"/>
      <c r="E945" s="124"/>
      <c r="F945" s="124"/>
      <c r="G945" s="124"/>
      <c r="H945" s="124"/>
      <c r="I945" s="124"/>
    </row>
    <row r="946" ht="15.75" customHeight="1">
      <c r="B946" s="334"/>
      <c r="E946" s="124"/>
      <c r="F946" s="124"/>
      <c r="G946" s="124"/>
      <c r="H946" s="124"/>
      <c r="I946" s="124"/>
    </row>
    <row r="947" ht="15.75" customHeight="1">
      <c r="B947" s="334"/>
      <c r="E947" s="124"/>
      <c r="F947" s="124"/>
      <c r="G947" s="124"/>
      <c r="H947" s="124"/>
      <c r="I947" s="124"/>
    </row>
    <row r="948" ht="15.75" customHeight="1">
      <c r="B948" s="334"/>
      <c r="E948" s="124"/>
      <c r="F948" s="124"/>
      <c r="G948" s="124"/>
      <c r="H948" s="124"/>
      <c r="I948" s="124"/>
    </row>
    <row r="949" ht="15.75" customHeight="1">
      <c r="B949" s="334"/>
      <c r="E949" s="124"/>
      <c r="F949" s="124"/>
      <c r="G949" s="124"/>
      <c r="H949" s="124"/>
      <c r="I949" s="124"/>
    </row>
    <row r="950" ht="15.75" customHeight="1">
      <c r="B950" s="334"/>
      <c r="E950" s="124"/>
      <c r="F950" s="124"/>
      <c r="G950" s="124"/>
      <c r="H950" s="124"/>
      <c r="I950" s="124"/>
    </row>
    <row r="951" ht="15.75" customHeight="1">
      <c r="B951" s="334"/>
      <c r="E951" s="124"/>
      <c r="F951" s="124"/>
      <c r="G951" s="124"/>
      <c r="H951" s="124"/>
      <c r="I951" s="124"/>
    </row>
    <row r="952" ht="15.75" customHeight="1">
      <c r="B952" s="334"/>
      <c r="E952" s="124"/>
      <c r="F952" s="124"/>
      <c r="G952" s="124"/>
      <c r="H952" s="124"/>
      <c r="I952" s="124"/>
    </row>
    <row r="953" ht="15.75" customHeight="1">
      <c r="B953" s="334"/>
      <c r="E953" s="124"/>
      <c r="F953" s="124"/>
      <c r="G953" s="124"/>
      <c r="H953" s="124"/>
      <c r="I953" s="124"/>
    </row>
    <row r="954" ht="15.75" customHeight="1">
      <c r="B954" s="334"/>
      <c r="E954" s="124"/>
      <c r="F954" s="124"/>
      <c r="G954" s="124"/>
      <c r="H954" s="124"/>
      <c r="I954" s="124"/>
    </row>
    <row r="955" ht="15.75" customHeight="1">
      <c r="B955" s="334"/>
      <c r="E955" s="124"/>
      <c r="F955" s="124"/>
      <c r="G955" s="124"/>
      <c r="H955" s="124"/>
      <c r="I955" s="124"/>
    </row>
    <row r="956" ht="15.75" customHeight="1">
      <c r="B956" s="334"/>
      <c r="E956" s="124"/>
      <c r="F956" s="124"/>
      <c r="G956" s="124"/>
      <c r="H956" s="124"/>
      <c r="I956" s="124"/>
    </row>
    <row r="957" ht="15.75" customHeight="1">
      <c r="B957" s="334"/>
      <c r="E957" s="124"/>
      <c r="F957" s="124"/>
      <c r="G957" s="124"/>
      <c r="H957" s="124"/>
      <c r="I957" s="124"/>
    </row>
    <row r="958" ht="15.75" customHeight="1">
      <c r="B958" s="334"/>
      <c r="E958" s="124"/>
      <c r="F958" s="124"/>
      <c r="G958" s="124"/>
      <c r="H958" s="124"/>
      <c r="I958" s="124"/>
    </row>
    <row r="959" ht="15.75" customHeight="1">
      <c r="B959" s="334"/>
      <c r="E959" s="124"/>
      <c r="F959" s="124"/>
      <c r="G959" s="124"/>
      <c r="H959" s="124"/>
      <c r="I959" s="124"/>
    </row>
    <row r="960" ht="15.75" customHeight="1">
      <c r="B960" s="334"/>
      <c r="E960" s="124"/>
      <c r="F960" s="124"/>
      <c r="G960" s="124"/>
      <c r="H960" s="124"/>
      <c r="I960" s="124"/>
    </row>
    <row r="961" ht="15.75" customHeight="1">
      <c r="B961" s="334"/>
      <c r="E961" s="124"/>
      <c r="F961" s="124"/>
      <c r="G961" s="124"/>
      <c r="H961" s="124"/>
      <c r="I961" s="124"/>
    </row>
    <row r="962" ht="15.75" customHeight="1">
      <c r="B962" s="334"/>
      <c r="E962" s="124"/>
      <c r="F962" s="124"/>
      <c r="G962" s="124"/>
      <c r="H962" s="124"/>
      <c r="I962" s="124"/>
    </row>
    <row r="963" ht="15.75" customHeight="1">
      <c r="B963" s="334"/>
      <c r="E963" s="124"/>
      <c r="F963" s="124"/>
      <c r="G963" s="124"/>
      <c r="H963" s="124"/>
      <c r="I963" s="124"/>
    </row>
    <row r="964" ht="15.75" customHeight="1">
      <c r="B964" s="334"/>
      <c r="E964" s="124"/>
      <c r="F964" s="124"/>
      <c r="G964" s="124"/>
      <c r="H964" s="124"/>
      <c r="I964" s="124"/>
    </row>
    <row r="965" ht="15.75" customHeight="1">
      <c r="B965" s="334"/>
      <c r="E965" s="124"/>
      <c r="F965" s="124"/>
      <c r="G965" s="124"/>
      <c r="H965" s="124"/>
      <c r="I965" s="124"/>
    </row>
    <row r="966" ht="15.75" customHeight="1">
      <c r="B966" s="334"/>
      <c r="E966" s="124"/>
      <c r="F966" s="124"/>
      <c r="G966" s="124"/>
      <c r="H966" s="124"/>
      <c r="I966" s="124"/>
    </row>
    <row r="967" ht="15.75" customHeight="1">
      <c r="B967" s="334"/>
      <c r="E967" s="124"/>
      <c r="F967" s="124"/>
      <c r="G967" s="124"/>
      <c r="H967" s="124"/>
      <c r="I967" s="124"/>
    </row>
    <row r="968" ht="15.75" customHeight="1">
      <c r="B968" s="334"/>
      <c r="E968" s="124"/>
      <c r="F968" s="124"/>
      <c r="G968" s="124"/>
      <c r="H968" s="124"/>
      <c r="I968" s="124"/>
    </row>
    <row r="969" ht="15.75" customHeight="1">
      <c r="B969" s="334"/>
      <c r="E969" s="124"/>
      <c r="F969" s="124"/>
      <c r="G969" s="124"/>
      <c r="H969" s="124"/>
      <c r="I969" s="124"/>
    </row>
    <row r="970" ht="15.75" customHeight="1">
      <c r="B970" s="334"/>
      <c r="E970" s="124"/>
      <c r="F970" s="124"/>
      <c r="G970" s="124"/>
      <c r="H970" s="124"/>
      <c r="I970" s="124"/>
    </row>
    <row r="971" ht="15.75" customHeight="1">
      <c r="B971" s="334"/>
      <c r="E971" s="124"/>
      <c r="F971" s="124"/>
      <c r="G971" s="124"/>
      <c r="H971" s="124"/>
      <c r="I971" s="124"/>
    </row>
    <row r="972" ht="15.75" customHeight="1">
      <c r="B972" s="334"/>
      <c r="E972" s="124"/>
      <c r="F972" s="124"/>
      <c r="G972" s="124"/>
      <c r="H972" s="124"/>
      <c r="I972" s="124"/>
    </row>
    <row r="973" ht="15.75" customHeight="1">
      <c r="B973" s="334"/>
      <c r="E973" s="124"/>
      <c r="F973" s="124"/>
      <c r="G973" s="124"/>
      <c r="H973" s="124"/>
      <c r="I973" s="124"/>
    </row>
    <row r="974" ht="15.75" customHeight="1">
      <c r="B974" s="334"/>
      <c r="E974" s="124"/>
      <c r="F974" s="124"/>
      <c r="G974" s="124"/>
      <c r="H974" s="124"/>
      <c r="I974" s="124"/>
    </row>
    <row r="975" ht="15.75" customHeight="1">
      <c r="B975" s="334"/>
      <c r="E975" s="124"/>
      <c r="F975" s="124"/>
      <c r="G975" s="124"/>
      <c r="H975" s="124"/>
      <c r="I975" s="124"/>
    </row>
    <row r="976" ht="15.75" customHeight="1">
      <c r="B976" s="334"/>
      <c r="E976" s="124"/>
      <c r="F976" s="124"/>
      <c r="G976" s="124"/>
      <c r="H976" s="124"/>
      <c r="I976" s="124"/>
    </row>
    <row r="977" ht="15.75" customHeight="1">
      <c r="B977" s="334"/>
      <c r="E977" s="124"/>
      <c r="F977" s="124"/>
      <c r="G977" s="124"/>
      <c r="H977" s="124"/>
      <c r="I977" s="124"/>
    </row>
    <row r="978" ht="15.75" customHeight="1">
      <c r="B978" s="334"/>
      <c r="E978" s="124"/>
      <c r="F978" s="124"/>
      <c r="G978" s="124"/>
      <c r="H978" s="124"/>
      <c r="I978" s="124"/>
    </row>
    <row r="979" ht="15.75" customHeight="1">
      <c r="B979" s="334"/>
      <c r="E979" s="124"/>
      <c r="F979" s="124"/>
      <c r="G979" s="124"/>
      <c r="H979" s="124"/>
      <c r="I979" s="124"/>
    </row>
    <row r="980" ht="15.75" customHeight="1">
      <c r="B980" s="334"/>
      <c r="E980" s="124"/>
      <c r="F980" s="124"/>
      <c r="G980" s="124"/>
      <c r="H980" s="124"/>
      <c r="I980" s="124"/>
    </row>
    <row r="981" ht="15.75" customHeight="1">
      <c r="B981" s="334"/>
      <c r="E981" s="124"/>
      <c r="F981" s="124"/>
      <c r="G981" s="124"/>
      <c r="H981" s="124"/>
      <c r="I981" s="124"/>
    </row>
    <row r="982" ht="15.75" customHeight="1">
      <c r="B982" s="334"/>
      <c r="E982" s="124"/>
      <c r="F982" s="124"/>
      <c r="G982" s="124"/>
      <c r="H982" s="124"/>
      <c r="I982" s="124"/>
    </row>
    <row r="983" ht="15.75" customHeight="1">
      <c r="B983" s="334"/>
      <c r="E983" s="124"/>
      <c r="F983" s="124"/>
      <c r="G983" s="124"/>
      <c r="H983" s="124"/>
      <c r="I983" s="124"/>
    </row>
    <row r="984" ht="15.75" customHeight="1">
      <c r="B984" s="334"/>
      <c r="E984" s="124"/>
      <c r="F984" s="124"/>
      <c r="G984" s="124"/>
      <c r="H984" s="124"/>
      <c r="I984" s="124"/>
    </row>
    <row r="985" ht="15.75" customHeight="1">
      <c r="B985" s="334"/>
      <c r="E985" s="124"/>
      <c r="F985" s="124"/>
      <c r="G985" s="124"/>
      <c r="H985" s="124"/>
      <c r="I985" s="124"/>
    </row>
    <row r="986" ht="15.75" customHeight="1">
      <c r="B986" s="334"/>
      <c r="E986" s="124"/>
      <c r="F986" s="124"/>
      <c r="G986" s="124"/>
      <c r="H986" s="124"/>
      <c r="I986" s="124"/>
    </row>
    <row r="987" ht="15.75" customHeight="1">
      <c r="B987" s="334"/>
      <c r="E987" s="124"/>
      <c r="F987" s="124"/>
      <c r="G987" s="124"/>
      <c r="H987" s="124"/>
      <c r="I987" s="124"/>
    </row>
    <row r="988" ht="15.75" customHeight="1">
      <c r="B988" s="334"/>
      <c r="E988" s="124"/>
      <c r="F988" s="124"/>
      <c r="G988" s="124"/>
      <c r="H988" s="124"/>
      <c r="I988" s="124"/>
    </row>
    <row r="989" ht="15.75" customHeight="1">
      <c r="B989" s="334"/>
      <c r="E989" s="124"/>
      <c r="F989" s="124"/>
      <c r="G989" s="124"/>
      <c r="H989" s="124"/>
      <c r="I989" s="124"/>
    </row>
    <row r="990" ht="15.75" customHeight="1">
      <c r="B990" s="334"/>
      <c r="E990" s="124"/>
      <c r="F990" s="124"/>
      <c r="G990" s="124"/>
      <c r="H990" s="124"/>
      <c r="I990" s="124"/>
    </row>
    <row r="991" ht="15.75" customHeight="1">
      <c r="B991" s="334"/>
      <c r="E991" s="124"/>
      <c r="F991" s="124"/>
      <c r="G991" s="124"/>
      <c r="H991" s="124"/>
      <c r="I991" s="124"/>
    </row>
    <row r="992" ht="15.75" customHeight="1">
      <c r="B992" s="334"/>
      <c r="E992" s="124"/>
      <c r="F992" s="124"/>
      <c r="G992" s="124"/>
      <c r="H992" s="124"/>
      <c r="I992" s="124"/>
    </row>
    <row r="993" ht="15.75" customHeight="1">
      <c r="B993" s="334"/>
      <c r="E993" s="124"/>
      <c r="F993" s="124"/>
      <c r="G993" s="124"/>
      <c r="H993" s="124"/>
      <c r="I993" s="124"/>
    </row>
    <row r="994" ht="15.75" customHeight="1">
      <c r="B994" s="334"/>
      <c r="E994" s="124"/>
      <c r="F994" s="124"/>
      <c r="G994" s="124"/>
      <c r="H994" s="124"/>
      <c r="I994" s="124"/>
    </row>
    <row r="995" ht="15.75" customHeight="1">
      <c r="B995" s="334"/>
      <c r="E995" s="124"/>
      <c r="F995" s="124"/>
      <c r="G995" s="124"/>
      <c r="H995" s="124"/>
      <c r="I995" s="124"/>
    </row>
    <row r="996" ht="15.75" customHeight="1">
      <c r="B996" s="334"/>
      <c r="E996" s="124"/>
      <c r="F996" s="124"/>
      <c r="G996" s="124"/>
      <c r="H996" s="124"/>
      <c r="I996" s="124"/>
    </row>
    <row r="997" ht="15.75" customHeight="1">
      <c r="B997" s="334"/>
      <c r="E997" s="124"/>
      <c r="F997" s="124"/>
      <c r="G997" s="124"/>
      <c r="H997" s="124"/>
      <c r="I997" s="124"/>
    </row>
    <row r="998" ht="15.75" customHeight="1">
      <c r="B998" s="334"/>
      <c r="E998" s="124"/>
      <c r="F998" s="124"/>
      <c r="G998" s="124"/>
      <c r="H998" s="124"/>
      <c r="I998" s="124"/>
    </row>
    <row r="999" ht="15.75" customHeight="1">
      <c r="B999" s="334"/>
      <c r="E999" s="124"/>
      <c r="F999" s="124"/>
      <c r="G999" s="124"/>
      <c r="H999" s="124"/>
      <c r="I999" s="124"/>
    </row>
    <row r="1000" ht="15.75" customHeight="1">
      <c r="B1000" s="334"/>
      <c r="E1000" s="124"/>
      <c r="F1000" s="124"/>
      <c r="G1000" s="124"/>
      <c r="H1000" s="124"/>
      <c r="I1000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56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78"/>
    <col customWidth="1" min="2" max="2" width="11.89"/>
    <col customWidth="1" min="3" max="4" width="9.11"/>
    <col customWidth="1" min="5" max="5" width="16.44"/>
    <col customWidth="1" min="6" max="6" width="11.33"/>
    <col customWidth="1" min="7" max="7" width="10.78"/>
    <col customWidth="1" min="8" max="8" width="15.44"/>
    <col customWidth="1" min="9" max="9" width="12.22"/>
    <col customWidth="1" min="10" max="10" width="14.44"/>
    <col customWidth="1" min="11" max="11" width="17.11"/>
    <col customWidth="1" min="12" max="12" width="13.22"/>
    <col customWidth="1" min="13" max="13" width="17.67"/>
    <col customWidth="1" min="14" max="26" width="8.56"/>
  </cols>
  <sheetData>
    <row r="1" ht="15.75" customHeight="1">
      <c r="A1" s="179" t="s">
        <v>101</v>
      </c>
    </row>
    <row r="2" ht="15.75" customHeight="1">
      <c r="A2" s="180" t="s">
        <v>64</v>
      </c>
      <c r="B2" s="318"/>
      <c r="E2" s="182"/>
      <c r="F2" s="182"/>
      <c r="G2" s="182"/>
      <c r="H2" s="182"/>
      <c r="I2" s="184"/>
      <c r="J2" s="184"/>
      <c r="K2" s="342" t="s">
        <v>65</v>
      </c>
    </row>
    <row r="3" ht="15.75" customHeight="1">
      <c r="A3" s="260" t="s">
        <v>2</v>
      </c>
      <c r="B3" s="319" t="s">
        <v>23</v>
      </c>
      <c r="C3" s="188" t="s">
        <v>66</v>
      </c>
      <c r="D3" s="133"/>
      <c r="E3" s="189"/>
      <c r="F3" s="190" t="s">
        <v>67</v>
      </c>
      <c r="G3" s="133"/>
      <c r="H3" s="189"/>
      <c r="I3" s="191" t="s">
        <v>68</v>
      </c>
      <c r="J3" s="133"/>
      <c r="K3" s="189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</row>
    <row r="4" ht="15.75" customHeight="1">
      <c r="A4" s="95"/>
      <c r="B4" s="95"/>
      <c r="C4" s="193" t="s">
        <v>69</v>
      </c>
      <c r="D4" s="193" t="s">
        <v>70</v>
      </c>
      <c r="E4" s="194" t="s">
        <v>71</v>
      </c>
      <c r="F4" s="196" t="s">
        <v>69</v>
      </c>
      <c r="G4" s="196" t="s">
        <v>70</v>
      </c>
      <c r="H4" s="196" t="s">
        <v>71</v>
      </c>
      <c r="I4" s="197" t="s">
        <v>69</v>
      </c>
      <c r="J4" s="197" t="s">
        <v>70</v>
      </c>
      <c r="K4" s="197" t="s">
        <v>71</v>
      </c>
      <c r="L4" s="183"/>
      <c r="M4" s="183"/>
      <c r="N4" s="183"/>
      <c r="O4" s="183"/>
      <c r="P4" s="183"/>
      <c r="Q4" s="183"/>
      <c r="R4" s="183"/>
      <c r="S4" s="183"/>
      <c r="T4" s="183"/>
      <c r="U4" s="183"/>
      <c r="V4" s="183"/>
      <c r="W4" s="183"/>
      <c r="X4" s="183"/>
      <c r="Y4" s="183"/>
      <c r="Z4" s="183"/>
    </row>
    <row r="5" ht="15.75" customHeight="1">
      <c r="A5" s="199">
        <v>1.0</v>
      </c>
      <c r="B5" s="126">
        <f>'Yakin Pasifik Tuna'!B5</f>
        <v>45137</v>
      </c>
      <c r="C5" s="320">
        <f>SUM('Yakin Pasifik Tuna'!E5:G5)+'Yakin Pasifik Tuna'!K5</f>
        <v>5015</v>
      </c>
      <c r="D5" s="237">
        <f>'Yakin Pasifik Tuna'!V5</f>
        <v>16442.54944</v>
      </c>
      <c r="E5" s="239">
        <f t="shared" ref="E5:E8" si="2">D5*C5</f>
        <v>82459385.45</v>
      </c>
      <c r="F5" s="239"/>
      <c r="G5" s="239"/>
      <c r="H5" s="239"/>
      <c r="I5" s="245">
        <f t="shared" ref="I5:J5" si="1">C5</f>
        <v>5015</v>
      </c>
      <c r="J5" s="239">
        <f t="shared" si="1"/>
        <v>16442.54944</v>
      </c>
      <c r="K5" s="245">
        <f>I5*J5</f>
        <v>82459385.45</v>
      </c>
      <c r="L5" s="183"/>
      <c r="M5" s="207" t="str">
        <f>K6+#REF!</f>
        <v>#REF!</v>
      </c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</row>
    <row r="6" ht="15.75" customHeight="1">
      <c r="A6" s="199">
        <v>2.0</v>
      </c>
      <c r="B6" s="126">
        <f>'Yakin Pasifik Tuna'!B6</f>
        <v>45138</v>
      </c>
      <c r="C6" s="320">
        <f>SUM('Yakin Pasifik Tuna'!E6:G6)+'Yakin Pasifik Tuna'!K6</f>
        <v>9613</v>
      </c>
      <c r="D6" s="237">
        <f>'Yakin Pasifik Tuna'!V6</f>
        <v>16137.87264</v>
      </c>
      <c r="E6" s="239">
        <f t="shared" si="2"/>
        <v>155133369.7</v>
      </c>
      <c r="F6" s="239"/>
      <c r="G6" s="239"/>
      <c r="H6" s="239"/>
      <c r="I6" s="245">
        <f t="shared" ref="I6:I8" si="3">I5+C6</f>
        <v>14628</v>
      </c>
      <c r="J6" s="245">
        <f t="shared" ref="J6:J8" si="4">K6/I6</f>
        <v>16242.32671</v>
      </c>
      <c r="K6" s="245">
        <f t="shared" ref="K6:K8" si="5">K5+E6</f>
        <v>237592755.1</v>
      </c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</row>
    <row r="7" ht="15.75" customHeight="1">
      <c r="A7" s="199">
        <v>3.0</v>
      </c>
      <c r="B7" s="126">
        <f>'Yakin Pasifik Tuna'!B7</f>
        <v>45139</v>
      </c>
      <c r="C7" s="320">
        <f>SUM('Yakin Pasifik Tuna'!E7:G7)+'Yakin Pasifik Tuna'!K7</f>
        <v>1784</v>
      </c>
      <c r="D7" s="237">
        <f>'Yakin Pasifik Tuna'!V7</f>
        <v>16444.96644</v>
      </c>
      <c r="E7" s="239">
        <f t="shared" si="2"/>
        <v>29337820.13</v>
      </c>
      <c r="F7" s="239"/>
      <c r="G7" s="239"/>
      <c r="H7" s="239"/>
      <c r="I7" s="245">
        <f t="shared" si="3"/>
        <v>16412</v>
      </c>
      <c r="J7" s="245">
        <f t="shared" si="4"/>
        <v>16264.35384</v>
      </c>
      <c r="K7" s="245">
        <f t="shared" si="5"/>
        <v>266930575.3</v>
      </c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</row>
    <row r="8" ht="15.75" customHeight="1">
      <c r="A8" s="199">
        <v>4.0</v>
      </c>
      <c r="B8" s="126">
        <f>'Yakin Pasifik Tuna'!B8</f>
        <v>45149</v>
      </c>
      <c r="C8" s="320">
        <f>SUM('Yakin Pasifik Tuna'!E8:G8)+'Yakin Pasifik Tuna'!K8</f>
        <v>4803</v>
      </c>
      <c r="D8" s="237">
        <f>'Yakin Pasifik Tuna'!V8</f>
        <v>16325.95761</v>
      </c>
      <c r="E8" s="239">
        <f t="shared" si="2"/>
        <v>78413574.4</v>
      </c>
      <c r="F8" s="239"/>
      <c r="G8" s="239"/>
      <c r="H8" s="239"/>
      <c r="I8" s="245">
        <f t="shared" si="3"/>
        <v>21215</v>
      </c>
      <c r="J8" s="245">
        <f t="shared" si="4"/>
        <v>16278.30071</v>
      </c>
      <c r="K8" s="245">
        <f t="shared" si="5"/>
        <v>345344149.7</v>
      </c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</row>
    <row r="9" ht="15.75" customHeight="1">
      <c r="A9" s="199">
        <v>5.0</v>
      </c>
      <c r="B9" s="209">
        <v>45154.0</v>
      </c>
      <c r="C9" s="321"/>
      <c r="D9" s="240"/>
      <c r="E9" s="240"/>
      <c r="F9" s="240">
        <v>19059.5</v>
      </c>
      <c r="G9" s="240">
        <f>J8</f>
        <v>16278.30071</v>
      </c>
      <c r="H9" s="240">
        <f>F9*G9</f>
        <v>310256272.5</v>
      </c>
      <c r="I9" s="242">
        <f>I8-F9</f>
        <v>2155.5</v>
      </c>
      <c r="J9" s="242">
        <f>J8</f>
        <v>16278.30071</v>
      </c>
      <c r="K9" s="242">
        <f>K8-H9</f>
        <v>35087877.19</v>
      </c>
      <c r="L9" s="322"/>
      <c r="M9" s="323">
        <v>2.477735E8</v>
      </c>
      <c r="N9" s="322"/>
      <c r="O9" s="322"/>
      <c r="P9" s="322"/>
      <c r="Q9" s="322"/>
      <c r="R9" s="322"/>
      <c r="S9" s="322"/>
      <c r="T9" s="322"/>
      <c r="U9" s="322"/>
      <c r="V9" s="322"/>
      <c r="W9" s="322"/>
      <c r="X9" s="322"/>
      <c r="Y9" s="322"/>
      <c r="Z9" s="322"/>
    </row>
    <row r="10" ht="15.75" customHeight="1">
      <c r="A10" s="199">
        <v>6.0</v>
      </c>
      <c r="B10" s="200">
        <f>'Yakin Pasifik Tuna'!B9</f>
        <v>45165</v>
      </c>
      <c r="C10" s="320">
        <f>SUM('Yakin Pasifik Tuna'!E9:G9)+'Yakin Pasifik Tuna'!K9</f>
        <v>3462</v>
      </c>
      <c r="D10" s="239">
        <f>'Yakin Pasifik Tuna'!V9</f>
        <v>16442.79048</v>
      </c>
      <c r="E10" s="239">
        <f t="shared" ref="E10:E11" si="6">D10*C10</f>
        <v>56924940.64</v>
      </c>
      <c r="F10" s="239"/>
      <c r="G10" s="239"/>
      <c r="H10" s="239"/>
      <c r="I10" s="245">
        <f t="shared" ref="I10:I16" si="7">I9+C10</f>
        <v>5617.5</v>
      </c>
      <c r="J10" s="245">
        <f t="shared" ref="J10:J45" si="8">K10/I10</f>
        <v>16379.67385</v>
      </c>
      <c r="K10" s="245">
        <f t="shared" ref="K10:K16" si="9">K9+E10</f>
        <v>92012817.84</v>
      </c>
      <c r="L10" s="183"/>
      <c r="M10" s="182" t="str">
        <f>M9+'[3]Persediaan &amp; HPP Cakalang PP'!L8</f>
        <v>#REF!</v>
      </c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</row>
    <row r="11" ht="15.75" customHeight="1">
      <c r="A11" s="199">
        <v>7.0</v>
      </c>
      <c r="B11" s="200">
        <f>'Yakin Pasifik Tuna'!B10</f>
        <v>45167</v>
      </c>
      <c r="C11" s="320">
        <f>SUM('Yakin Pasifik Tuna'!E10:G10)+'Yakin Pasifik Tuna'!K10</f>
        <v>495</v>
      </c>
      <c r="D11" s="239">
        <f>'Yakin Pasifik Tuna'!V10</f>
        <v>16441.59292</v>
      </c>
      <c r="E11" s="239">
        <f t="shared" si="6"/>
        <v>8138588.496</v>
      </c>
      <c r="F11" s="239"/>
      <c r="G11" s="239"/>
      <c r="H11" s="239"/>
      <c r="I11" s="245">
        <f t="shared" si="7"/>
        <v>6112.5</v>
      </c>
      <c r="J11" s="245">
        <f t="shared" si="8"/>
        <v>16384.68815</v>
      </c>
      <c r="K11" s="245">
        <f t="shared" si="9"/>
        <v>100151406.3</v>
      </c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</row>
    <row r="12" ht="15.75" customHeight="1">
      <c r="A12" s="199">
        <v>8.0</v>
      </c>
      <c r="B12" s="200">
        <f>'Yakin Pasifik Tuna'!B11</f>
        <v>45169</v>
      </c>
      <c r="C12" s="320">
        <f>SUM('Yakin Pasifik Tuna'!E11:G11)+'Yakin Pasifik Tuna'!K11</f>
        <v>1774</v>
      </c>
      <c r="D12" s="239">
        <f>'Yakin Pasifik Tuna'!V11</f>
        <v>16501.26716</v>
      </c>
      <c r="E12" s="239">
        <f t="shared" ref="E12:E16" si="10">C12*D12</f>
        <v>29273247.94</v>
      </c>
      <c r="F12" s="239"/>
      <c r="G12" s="239"/>
      <c r="H12" s="239"/>
      <c r="I12" s="245">
        <f t="shared" si="7"/>
        <v>7886.5</v>
      </c>
      <c r="J12" s="245">
        <f t="shared" si="8"/>
        <v>16410.91159</v>
      </c>
      <c r="K12" s="245">
        <f t="shared" si="9"/>
        <v>129424654.3</v>
      </c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</row>
    <row r="13" ht="15.75" customHeight="1">
      <c r="A13" s="199">
        <v>9.0</v>
      </c>
      <c r="B13" s="325">
        <f>'Yakin Pasifik Tuna'!B14</f>
        <v>45170</v>
      </c>
      <c r="C13" s="320">
        <f>SUM('Yakin Pasifik Tuna'!D14:G14)</f>
        <v>6597</v>
      </c>
      <c r="D13" s="237">
        <f>'Yakin Pasifik Tuna'!V14</f>
        <v>16522.8217</v>
      </c>
      <c r="E13" s="239">
        <f t="shared" si="10"/>
        <v>109001054.8</v>
      </c>
      <c r="F13" s="239"/>
      <c r="G13" s="239"/>
      <c r="H13" s="239"/>
      <c r="I13" s="245">
        <f t="shared" si="7"/>
        <v>14483.5</v>
      </c>
      <c r="J13" s="245">
        <f t="shared" si="8"/>
        <v>16461.88484</v>
      </c>
      <c r="K13" s="245">
        <f t="shared" si="9"/>
        <v>238425709</v>
      </c>
    </row>
    <row r="14" ht="15.75" customHeight="1">
      <c r="A14" s="199">
        <v>10.0</v>
      </c>
      <c r="B14" s="325">
        <f>'Yakin Pasifik Tuna'!B15</f>
        <v>45171</v>
      </c>
      <c r="C14" s="320">
        <f>SUM('Yakin Pasifik Tuna'!D15:G15)</f>
        <v>2467</v>
      </c>
      <c r="D14" s="237">
        <f>'Yakin Pasifik Tuna'!V15</f>
        <v>16442.8081</v>
      </c>
      <c r="E14" s="239">
        <f t="shared" si="10"/>
        <v>40564407.59</v>
      </c>
      <c r="F14" s="237"/>
      <c r="G14" s="237"/>
      <c r="H14" s="237"/>
      <c r="I14" s="245">
        <f t="shared" si="7"/>
        <v>16950.5</v>
      </c>
      <c r="J14" s="245">
        <f t="shared" si="8"/>
        <v>16459.10838</v>
      </c>
      <c r="K14" s="245">
        <f t="shared" si="9"/>
        <v>278990116.6</v>
      </c>
    </row>
    <row r="15" ht="15.75" customHeight="1">
      <c r="A15" s="199">
        <v>11.0</v>
      </c>
      <c r="B15" s="325">
        <f>'Yakin Pasifik Tuna'!B16</f>
        <v>45172</v>
      </c>
      <c r="C15" s="320">
        <f>SUM('Yakin Pasifik Tuna'!D16:G16)</f>
        <v>235</v>
      </c>
      <c r="D15" s="237">
        <f>'Yakin Pasifik Tuna'!V16</f>
        <v>16444.92754</v>
      </c>
      <c r="E15" s="239">
        <f t="shared" si="10"/>
        <v>3864557.971</v>
      </c>
      <c r="F15" s="237"/>
      <c r="G15" s="237"/>
      <c r="H15" s="237"/>
      <c r="I15" s="245">
        <f t="shared" si="7"/>
        <v>17185.5</v>
      </c>
      <c r="J15" s="245">
        <f t="shared" si="8"/>
        <v>16458.91447</v>
      </c>
      <c r="K15" s="245">
        <f t="shared" si="9"/>
        <v>282854674.6</v>
      </c>
    </row>
    <row r="16" ht="15.75" customHeight="1">
      <c r="A16" s="199">
        <v>12.0</v>
      </c>
      <c r="B16" s="325">
        <f>'Yakin Pasifik Tuna'!B17</f>
        <v>45173</v>
      </c>
      <c r="C16" s="320">
        <f>SUM('Yakin Pasifik Tuna'!D17:G17)</f>
        <v>3751</v>
      </c>
      <c r="D16" s="237">
        <f>'Yakin Pasifik Tuna'!V17</f>
        <v>16500.48663</v>
      </c>
      <c r="E16" s="239">
        <f t="shared" si="10"/>
        <v>61893325.34</v>
      </c>
      <c r="F16" s="237"/>
      <c r="G16" s="237"/>
      <c r="H16" s="237"/>
      <c r="I16" s="245">
        <f t="shared" si="7"/>
        <v>20936.5</v>
      </c>
      <c r="J16" s="245">
        <f t="shared" si="8"/>
        <v>16466.36257</v>
      </c>
      <c r="K16" s="245">
        <f t="shared" si="9"/>
        <v>344747999.9</v>
      </c>
    </row>
    <row r="17" ht="15.75" customHeight="1">
      <c r="A17" s="199">
        <v>13.0</v>
      </c>
      <c r="B17" s="326">
        <v>45178.0</v>
      </c>
      <c r="C17" s="228"/>
      <c r="D17" s="228"/>
      <c r="E17" s="248"/>
      <c r="F17" s="248">
        <v>16720.0</v>
      </c>
      <c r="G17" s="248">
        <f t="shared" ref="G17:G18" si="11">J16</f>
        <v>16466.36257</v>
      </c>
      <c r="H17" s="240">
        <f t="shared" ref="H17:H18" si="12">F17*G17</f>
        <v>275317582.1</v>
      </c>
      <c r="I17" s="242">
        <f t="shared" ref="I17:I18" si="13">I16-F17</f>
        <v>4216.5</v>
      </c>
      <c r="J17" s="248">
        <f t="shared" si="8"/>
        <v>16466.36257</v>
      </c>
      <c r="K17" s="248">
        <f t="shared" ref="K17:K18" si="14">K16-H17</f>
        <v>69430417.77</v>
      </c>
      <c r="L17" s="220">
        <f>H17+'Persediaan &amp; HPP Ca PP YPT '!H17</f>
        <v>307905249.9</v>
      </c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</row>
    <row r="18" ht="15.75" customHeight="1">
      <c r="A18" s="199">
        <v>14.0</v>
      </c>
      <c r="B18" s="326">
        <v>45191.0</v>
      </c>
      <c r="C18" s="228"/>
      <c r="D18" s="228"/>
      <c r="E18" s="248"/>
      <c r="F18" s="248">
        <v>3775.8</v>
      </c>
      <c r="G18" s="248">
        <f t="shared" si="11"/>
        <v>16466.36257</v>
      </c>
      <c r="H18" s="240">
        <f t="shared" si="12"/>
        <v>62173691.79</v>
      </c>
      <c r="I18" s="242">
        <f t="shared" si="13"/>
        <v>440.7</v>
      </c>
      <c r="J18" s="248">
        <f t="shared" si="8"/>
        <v>16466.36257</v>
      </c>
      <c r="K18" s="248">
        <f t="shared" si="14"/>
        <v>7256725.984</v>
      </c>
      <c r="L18" s="220">
        <f>H18+'Persediaan &amp; HPP Ca PP YPT '!H18</f>
        <v>74309464.6</v>
      </c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</row>
    <row r="19" ht="15.75" customHeight="1">
      <c r="A19" s="199">
        <v>15.0</v>
      </c>
      <c r="B19" s="325">
        <f>'Yakin Pasifik Tuna'!B18</f>
        <v>45195</v>
      </c>
      <c r="C19" s="237">
        <f>SUM('Yakin Pasifik Tuna'!D18:G18)</f>
        <v>818</v>
      </c>
      <c r="D19" s="237">
        <f>'Yakin Pasifik Tuna'!V18</f>
        <v>16442.71357</v>
      </c>
      <c r="E19" s="237">
        <f t="shared" ref="E19:E30" si="15">C19*D19</f>
        <v>13450139.7</v>
      </c>
      <c r="F19" s="237"/>
      <c r="G19" s="237"/>
      <c r="H19" s="237"/>
      <c r="I19" s="335">
        <f t="shared" ref="I19:I30" si="16">I18+C19</f>
        <v>1258.7</v>
      </c>
      <c r="J19" s="237">
        <f t="shared" si="8"/>
        <v>16450.99363</v>
      </c>
      <c r="K19" s="237">
        <f t="shared" ref="K19:K30" si="17">K18+E19</f>
        <v>20706865.68</v>
      </c>
    </row>
    <row r="20" ht="15.75" customHeight="1">
      <c r="A20" s="199">
        <v>16.0</v>
      </c>
      <c r="B20" s="325">
        <f>'Yakin Pasifik Tuna'!B19</f>
        <v>45197</v>
      </c>
      <c r="C20" s="237">
        <f>SUM('Yakin Pasifik Tuna'!D19:G19)</f>
        <v>1309</v>
      </c>
      <c r="D20" s="237">
        <f>'Yakin Pasifik Tuna'!V19</f>
        <v>16442.11886</v>
      </c>
      <c r="E20" s="237">
        <f t="shared" si="15"/>
        <v>21522733.59</v>
      </c>
      <c r="F20" s="237"/>
      <c r="G20" s="237"/>
      <c r="H20" s="237"/>
      <c r="I20" s="335">
        <f t="shared" si="16"/>
        <v>2567.7</v>
      </c>
      <c r="J20" s="237">
        <f t="shared" si="8"/>
        <v>16446.46932</v>
      </c>
      <c r="K20" s="237">
        <f t="shared" si="17"/>
        <v>42229599.27</v>
      </c>
    </row>
    <row r="21" ht="15.75" customHeight="1">
      <c r="A21" s="199">
        <v>17.0</v>
      </c>
      <c r="B21" s="325">
        <f>'Yakin Pasifik Tuna'!B20</f>
        <v>45199</v>
      </c>
      <c r="C21" s="237">
        <f>SUM('Yakin Pasifik Tuna'!D20:G20)</f>
        <v>2250</v>
      </c>
      <c r="D21" s="237">
        <f>'Yakin Pasifik Tuna'!V20</f>
        <v>16443.16305</v>
      </c>
      <c r="E21" s="237">
        <f t="shared" si="15"/>
        <v>36997116.86</v>
      </c>
      <c r="F21" s="237"/>
      <c r="G21" s="237"/>
      <c r="H21" s="237"/>
      <c r="I21" s="335">
        <f t="shared" si="16"/>
        <v>4817.7</v>
      </c>
      <c r="J21" s="237">
        <f t="shared" si="8"/>
        <v>16444.9252</v>
      </c>
      <c r="K21" s="237">
        <f t="shared" si="17"/>
        <v>79226716.13</v>
      </c>
      <c r="L21" s="124">
        <f>SUM(H17:H18)</f>
        <v>337491273.9</v>
      </c>
    </row>
    <row r="22" ht="15.75" customHeight="1">
      <c r="A22" s="199">
        <v>18.0</v>
      </c>
      <c r="B22" s="126">
        <v>45200.0</v>
      </c>
      <c r="C22" s="237">
        <f>SUM('Yakin Pasifik Tuna'!D23:G23)</f>
        <v>855</v>
      </c>
      <c r="D22" s="237">
        <f>'Yakin Pasifik Tuna'!V23</f>
        <v>16441.53328</v>
      </c>
      <c r="E22" s="237">
        <f t="shared" si="15"/>
        <v>14057510.95</v>
      </c>
      <c r="F22" s="237"/>
      <c r="G22" s="237"/>
      <c r="H22" s="237"/>
      <c r="I22" s="335">
        <f t="shared" si="16"/>
        <v>5672.7</v>
      </c>
      <c r="J22" s="237">
        <f t="shared" si="8"/>
        <v>16444.41396</v>
      </c>
      <c r="K22" s="237">
        <f t="shared" si="17"/>
        <v>93284227.08</v>
      </c>
    </row>
    <row r="23" ht="15.75" customHeight="1">
      <c r="A23" s="199">
        <v>19.0</v>
      </c>
      <c r="B23" s="126">
        <v>45202.0</v>
      </c>
      <c r="C23" s="237">
        <f>SUM('Yakin Pasifik Tuna'!D24:G24)</f>
        <v>4470</v>
      </c>
      <c r="D23" s="237">
        <f>'Yakin Pasifik Tuna'!V24</f>
        <v>16442.18972</v>
      </c>
      <c r="E23" s="237">
        <f t="shared" si="15"/>
        <v>73496588.06</v>
      </c>
      <c r="F23" s="237"/>
      <c r="G23" s="237"/>
      <c r="H23" s="237"/>
      <c r="I23" s="335">
        <f t="shared" si="16"/>
        <v>10142.7</v>
      </c>
      <c r="J23" s="237">
        <f t="shared" si="8"/>
        <v>16443.43371</v>
      </c>
      <c r="K23" s="237">
        <f t="shared" si="17"/>
        <v>166780815.1</v>
      </c>
    </row>
    <row r="24" ht="15.75" customHeight="1">
      <c r="A24" s="199">
        <v>20.0</v>
      </c>
      <c r="B24" s="126">
        <v>45203.0</v>
      </c>
      <c r="C24" s="237">
        <f>SUM('Yakin Pasifik Tuna'!D25:G25)</f>
        <v>2975</v>
      </c>
      <c r="D24" s="237">
        <f>'Yakin Pasifik Tuna'!V25</f>
        <v>16444.45828</v>
      </c>
      <c r="E24" s="237">
        <f t="shared" si="15"/>
        <v>48922263.39</v>
      </c>
      <c r="F24" s="237"/>
      <c r="G24" s="237"/>
      <c r="H24" s="237"/>
      <c r="I24" s="335">
        <f t="shared" si="16"/>
        <v>13117.7</v>
      </c>
      <c r="J24" s="237">
        <f t="shared" si="8"/>
        <v>16443.66608</v>
      </c>
      <c r="K24" s="237">
        <f t="shared" si="17"/>
        <v>215703078.5</v>
      </c>
    </row>
    <row r="25" ht="15.75" customHeight="1">
      <c r="A25" s="199">
        <v>21.0</v>
      </c>
      <c r="B25" s="126">
        <v>45204.0</v>
      </c>
      <c r="C25" s="237">
        <f>SUM('Yakin Pasifik Tuna'!D26:G26)</f>
        <v>419</v>
      </c>
      <c r="D25" s="237">
        <f>'Yakin Pasifik Tuna'!V26</f>
        <v>16446.66667</v>
      </c>
      <c r="E25" s="237">
        <f t="shared" si="15"/>
        <v>6891153.333</v>
      </c>
      <c r="F25" s="237"/>
      <c r="G25" s="237"/>
      <c r="H25" s="237"/>
      <c r="I25" s="335">
        <f t="shared" si="16"/>
        <v>13536.7</v>
      </c>
      <c r="J25" s="237">
        <f t="shared" si="8"/>
        <v>16443.75896</v>
      </c>
      <c r="K25" s="237">
        <f t="shared" si="17"/>
        <v>222594231.9</v>
      </c>
    </row>
    <row r="26" ht="15.75" customHeight="1">
      <c r="A26" s="199">
        <v>22.0</v>
      </c>
      <c r="B26" s="126">
        <v>45207.0</v>
      </c>
      <c r="C26" s="237">
        <f>SUM('Yakin Pasifik Tuna'!D27:G27)</f>
        <v>4315</v>
      </c>
      <c r="D26" s="237">
        <f>'Yakin Pasifik Tuna'!V27</f>
        <v>16294.68513</v>
      </c>
      <c r="E26" s="237">
        <f t="shared" si="15"/>
        <v>70311566.36</v>
      </c>
      <c r="F26" s="237"/>
      <c r="G26" s="237"/>
      <c r="H26" s="237"/>
      <c r="I26" s="335">
        <f t="shared" si="16"/>
        <v>17851.7</v>
      </c>
      <c r="J26" s="237">
        <f t="shared" si="8"/>
        <v>16407.72577</v>
      </c>
      <c r="K26" s="237">
        <f t="shared" si="17"/>
        <v>292905798.2</v>
      </c>
    </row>
    <row r="27" ht="15.75" customHeight="1">
      <c r="A27" s="199">
        <v>23.0</v>
      </c>
      <c r="B27" s="126">
        <v>45208.0</v>
      </c>
      <c r="C27" s="237">
        <f>SUM('Yakin Pasifik Tuna'!D28:G28)</f>
        <v>4502</v>
      </c>
      <c r="D27" s="237">
        <f>'Yakin Pasifik Tuna'!V28</f>
        <v>16285.4025</v>
      </c>
      <c r="E27" s="237">
        <f t="shared" si="15"/>
        <v>73316882.04</v>
      </c>
      <c r="F27" s="237"/>
      <c r="G27" s="237"/>
      <c r="H27" s="237"/>
      <c r="I27" s="335">
        <f t="shared" si="16"/>
        <v>22353.7</v>
      </c>
      <c r="J27" s="237">
        <f t="shared" si="8"/>
        <v>16383.09006</v>
      </c>
      <c r="K27" s="237">
        <f t="shared" si="17"/>
        <v>366222680.3</v>
      </c>
    </row>
    <row r="28" ht="15.75" customHeight="1">
      <c r="A28" s="199">
        <v>24.0</v>
      </c>
      <c r="B28" s="126">
        <v>45209.0</v>
      </c>
      <c r="C28" s="237">
        <f>SUM('Yakin Pasifik Tuna'!D29:G29)</f>
        <v>5257</v>
      </c>
      <c r="D28" s="237">
        <f>'Yakin Pasifik Tuna'!V29</f>
        <v>16281.14937</v>
      </c>
      <c r="E28" s="237">
        <f t="shared" si="15"/>
        <v>85590002.25</v>
      </c>
      <c r="F28" s="237"/>
      <c r="G28" s="237"/>
      <c r="H28" s="237"/>
      <c r="I28" s="335">
        <f t="shared" si="16"/>
        <v>27610.7</v>
      </c>
      <c r="J28" s="237">
        <f t="shared" si="8"/>
        <v>16363.68084</v>
      </c>
      <c r="K28" s="237">
        <f t="shared" si="17"/>
        <v>451812682.5</v>
      </c>
    </row>
    <row r="29" ht="15.75" customHeight="1">
      <c r="A29" s="199">
        <v>25.0</v>
      </c>
      <c r="B29" s="126">
        <v>45210.0</v>
      </c>
      <c r="C29" s="237">
        <f>SUM('Yakin Pasifik Tuna'!D30:G30)</f>
        <v>5804</v>
      </c>
      <c r="D29" s="237">
        <f>'Yakin Pasifik Tuna'!V30</f>
        <v>16279.43689</v>
      </c>
      <c r="E29" s="237">
        <f t="shared" si="15"/>
        <v>94485851.73</v>
      </c>
      <c r="F29" s="237"/>
      <c r="G29" s="237"/>
      <c r="H29" s="237"/>
      <c r="I29" s="335">
        <f t="shared" si="16"/>
        <v>33414.7</v>
      </c>
      <c r="J29" s="237">
        <f t="shared" si="8"/>
        <v>16349.048</v>
      </c>
      <c r="K29" s="237">
        <f t="shared" si="17"/>
        <v>546298534.2</v>
      </c>
    </row>
    <row r="30" ht="15.75" customHeight="1">
      <c r="A30" s="199">
        <v>26.0</v>
      </c>
      <c r="B30" s="126">
        <v>45211.0</v>
      </c>
      <c r="C30" s="237">
        <f>SUM('Yakin Pasifik Tuna'!D31:G31)</f>
        <v>5390</v>
      </c>
      <c r="D30" s="237">
        <f>'Yakin Pasifik Tuna'!V31</f>
        <v>15780.79796</v>
      </c>
      <c r="E30" s="237">
        <f t="shared" si="15"/>
        <v>85058500.99</v>
      </c>
      <c r="F30" s="237"/>
      <c r="G30" s="237"/>
      <c r="H30" s="237"/>
      <c r="I30" s="335">
        <f t="shared" si="16"/>
        <v>38804.7</v>
      </c>
      <c r="J30" s="237">
        <f t="shared" si="8"/>
        <v>16270.11767</v>
      </c>
      <c r="K30" s="237">
        <f t="shared" si="17"/>
        <v>631357035.2</v>
      </c>
    </row>
    <row r="31" ht="15.75" customHeight="1">
      <c r="A31" s="199">
        <v>27.0</v>
      </c>
      <c r="B31" s="329">
        <v>45212.0</v>
      </c>
      <c r="C31" s="228"/>
      <c r="D31" s="228"/>
      <c r="E31" s="248"/>
      <c r="F31" s="248">
        <v>9550.0</v>
      </c>
      <c r="G31" s="248">
        <f>J30</f>
        <v>16270.11767</v>
      </c>
      <c r="H31" s="248">
        <f>F31*G31</f>
        <v>155379623.8</v>
      </c>
      <c r="I31" s="242">
        <f>I30-F31</f>
        <v>29254.7</v>
      </c>
      <c r="J31" s="248">
        <f t="shared" si="8"/>
        <v>16270.11767</v>
      </c>
      <c r="K31" s="248">
        <f>K30-H31</f>
        <v>475977411.5</v>
      </c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</row>
    <row r="32" ht="15.75" customHeight="1">
      <c r="A32" s="199">
        <v>28.0</v>
      </c>
      <c r="B32" s="143">
        <v>45212.0</v>
      </c>
      <c r="C32" s="237">
        <f>SUM('Yakin Pasifik Tuna'!D32:G32)</f>
        <v>5479</v>
      </c>
      <c r="D32" s="237">
        <f>'Yakin Pasifik Tuna'!V32</f>
        <v>15784.48487</v>
      </c>
      <c r="E32" s="237">
        <f t="shared" ref="E32:E42" si="18">C32*D32</f>
        <v>86483192.63</v>
      </c>
      <c r="F32" s="237"/>
      <c r="G32" s="237"/>
      <c r="H32" s="237"/>
      <c r="I32" s="335">
        <f t="shared" ref="I32:I35" si="19">I31+C32</f>
        <v>34733.7</v>
      </c>
      <c r="J32" s="237">
        <f t="shared" si="8"/>
        <v>16193.51247</v>
      </c>
      <c r="K32" s="237">
        <f t="shared" ref="K32:K35" si="20">K31+E32</f>
        <v>562460604.1</v>
      </c>
    </row>
    <row r="33" ht="15.75" customHeight="1">
      <c r="A33" s="199">
        <v>29.0</v>
      </c>
      <c r="B33" s="126">
        <v>45213.0</v>
      </c>
      <c r="C33" s="237">
        <f>SUM('Yakin Pasifik Tuna'!D33:G33)</f>
        <v>4007</v>
      </c>
      <c r="D33" s="237">
        <f>'Yakin Pasifik Tuna'!V33</f>
        <v>15780.38985</v>
      </c>
      <c r="E33" s="237">
        <f t="shared" si="18"/>
        <v>63232022.15</v>
      </c>
      <c r="F33" s="237"/>
      <c r="G33" s="237"/>
      <c r="H33" s="237"/>
      <c r="I33" s="335">
        <f t="shared" si="19"/>
        <v>38740.7</v>
      </c>
      <c r="J33" s="237">
        <f t="shared" si="8"/>
        <v>16150.78267</v>
      </c>
      <c r="K33" s="237">
        <f t="shared" si="20"/>
        <v>625692626.2</v>
      </c>
    </row>
    <row r="34" ht="15.75" customHeight="1">
      <c r="A34" s="199">
        <v>30.0</v>
      </c>
      <c r="B34" s="126">
        <v>45216.0</v>
      </c>
      <c r="C34" s="237">
        <f>SUM('Yakin Pasifik Tuna'!D34:G34)</f>
        <v>2773</v>
      </c>
      <c r="D34" s="237">
        <f>'Yakin Pasifik Tuna'!V34</f>
        <v>15783.38575</v>
      </c>
      <c r="E34" s="237">
        <f t="shared" si="18"/>
        <v>43767328.68</v>
      </c>
      <c r="F34" s="237"/>
      <c r="G34" s="237"/>
      <c r="H34" s="237"/>
      <c r="I34" s="335">
        <f t="shared" si="19"/>
        <v>41513.7</v>
      </c>
      <c r="J34" s="237">
        <f t="shared" si="8"/>
        <v>16126.24158</v>
      </c>
      <c r="K34" s="237">
        <f t="shared" si="20"/>
        <v>669459954.9</v>
      </c>
    </row>
    <row r="35" ht="15.75" customHeight="1">
      <c r="A35" s="199">
        <v>31.0</v>
      </c>
      <c r="B35" s="126">
        <v>45217.0</v>
      </c>
      <c r="C35" s="237">
        <f>SUM('Yakin Pasifik Tuna'!D35:G35)</f>
        <v>1981</v>
      </c>
      <c r="D35" s="237">
        <f>'Yakin Pasifik Tuna'!V35</f>
        <v>15789.93315</v>
      </c>
      <c r="E35" s="237">
        <f t="shared" si="18"/>
        <v>31279857.57</v>
      </c>
      <c r="F35" s="237"/>
      <c r="G35" s="237"/>
      <c r="H35" s="237"/>
      <c r="I35" s="335">
        <f t="shared" si="19"/>
        <v>43494.7</v>
      </c>
      <c r="J35" s="237">
        <f t="shared" si="8"/>
        <v>16110.92415</v>
      </c>
      <c r="K35" s="237">
        <f t="shared" si="20"/>
        <v>700739812.5</v>
      </c>
    </row>
    <row r="36" ht="15.75" customHeight="1">
      <c r="A36" s="199">
        <v>32.0</v>
      </c>
      <c r="B36" s="329">
        <v>45219.0</v>
      </c>
      <c r="C36" s="228"/>
      <c r="D36" s="228"/>
      <c r="E36" s="248">
        <f t="shared" si="18"/>
        <v>0</v>
      </c>
      <c r="F36" s="248">
        <v>17430.0</v>
      </c>
      <c r="G36" s="248">
        <f>J35</f>
        <v>16110.92415</v>
      </c>
      <c r="H36" s="248">
        <f t="shared" ref="H36:H38" si="21">F36*G36</f>
        <v>280813407.9</v>
      </c>
      <c r="I36" s="242">
        <f>I35-F36</f>
        <v>26064.7</v>
      </c>
      <c r="J36" s="248">
        <f t="shared" si="8"/>
        <v>16110.92415</v>
      </c>
      <c r="K36" s="248">
        <f>K35-H36</f>
        <v>419926404.6</v>
      </c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</row>
    <row r="37" ht="15.75" customHeight="1">
      <c r="A37" s="199">
        <v>33.0</v>
      </c>
      <c r="B37" s="126">
        <v>45220.0</v>
      </c>
      <c r="C37" s="237">
        <f>SUM('Yakin Pasifik Tuna'!D36:G36)</f>
        <v>3258</v>
      </c>
      <c r="D37" s="237">
        <f>'Yakin Pasifik Tuna'!V36</f>
        <v>16290.53207</v>
      </c>
      <c r="E37" s="237">
        <f t="shared" si="18"/>
        <v>53074553.47</v>
      </c>
      <c r="F37" s="237"/>
      <c r="G37" s="237"/>
      <c r="H37" s="330">
        <f t="shared" si="21"/>
        <v>0</v>
      </c>
      <c r="I37" s="335">
        <f>I36+C37</f>
        <v>29322.7</v>
      </c>
      <c r="J37" s="237">
        <f t="shared" si="8"/>
        <v>16130.88011</v>
      </c>
      <c r="K37" s="237">
        <f>K36+E37</f>
        <v>473000958.1</v>
      </c>
    </row>
    <row r="38" ht="15.75" customHeight="1">
      <c r="A38" s="199">
        <v>34.0</v>
      </c>
      <c r="B38" s="329">
        <v>45221.0</v>
      </c>
      <c r="C38" s="228"/>
      <c r="D38" s="228"/>
      <c r="E38" s="248">
        <f t="shared" si="18"/>
        <v>0</v>
      </c>
      <c r="F38" s="248">
        <v>8800.0</v>
      </c>
      <c r="G38" s="248">
        <f>J37</f>
        <v>16130.88011</v>
      </c>
      <c r="H38" s="248">
        <f t="shared" si="21"/>
        <v>141951744.9</v>
      </c>
      <c r="I38" s="242">
        <f>I37-F38</f>
        <v>20522.7</v>
      </c>
      <c r="J38" s="248">
        <f t="shared" si="8"/>
        <v>16130.88011</v>
      </c>
      <c r="K38" s="248">
        <f>K37-H38</f>
        <v>331049213.1</v>
      </c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ht="15.75" customHeight="1">
      <c r="A39" s="199">
        <v>35.0</v>
      </c>
      <c r="B39" s="126">
        <v>45223.0</v>
      </c>
      <c r="C39" s="237">
        <f>SUM('Yakin Pasifik Tuna'!D37:G37)</f>
        <v>9376</v>
      </c>
      <c r="D39" s="237">
        <f>'Yakin Pasifik Tuna'!V37</f>
        <v>16085.48627</v>
      </c>
      <c r="E39" s="237">
        <f t="shared" si="18"/>
        <v>150817519.3</v>
      </c>
      <c r="F39" s="237"/>
      <c r="G39" s="237"/>
      <c r="H39" s="237"/>
      <c r="I39" s="335">
        <f t="shared" ref="I39:I42" si="22">I38+C39</f>
        <v>29898.7</v>
      </c>
      <c r="J39" s="330">
        <f t="shared" si="8"/>
        <v>16116.64495</v>
      </c>
      <c r="K39" s="237">
        <f t="shared" ref="K39:K42" si="23">K38+E39</f>
        <v>481866732.4</v>
      </c>
    </row>
    <row r="40" ht="15.75" customHeight="1">
      <c r="A40" s="199">
        <v>36.0</v>
      </c>
      <c r="B40" s="126">
        <v>45225.0</v>
      </c>
      <c r="C40" s="237">
        <f>SUM('Yakin Pasifik Tuna'!D38:G38)</f>
        <v>2538</v>
      </c>
      <c r="D40" s="237">
        <f>'Yakin Pasifik Tuna'!V38</f>
        <v>16154.04232</v>
      </c>
      <c r="E40" s="237">
        <f t="shared" si="18"/>
        <v>40998959.41</v>
      </c>
      <c r="F40" s="237"/>
      <c r="G40" s="237"/>
      <c r="H40" s="237"/>
      <c r="I40" s="335">
        <f t="shared" si="22"/>
        <v>32436.7</v>
      </c>
      <c r="J40" s="330">
        <f t="shared" si="8"/>
        <v>16119.5711</v>
      </c>
      <c r="K40" s="237">
        <f t="shared" si="23"/>
        <v>522865691.8</v>
      </c>
    </row>
    <row r="41" ht="15.75" customHeight="1">
      <c r="A41" s="199">
        <v>37.0</v>
      </c>
      <c r="B41" s="126">
        <v>45227.0</v>
      </c>
      <c r="C41" s="237">
        <f>SUM('Yakin Pasifik Tuna'!D39:G39)</f>
        <v>2567</v>
      </c>
      <c r="D41" s="237">
        <f>'Yakin Pasifik Tuna'!V39</f>
        <v>15994.53787</v>
      </c>
      <c r="E41" s="237">
        <f t="shared" si="18"/>
        <v>41057978.72</v>
      </c>
      <c r="F41" s="237"/>
      <c r="G41" s="237"/>
      <c r="H41" s="237"/>
      <c r="I41" s="335">
        <f t="shared" si="22"/>
        <v>35003.7</v>
      </c>
      <c r="J41" s="330">
        <f t="shared" si="8"/>
        <v>16110.40177</v>
      </c>
      <c r="K41" s="237">
        <f t="shared" si="23"/>
        <v>563923670.5</v>
      </c>
    </row>
    <row r="42" ht="15.75" customHeight="1">
      <c r="A42" s="199">
        <v>38.0</v>
      </c>
      <c r="B42" s="126">
        <v>45228.0</v>
      </c>
      <c r="C42" s="237">
        <f>SUM('Yakin Pasifik Tuna'!D40:G40)</f>
        <v>5455</v>
      </c>
      <c r="D42" s="237">
        <f>'Yakin Pasifik Tuna'!V40</f>
        <v>15278.68352</v>
      </c>
      <c r="E42" s="237">
        <f t="shared" si="18"/>
        <v>83345218.61</v>
      </c>
      <c r="F42" s="237"/>
      <c r="G42" s="237"/>
      <c r="H42" s="237"/>
      <c r="I42" s="335">
        <f t="shared" si="22"/>
        <v>40458.7</v>
      </c>
      <c r="J42" s="330">
        <f t="shared" si="8"/>
        <v>15998.26216</v>
      </c>
      <c r="K42" s="237">
        <f t="shared" si="23"/>
        <v>647268889.1</v>
      </c>
    </row>
    <row r="43" ht="15.75" customHeight="1">
      <c r="A43" s="208">
        <v>39.0</v>
      </c>
      <c r="B43" s="332">
        <v>45254.0</v>
      </c>
      <c r="C43" s="228"/>
      <c r="D43" s="228"/>
      <c r="E43" s="248"/>
      <c r="F43" s="248">
        <v>18990.0</v>
      </c>
      <c r="G43" s="248">
        <f>J42</f>
        <v>15998.26216</v>
      </c>
      <c r="H43" s="248">
        <f>F43*G43</f>
        <v>303806998.4</v>
      </c>
      <c r="I43" s="242">
        <f>I42-F43</f>
        <v>21468.7</v>
      </c>
      <c r="J43" s="248">
        <f t="shared" si="8"/>
        <v>15998.26216</v>
      </c>
      <c r="K43" s="248">
        <f>K42-H43</f>
        <v>343461890.8</v>
      </c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ht="15.75" customHeight="1">
      <c r="A44" s="199">
        <v>40.0</v>
      </c>
      <c r="B44" s="333">
        <f>'Yakin Pasifik Tuna'!B43</f>
        <v>45259</v>
      </c>
      <c r="C44" s="237">
        <f>SUM('Yakin Pasifik Tuna'!D43:G43)</f>
        <v>1214</v>
      </c>
      <c r="D44" s="237">
        <f>'Yakin Pasifik Tuna'!V43</f>
        <v>14788.35115</v>
      </c>
      <c r="E44" s="237">
        <f t="shared" ref="E44:E45" si="24">C44*D44</f>
        <v>17953058.29</v>
      </c>
      <c r="F44" s="237"/>
      <c r="G44" s="237"/>
      <c r="H44" s="237"/>
      <c r="I44" s="335">
        <f t="shared" ref="I44:I45" si="25">I43+C44</f>
        <v>22682.7</v>
      </c>
      <c r="J44" s="237">
        <f t="shared" si="8"/>
        <v>15933.50655</v>
      </c>
      <c r="K44" s="237">
        <f t="shared" ref="K44:K45" si="26">K43+E44</f>
        <v>361414949.1</v>
      </c>
    </row>
    <row r="45" ht="15.75" customHeight="1">
      <c r="A45" s="199">
        <v>41.0</v>
      </c>
      <c r="B45" s="333">
        <f>'Yakin Pasifik Tuna'!B44</f>
        <v>45260</v>
      </c>
      <c r="C45" s="237">
        <f>SUM('Yakin Pasifik Tuna'!D44:G44)</f>
        <v>1887</v>
      </c>
      <c r="D45" s="237">
        <f>'Yakin Pasifik Tuna'!V44</f>
        <v>15291.77283</v>
      </c>
      <c r="E45" s="237">
        <f t="shared" si="24"/>
        <v>28855575.34</v>
      </c>
      <c r="F45" s="237"/>
      <c r="G45" s="237"/>
      <c r="H45" s="237"/>
      <c r="I45" s="335">
        <f t="shared" si="25"/>
        <v>24569.7</v>
      </c>
      <c r="J45" s="237">
        <f t="shared" si="8"/>
        <v>15884.22017</v>
      </c>
      <c r="K45" s="237">
        <f t="shared" si="26"/>
        <v>390270524.4</v>
      </c>
    </row>
    <row r="46" ht="15.75" customHeight="1">
      <c r="A46" s="337"/>
      <c r="B46" s="336"/>
      <c r="C46" s="337"/>
      <c r="D46" s="337"/>
      <c r="E46" s="338"/>
      <c r="F46" s="338"/>
      <c r="G46" s="338"/>
      <c r="H46" s="338"/>
      <c r="I46" s="338">
        <f>180+4960+366</f>
        <v>5506</v>
      </c>
      <c r="J46" s="338">
        <f>J45</f>
        <v>15884.22017</v>
      </c>
      <c r="K46" s="338">
        <f>I46*J46</f>
        <v>87458516.28</v>
      </c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ht="15.75" customHeight="1">
      <c r="A47" s="166">
        <v>42.0</v>
      </c>
      <c r="B47" s="333">
        <f>'Yakin Pasifik Tuna'!B51</f>
        <v>45269</v>
      </c>
      <c r="C47" s="237">
        <f>'Yakin Pasifik Tuna'!G51</f>
        <v>466.6</v>
      </c>
      <c r="D47" s="237">
        <f>'Yakin Pasifik Tuna'!W51</f>
        <v>7784.909091</v>
      </c>
      <c r="E47" s="237">
        <f t="shared" ref="E47:E62" si="27">C47*D47</f>
        <v>3632438.582</v>
      </c>
      <c r="F47" s="237"/>
      <c r="G47" s="237"/>
      <c r="H47" s="237"/>
      <c r="I47" s="237">
        <f t="shared" ref="I47:I62" si="28">I46+C47</f>
        <v>5972.6</v>
      </c>
      <c r="J47" s="237">
        <f t="shared" ref="J47:J62" si="29">K47/I47</f>
        <v>15251.47421</v>
      </c>
      <c r="K47" s="237">
        <f t="shared" ref="K47:K62" si="30">K46+E47</f>
        <v>91090954.86</v>
      </c>
    </row>
    <row r="48" ht="15.75" customHeight="1">
      <c r="A48" s="166">
        <v>43.0</v>
      </c>
      <c r="B48" s="333">
        <f>'Yakin Pasifik Tuna'!B52</f>
        <v>45270</v>
      </c>
      <c r="C48" s="237">
        <f>'Yakin Pasifik Tuna'!G52</f>
        <v>1008</v>
      </c>
      <c r="D48" s="237">
        <f>'Yakin Pasifik Tuna'!W52</f>
        <v>7796.403487</v>
      </c>
      <c r="E48" s="237">
        <f t="shared" si="27"/>
        <v>7858774.715</v>
      </c>
      <c r="F48" s="237"/>
      <c r="G48" s="237"/>
      <c r="H48" s="237"/>
      <c r="I48" s="237">
        <f t="shared" si="28"/>
        <v>6980.6</v>
      </c>
      <c r="J48" s="237">
        <f t="shared" si="29"/>
        <v>14174.96054</v>
      </c>
      <c r="K48" s="237">
        <f t="shared" si="30"/>
        <v>98949729.57</v>
      </c>
    </row>
    <row r="49" ht="15.75" customHeight="1">
      <c r="A49" s="166">
        <v>44.0</v>
      </c>
      <c r="B49" s="333">
        <f>'Yakin Pasifik Tuna'!B53</f>
        <v>45271</v>
      </c>
      <c r="C49" s="237">
        <f>'Yakin Pasifik Tuna'!G53</f>
        <v>1299.2</v>
      </c>
      <c r="D49" s="237">
        <f>'Yakin Pasifik Tuna'!W53</f>
        <v>7789.871254</v>
      </c>
      <c r="E49" s="237">
        <f t="shared" si="27"/>
        <v>10120600.73</v>
      </c>
      <c r="F49" s="237"/>
      <c r="G49" s="237"/>
      <c r="H49" s="237"/>
      <c r="I49" s="237">
        <f t="shared" si="28"/>
        <v>8279.8</v>
      </c>
      <c r="J49" s="237">
        <f t="shared" si="29"/>
        <v>13173.0634</v>
      </c>
      <c r="K49" s="237">
        <f t="shared" si="30"/>
        <v>109070330.3</v>
      </c>
    </row>
    <row r="50" ht="15.75" customHeight="1">
      <c r="A50" s="166">
        <v>45.0</v>
      </c>
      <c r="B50" s="333">
        <v>45278.0</v>
      </c>
      <c r="C50" s="237">
        <f>SUM('Yakin Pasifik Tuna'!G54)</f>
        <v>1689.8</v>
      </c>
      <c r="D50" s="237">
        <f>'Yakin Pasifik Tuna'!W54</f>
        <v>7284.002792</v>
      </c>
      <c r="E50" s="237">
        <f t="shared" si="27"/>
        <v>12308507.92</v>
      </c>
      <c r="F50" s="237"/>
      <c r="G50" s="237"/>
      <c r="H50" s="237"/>
      <c r="I50" s="237">
        <f t="shared" si="28"/>
        <v>9969.6</v>
      </c>
      <c r="J50" s="237">
        <f t="shared" si="29"/>
        <v>12174.8955</v>
      </c>
      <c r="K50" s="237">
        <f t="shared" si="30"/>
        <v>121378838.2</v>
      </c>
    </row>
    <row r="51" ht="15.75" customHeight="1">
      <c r="A51" s="166">
        <v>46.0</v>
      </c>
      <c r="B51" s="333">
        <v>45279.0</v>
      </c>
      <c r="C51" s="237">
        <f>SUM('Yakin Pasifik Tuna'!G55)</f>
        <v>638.9</v>
      </c>
      <c r="D51" s="237">
        <f>'Yakin Pasifik Tuna'!W55</f>
        <v>7281.703417</v>
      </c>
      <c r="E51" s="237">
        <f t="shared" si="27"/>
        <v>4652280.313</v>
      </c>
      <c r="F51" s="237"/>
      <c r="G51" s="237"/>
      <c r="H51" s="237"/>
      <c r="I51" s="237">
        <f t="shared" si="28"/>
        <v>10608.5</v>
      </c>
      <c r="J51" s="237">
        <f t="shared" si="29"/>
        <v>11880.20159</v>
      </c>
      <c r="K51" s="237">
        <f t="shared" si="30"/>
        <v>126031118.5</v>
      </c>
    </row>
    <row r="52" ht="15.75" customHeight="1">
      <c r="A52" s="166">
        <v>47.0</v>
      </c>
      <c r="B52" s="333">
        <f>'Yakin Pasifik Tuna'!B56</f>
        <v>45280</v>
      </c>
      <c r="C52" s="237">
        <f>SUM('Yakin Pasifik Tuna'!G56)</f>
        <v>4014</v>
      </c>
      <c r="D52" s="237">
        <f>'Yakin Pasifik Tuna'!W56</f>
        <v>7776.857143</v>
      </c>
      <c r="E52" s="237">
        <f t="shared" si="27"/>
        <v>31216304.57</v>
      </c>
      <c r="F52" s="237"/>
      <c r="G52" s="237"/>
      <c r="H52" s="237"/>
      <c r="I52" s="237">
        <f t="shared" si="28"/>
        <v>14622.5</v>
      </c>
      <c r="J52" s="237">
        <f t="shared" si="29"/>
        <v>10753.79881</v>
      </c>
      <c r="K52" s="237">
        <f t="shared" si="30"/>
        <v>157247423.1</v>
      </c>
    </row>
    <row r="53" ht="15.75" customHeight="1">
      <c r="A53" s="166">
        <v>48.0</v>
      </c>
      <c r="B53" s="333">
        <f>'Yakin Pasifik Tuna'!B57</f>
        <v>45281</v>
      </c>
      <c r="C53" s="237">
        <f>SUM('Yakin Pasifik Tuna'!G57)</f>
        <v>0</v>
      </c>
      <c r="D53" s="237">
        <f>'Yakin Pasifik Tuna'!W57</f>
        <v>0</v>
      </c>
      <c r="E53" s="237">
        <f t="shared" si="27"/>
        <v>0</v>
      </c>
      <c r="F53" s="237"/>
      <c r="G53" s="237"/>
      <c r="H53" s="237"/>
      <c r="I53" s="237">
        <f t="shared" si="28"/>
        <v>14622.5</v>
      </c>
      <c r="J53" s="237">
        <f t="shared" si="29"/>
        <v>10753.79881</v>
      </c>
      <c r="K53" s="237">
        <f t="shared" si="30"/>
        <v>157247423.1</v>
      </c>
    </row>
    <row r="54" ht="15.75" customHeight="1">
      <c r="A54" s="166">
        <v>49.0</v>
      </c>
      <c r="B54" s="333">
        <f>'Yakin Pasifik Tuna'!B58</f>
        <v>45282</v>
      </c>
      <c r="C54" s="237">
        <f>SUM('Yakin Pasifik Tuna'!G58)</f>
        <v>0</v>
      </c>
      <c r="D54" s="237">
        <f>'Yakin Pasifik Tuna'!W58</f>
        <v>0</v>
      </c>
      <c r="E54" s="237">
        <f t="shared" si="27"/>
        <v>0</v>
      </c>
      <c r="F54" s="237"/>
      <c r="G54" s="237"/>
      <c r="H54" s="237"/>
      <c r="I54" s="237">
        <f t="shared" si="28"/>
        <v>14622.5</v>
      </c>
      <c r="J54" s="237">
        <f t="shared" si="29"/>
        <v>10753.79881</v>
      </c>
      <c r="K54" s="237">
        <f t="shared" si="30"/>
        <v>157247423.1</v>
      </c>
    </row>
    <row r="55" ht="15.75" customHeight="1">
      <c r="A55" s="166">
        <v>50.0</v>
      </c>
      <c r="B55" s="333">
        <f>'Yakin Pasifik Tuna'!B59</f>
        <v>45283</v>
      </c>
      <c r="C55" s="237">
        <f>SUM('Yakin Pasifik Tuna'!G59)</f>
        <v>1201</v>
      </c>
      <c r="D55" s="237">
        <f>'Yakin Pasifik Tuna'!W59</f>
        <v>7368.748722</v>
      </c>
      <c r="E55" s="237">
        <f t="shared" si="27"/>
        <v>8849867.216</v>
      </c>
      <c r="F55" s="237"/>
      <c r="G55" s="237"/>
      <c r="H55" s="237"/>
      <c r="I55" s="237">
        <f t="shared" si="28"/>
        <v>15823.5</v>
      </c>
      <c r="J55" s="237">
        <f t="shared" si="29"/>
        <v>10496.87429</v>
      </c>
      <c r="K55" s="237">
        <f t="shared" si="30"/>
        <v>166097290.3</v>
      </c>
    </row>
    <row r="56" ht="15.75" customHeight="1">
      <c r="A56" s="166">
        <v>51.0</v>
      </c>
      <c r="B56" s="333">
        <f>'Yakin Pasifik Tuna'!B60</f>
        <v>45284</v>
      </c>
      <c r="C56" s="237">
        <f>SUM('Yakin Pasifik Tuna'!G60)</f>
        <v>0</v>
      </c>
      <c r="D56" s="237">
        <f>'Yakin Pasifik Tuna'!W60</f>
        <v>0</v>
      </c>
      <c r="E56" s="237">
        <f t="shared" si="27"/>
        <v>0</v>
      </c>
      <c r="F56" s="237"/>
      <c r="G56" s="237"/>
      <c r="H56" s="237"/>
      <c r="I56" s="237">
        <f t="shared" si="28"/>
        <v>15823.5</v>
      </c>
      <c r="J56" s="237">
        <f t="shared" si="29"/>
        <v>10496.87429</v>
      </c>
      <c r="K56" s="237">
        <f t="shared" si="30"/>
        <v>166097290.3</v>
      </c>
    </row>
    <row r="57" ht="15.75" customHeight="1">
      <c r="A57" s="166">
        <v>53.0</v>
      </c>
      <c r="B57" s="333">
        <v>45295.0</v>
      </c>
      <c r="C57" s="237">
        <f>'Yakin Pasifik Tuna'!G65</f>
        <v>2889</v>
      </c>
      <c r="D57" s="237">
        <f>'Yakin Pasifik Tuna'!X65</f>
        <v>7278.796228</v>
      </c>
      <c r="E57" s="237">
        <f t="shared" si="27"/>
        <v>21028442.3</v>
      </c>
      <c r="F57" s="237"/>
      <c r="G57" s="237"/>
      <c r="H57" s="237"/>
      <c r="I57" s="237">
        <f t="shared" si="28"/>
        <v>18712.5</v>
      </c>
      <c r="J57" s="237">
        <f t="shared" si="29"/>
        <v>10000.03915</v>
      </c>
      <c r="K57" s="237">
        <f t="shared" si="30"/>
        <v>187125732.6</v>
      </c>
    </row>
    <row r="58" ht="15.75" customHeight="1">
      <c r="A58" s="166">
        <v>54.0</v>
      </c>
      <c r="B58" s="333">
        <v>45297.0</v>
      </c>
      <c r="C58" s="237">
        <f>'Yakin Pasifik Tuna'!G66</f>
        <v>2143</v>
      </c>
      <c r="D58" s="237">
        <f>'Yakin Pasifik Tuna'!X66</f>
        <v>7281.967888</v>
      </c>
      <c r="E58" s="237">
        <f t="shared" si="27"/>
        <v>15605257.18</v>
      </c>
      <c r="F58" s="237"/>
      <c r="G58" s="237"/>
      <c r="H58" s="237"/>
      <c r="I58" s="237">
        <f t="shared" si="28"/>
        <v>20855.5</v>
      </c>
      <c r="J58" s="237">
        <f t="shared" si="29"/>
        <v>9720.744638</v>
      </c>
      <c r="K58" s="237">
        <f t="shared" si="30"/>
        <v>202730989.8</v>
      </c>
    </row>
    <row r="59" ht="15.75" customHeight="1">
      <c r="A59" s="166">
        <v>55.0</v>
      </c>
      <c r="B59" s="333">
        <v>45298.0</v>
      </c>
      <c r="C59" s="237">
        <f>'Yakin Pasifik Tuna'!G67</f>
        <v>2557.9</v>
      </c>
      <c r="D59" s="237">
        <f>'Yakin Pasifik Tuna'!X67</f>
        <v>7287.382084</v>
      </c>
      <c r="E59" s="237">
        <f t="shared" si="27"/>
        <v>18640394.63</v>
      </c>
      <c r="F59" s="237"/>
      <c r="G59" s="237"/>
      <c r="H59" s="237"/>
      <c r="I59" s="237">
        <f t="shared" si="28"/>
        <v>23413.4</v>
      </c>
      <c r="J59" s="237">
        <f t="shared" si="29"/>
        <v>9454.901229</v>
      </c>
      <c r="K59" s="237">
        <f t="shared" si="30"/>
        <v>221371384.4</v>
      </c>
    </row>
    <row r="60" ht="15.75" customHeight="1">
      <c r="A60" s="166">
        <v>56.0</v>
      </c>
      <c r="B60" s="333">
        <f>'Yakin Pasifik Tuna'!B68</f>
        <v>45300</v>
      </c>
      <c r="C60" s="237">
        <f>'Yakin Pasifik Tuna'!G68</f>
        <v>3716.6</v>
      </c>
      <c r="D60" s="237">
        <f>'Yakin Pasifik Tuna'!X68</f>
        <v>7294.157722</v>
      </c>
      <c r="E60" s="237">
        <f t="shared" si="27"/>
        <v>27109466.59</v>
      </c>
      <c r="F60" s="237"/>
      <c r="G60" s="237"/>
      <c r="H60" s="237"/>
      <c r="I60" s="237">
        <f t="shared" si="28"/>
        <v>27130</v>
      </c>
      <c r="J60" s="237">
        <f t="shared" si="29"/>
        <v>9158.896094</v>
      </c>
      <c r="K60" s="237">
        <f t="shared" si="30"/>
        <v>248480851</v>
      </c>
    </row>
    <row r="61" ht="15.75" customHeight="1">
      <c r="A61" s="166">
        <v>57.0</v>
      </c>
      <c r="B61" s="333">
        <f>'Yakin Pasifik Tuna'!B69</f>
        <v>45301</v>
      </c>
      <c r="C61" s="237">
        <f>'Yakin Pasifik Tuna'!G69</f>
        <v>3422.1</v>
      </c>
      <c r="D61" s="237">
        <f>'Yakin Pasifik Tuna'!X69</f>
        <v>6789.50377</v>
      </c>
      <c r="E61" s="237">
        <f t="shared" si="27"/>
        <v>23234360.85</v>
      </c>
      <c r="F61" s="237"/>
      <c r="G61" s="237"/>
      <c r="H61" s="237"/>
      <c r="I61" s="237">
        <f t="shared" si="28"/>
        <v>30552.1</v>
      </c>
      <c r="J61" s="237">
        <f t="shared" si="29"/>
        <v>8893.503618</v>
      </c>
      <c r="K61" s="237">
        <f t="shared" si="30"/>
        <v>271715211.9</v>
      </c>
    </row>
    <row r="62" ht="15.75" customHeight="1">
      <c r="A62" s="166">
        <v>58.0</v>
      </c>
      <c r="B62" s="333">
        <f>'Yakin Pasifik Tuna'!B70</f>
        <v>45302</v>
      </c>
      <c r="C62" s="237">
        <f>'Yakin Pasifik Tuna'!G70</f>
        <v>4761.7</v>
      </c>
      <c r="D62" s="237">
        <f>'Yakin Pasifik Tuna'!X70</f>
        <v>6271.482653</v>
      </c>
      <c r="E62" s="237">
        <f t="shared" si="27"/>
        <v>29862918.95</v>
      </c>
      <c r="F62" s="237"/>
      <c r="G62" s="237"/>
      <c r="H62" s="237"/>
      <c r="I62" s="237">
        <f t="shared" si="28"/>
        <v>35313.8</v>
      </c>
      <c r="J62" s="237">
        <f t="shared" si="29"/>
        <v>8539.951261</v>
      </c>
      <c r="K62" s="237">
        <f t="shared" si="30"/>
        <v>301578130.8</v>
      </c>
    </row>
    <row r="63" ht="15.75" customHeight="1">
      <c r="A63" s="343"/>
      <c r="B63" s="344">
        <v>45303.0</v>
      </c>
      <c r="C63" s="345"/>
      <c r="D63" s="345"/>
      <c r="E63" s="345"/>
      <c r="F63" s="346">
        <v>10000.0</v>
      </c>
      <c r="G63" s="345">
        <f>J62</f>
        <v>8539.951261</v>
      </c>
      <c r="H63" s="345">
        <f>F63*G63</f>
        <v>85399512.61</v>
      </c>
      <c r="I63" s="345"/>
      <c r="J63" s="345"/>
      <c r="K63" s="345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</row>
    <row r="64" ht="15.75" customHeight="1">
      <c r="A64" s="166">
        <v>59.0</v>
      </c>
      <c r="B64" s="333">
        <f>'Yakin Pasifik Tuna'!B71</f>
        <v>45304</v>
      </c>
      <c r="C64" s="237">
        <f>'Yakin Pasifik Tuna'!G71</f>
        <v>172.6</v>
      </c>
      <c r="D64" s="237">
        <f>'Yakin Pasifik Tuna'!X71</f>
        <v>6304.048888</v>
      </c>
      <c r="E64" s="237">
        <f t="shared" ref="E64:E69" si="31">C64*D64</f>
        <v>1088078.838</v>
      </c>
      <c r="F64" s="237"/>
      <c r="G64" s="237"/>
      <c r="H64" s="237"/>
      <c r="I64" s="237">
        <f>I62+C64</f>
        <v>35486.4</v>
      </c>
      <c r="J64" s="237">
        <f t="shared" ref="J64:J69" si="32">K64/I64</f>
        <v>8529.0762</v>
      </c>
      <c r="K64" s="237">
        <f>K62+E64</f>
        <v>302666209.7</v>
      </c>
    </row>
    <row r="65" ht="15.75" customHeight="1">
      <c r="A65" s="166"/>
      <c r="B65" s="333">
        <f>'Yakin Pasifik Tuna'!B72</f>
        <v>45306</v>
      </c>
      <c r="C65" s="237">
        <f>'Yakin Pasifik Tuna'!G72</f>
        <v>73.7</v>
      </c>
      <c r="D65" s="237">
        <f>'Yakin Pasifik Tuna'!X72</f>
        <v>8276.857143</v>
      </c>
      <c r="E65" s="237">
        <f t="shared" si="31"/>
        <v>610004.3714</v>
      </c>
      <c r="F65" s="237"/>
      <c r="G65" s="237"/>
      <c r="H65" s="237"/>
      <c r="I65" s="237">
        <f t="shared" ref="I65:I69" si="33">I64+C65</f>
        <v>35560.1</v>
      </c>
      <c r="J65" s="237">
        <f t="shared" si="32"/>
        <v>8528.553464</v>
      </c>
      <c r="K65" s="237">
        <f t="shared" ref="K65:K69" si="34">K64+E65</f>
        <v>303276214</v>
      </c>
    </row>
    <row r="66" ht="15.75" customHeight="1">
      <c r="A66" s="166"/>
      <c r="B66" s="333">
        <f>'Yakin Pasifik Tuna'!B73</f>
        <v>45307</v>
      </c>
      <c r="C66" s="237">
        <f>'Yakin Pasifik Tuna'!G73</f>
        <v>22.3</v>
      </c>
      <c r="D66" s="237">
        <f>'Yakin Pasifik Tuna'!X73</f>
        <v>7277.244252</v>
      </c>
      <c r="E66" s="237">
        <f t="shared" si="31"/>
        <v>162282.5468</v>
      </c>
      <c r="F66" s="237"/>
      <c r="G66" s="237"/>
      <c r="H66" s="237"/>
      <c r="I66" s="237">
        <f t="shared" si="33"/>
        <v>35582.4</v>
      </c>
      <c r="J66" s="237">
        <f t="shared" si="32"/>
        <v>8527.769251</v>
      </c>
      <c r="K66" s="237">
        <f t="shared" si="34"/>
        <v>303438496.6</v>
      </c>
    </row>
    <row r="67" ht="15.75" customHeight="1">
      <c r="A67" s="166"/>
      <c r="B67" s="333">
        <f>'Yakin Pasifik Tuna'!B74</f>
        <v>45308</v>
      </c>
      <c r="C67" s="237">
        <f>'Yakin Pasifik Tuna'!G74</f>
        <v>106.2</v>
      </c>
      <c r="D67" s="237">
        <f>'Yakin Pasifik Tuna'!X74</f>
        <v>8280.32595</v>
      </c>
      <c r="E67" s="237">
        <f t="shared" si="31"/>
        <v>879370.6159</v>
      </c>
      <c r="F67" s="237"/>
      <c r="G67" s="237"/>
      <c r="H67" s="237"/>
      <c r="I67" s="237">
        <f t="shared" si="33"/>
        <v>35688.6</v>
      </c>
      <c r="J67" s="237">
        <f t="shared" si="32"/>
        <v>8527.032924</v>
      </c>
      <c r="K67" s="237">
        <f t="shared" si="34"/>
        <v>304317867.2</v>
      </c>
    </row>
    <row r="68" ht="15.75" customHeight="1">
      <c r="A68" s="166"/>
      <c r="B68" s="333">
        <f>'Yakin Pasifik Tuna'!B75</f>
        <v>45309</v>
      </c>
      <c r="C68" s="237" t="str">
        <f>'Yakin Pasifik Tuna'!G75</f>
        <v/>
      </c>
      <c r="D68" s="348">
        <v>0.0</v>
      </c>
      <c r="E68" s="237">
        <f t="shared" si="31"/>
        <v>0</v>
      </c>
      <c r="F68" s="237"/>
      <c r="G68" s="237"/>
      <c r="H68" s="237"/>
      <c r="I68" s="237">
        <f t="shared" si="33"/>
        <v>35688.6</v>
      </c>
      <c r="J68" s="237">
        <f t="shared" si="32"/>
        <v>8527.032924</v>
      </c>
      <c r="K68" s="237">
        <f t="shared" si="34"/>
        <v>304317867.2</v>
      </c>
    </row>
    <row r="69" ht="15.75" customHeight="1">
      <c r="A69" s="340"/>
      <c r="B69" s="333">
        <f>'Yakin Pasifik Tuna'!B76</f>
        <v>45311</v>
      </c>
      <c r="C69" s="237">
        <f>'Yakin Pasifik Tuna'!G76</f>
        <v>1425.6</v>
      </c>
      <c r="D69" s="237">
        <f>'Yakin Pasifik Tuna'!X76</f>
        <v>7776.476074</v>
      </c>
      <c r="E69" s="237">
        <f t="shared" si="31"/>
        <v>11086144.29</v>
      </c>
      <c r="F69" s="237"/>
      <c r="G69" s="237"/>
      <c r="H69" s="237"/>
      <c r="I69" s="237">
        <f t="shared" si="33"/>
        <v>37114.2</v>
      </c>
      <c r="J69" s="237">
        <f t="shared" si="32"/>
        <v>8498.203154</v>
      </c>
      <c r="K69" s="237">
        <f t="shared" si="34"/>
        <v>315404011.5</v>
      </c>
    </row>
    <row r="70" ht="15.75" customHeight="1">
      <c r="A70" s="349"/>
      <c r="B70" s="350">
        <f>'Yakin Pasifik Tuna'!B77</f>
        <v>45312</v>
      </c>
      <c r="C70" s="351"/>
      <c r="D70" s="352"/>
      <c r="E70" s="351"/>
      <c r="F70" s="352">
        <v>9970.0</v>
      </c>
      <c r="G70" s="351">
        <f>J69</f>
        <v>8498.203154</v>
      </c>
      <c r="H70" s="351">
        <f>F70*G70</f>
        <v>84727085.44</v>
      </c>
      <c r="I70" s="351">
        <f>I69-F70</f>
        <v>27144.2</v>
      </c>
      <c r="J70" s="351">
        <f>J69</f>
        <v>8498.203154</v>
      </c>
      <c r="K70" s="351">
        <f>K69-H70</f>
        <v>230676926</v>
      </c>
      <c r="L70" s="257"/>
      <c r="M70" s="257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</row>
    <row r="71" ht="15.75" customHeight="1">
      <c r="A71" s="340"/>
      <c r="B71" s="333">
        <f>'Yakin Pasifik Tuna'!B78</f>
        <v>45313</v>
      </c>
      <c r="C71" s="237" t="str">
        <f>'Yakin Pasifik Tuna'!G78</f>
        <v/>
      </c>
      <c r="D71" s="348">
        <v>0.0</v>
      </c>
      <c r="E71" s="237">
        <f t="shared" ref="E71:E74" si="36">C71*D71</f>
        <v>0</v>
      </c>
      <c r="F71" s="237"/>
      <c r="G71" s="237"/>
      <c r="H71" s="237"/>
      <c r="I71" s="237">
        <f t="shared" ref="I71:J71" si="35">I70</f>
        <v>27144.2</v>
      </c>
      <c r="J71" s="237">
        <f t="shared" si="35"/>
        <v>8498.203154</v>
      </c>
      <c r="K71" s="237">
        <f t="shared" ref="K71:K74" si="37">K70+E71</f>
        <v>230676926</v>
      </c>
    </row>
    <row r="72" ht="15.75" customHeight="1">
      <c r="A72" s="340"/>
      <c r="B72" s="333">
        <f>'Yakin Pasifik Tuna'!B79</f>
        <v>45314</v>
      </c>
      <c r="C72" s="237">
        <f>'Yakin Pasifik Tuna'!G79</f>
        <v>328.2</v>
      </c>
      <c r="D72" s="237">
        <f>'Yakin Pasifik Tuna'!X79</f>
        <v>8276.857143</v>
      </c>
      <c r="E72" s="237">
        <f t="shared" si="36"/>
        <v>2716464.514</v>
      </c>
      <c r="F72" s="237"/>
      <c r="G72" s="237"/>
      <c r="H72" s="237"/>
      <c r="I72" s="237">
        <f t="shared" ref="I72:I74" si="38">I71+C72</f>
        <v>27472.4</v>
      </c>
      <c r="J72" s="237">
        <f t="shared" ref="J72:J74" si="39">K72/I72</f>
        <v>8495.558836</v>
      </c>
      <c r="K72" s="237">
        <f t="shared" si="37"/>
        <v>233393390.6</v>
      </c>
    </row>
    <row r="73" ht="15.75" customHeight="1">
      <c r="A73" s="340"/>
      <c r="B73" s="333">
        <f>'Yakin Pasifik Tuna'!B80</f>
        <v>45315</v>
      </c>
      <c r="C73" s="237">
        <f>'Yakin Pasifik Tuna'!G80</f>
        <v>8.7</v>
      </c>
      <c r="D73" s="237">
        <f>'Yakin Pasifik Tuna'!X80</f>
        <v>8559.791496</v>
      </c>
      <c r="E73" s="237">
        <f t="shared" si="36"/>
        <v>74470.18601</v>
      </c>
      <c r="F73" s="237"/>
      <c r="G73" s="237"/>
      <c r="H73" s="237"/>
      <c r="I73" s="237">
        <f t="shared" si="38"/>
        <v>27481.1</v>
      </c>
      <c r="J73" s="237">
        <f t="shared" si="39"/>
        <v>8495.579171</v>
      </c>
      <c r="K73" s="237">
        <f t="shared" si="37"/>
        <v>233467860.7</v>
      </c>
    </row>
    <row r="74" ht="15.75" customHeight="1">
      <c r="A74" s="340"/>
      <c r="B74" s="333">
        <f>'Yakin Pasifik Tuna'!B81</f>
        <v>45318</v>
      </c>
      <c r="C74" s="237">
        <f>'Yakin Pasifik Tuna'!G81</f>
        <v>17.1</v>
      </c>
      <c r="D74" s="237">
        <f>'Yakin Pasifik Tuna'!X81</f>
        <v>8284.106762</v>
      </c>
      <c r="E74" s="237">
        <f t="shared" si="36"/>
        <v>141658.2256</v>
      </c>
      <c r="F74" s="237"/>
      <c r="G74" s="237"/>
      <c r="H74" s="237"/>
      <c r="I74" s="237">
        <f t="shared" si="38"/>
        <v>27498.2</v>
      </c>
      <c r="J74" s="237">
        <f t="shared" si="39"/>
        <v>8495.447665</v>
      </c>
      <c r="K74" s="237">
        <f t="shared" si="37"/>
        <v>233609519</v>
      </c>
    </row>
    <row r="75" ht="15.75" customHeight="1">
      <c r="A75" s="340"/>
      <c r="B75" s="333" t="str">
        <f>'Yakin Pasifik Tuna'!B82</f>
        <v/>
      </c>
      <c r="C75" s="340"/>
      <c r="D75" s="340"/>
      <c r="E75" s="237"/>
      <c r="F75" s="237"/>
      <c r="G75" s="237"/>
      <c r="H75" s="237"/>
      <c r="I75" s="237"/>
      <c r="J75" s="237"/>
      <c r="K75" s="237"/>
    </row>
    <row r="76" ht="15.75" customHeight="1">
      <c r="A76" s="340"/>
      <c r="B76" s="333" t="str">
        <f>'Yakin Pasifik Tuna'!B83</f>
        <v/>
      </c>
      <c r="C76" s="340"/>
      <c r="D76" s="340"/>
      <c r="E76" s="237"/>
      <c r="F76" s="237"/>
      <c r="G76" s="237"/>
      <c r="H76" s="237"/>
      <c r="I76" s="237"/>
      <c r="J76" s="237"/>
      <c r="K76" s="237"/>
    </row>
    <row r="77" ht="15.75" customHeight="1">
      <c r="A77" s="340"/>
      <c r="B77" s="333" t="str">
        <f>'Yakin Pasifik Tuna'!B84</f>
        <v/>
      </c>
      <c r="C77" s="340"/>
      <c r="D77" s="340"/>
      <c r="E77" s="237"/>
      <c r="F77" s="237"/>
      <c r="G77" s="237"/>
      <c r="H77" s="237"/>
      <c r="I77" s="237"/>
      <c r="J77" s="237"/>
      <c r="K77" s="237"/>
    </row>
    <row r="78" ht="15.75" customHeight="1">
      <c r="A78" s="340"/>
      <c r="B78" s="333" t="str">
        <f>'Yakin Pasifik Tuna'!B85</f>
        <v/>
      </c>
      <c r="C78" s="340"/>
      <c r="D78" s="340"/>
      <c r="E78" s="237"/>
      <c r="F78" s="237"/>
      <c r="G78" s="237"/>
      <c r="H78" s="237"/>
      <c r="I78" s="237"/>
      <c r="J78" s="237"/>
      <c r="K78" s="237"/>
    </row>
    <row r="79" ht="15.75" customHeight="1">
      <c r="A79" s="340"/>
      <c r="B79" s="333"/>
      <c r="C79" s="340"/>
      <c r="D79" s="340"/>
      <c r="E79" s="237"/>
      <c r="F79" s="237"/>
      <c r="G79" s="237"/>
      <c r="H79" s="237"/>
      <c r="I79" s="237"/>
      <c r="J79" s="237"/>
      <c r="K79" s="237"/>
    </row>
    <row r="80" ht="15.75" customHeight="1">
      <c r="A80" s="340"/>
      <c r="B80" s="333"/>
      <c r="C80" s="340"/>
      <c r="D80" s="340"/>
      <c r="E80" s="237"/>
      <c r="F80" s="237"/>
      <c r="G80" s="237"/>
      <c r="H80" s="237"/>
      <c r="I80" s="237"/>
      <c r="J80" s="237"/>
      <c r="K80" s="237"/>
    </row>
    <row r="81" ht="15.75" customHeight="1">
      <c r="B81" s="334"/>
      <c r="E81" s="124"/>
      <c r="F81" s="124"/>
      <c r="G81" s="124"/>
      <c r="H81" s="124"/>
      <c r="I81" s="124"/>
      <c r="J81" s="124"/>
      <c r="K81" s="124"/>
    </row>
    <row r="82" ht="15.75" customHeight="1">
      <c r="B82" s="334"/>
      <c r="E82" s="124"/>
      <c r="F82" s="124"/>
      <c r="G82" s="124"/>
      <c r="H82" s="124"/>
      <c r="I82" s="124"/>
      <c r="J82" s="124"/>
      <c r="K82" s="124"/>
    </row>
    <row r="83" ht="15.75" customHeight="1">
      <c r="B83" s="334"/>
      <c r="E83" s="124"/>
      <c r="F83" s="124"/>
      <c r="G83" s="124"/>
      <c r="H83" s="124"/>
      <c r="I83" s="124"/>
      <c r="J83" s="124"/>
      <c r="K83" s="124"/>
    </row>
    <row r="84" ht="15.75" customHeight="1">
      <c r="B84" s="334"/>
      <c r="E84" s="124"/>
      <c r="F84" s="124"/>
      <c r="G84" s="124"/>
      <c r="H84" s="124"/>
      <c r="I84" s="124"/>
      <c r="J84" s="124"/>
      <c r="K84" s="124"/>
    </row>
    <row r="85" ht="15.75" customHeight="1">
      <c r="B85" s="334"/>
      <c r="E85" s="124"/>
      <c r="F85" s="124"/>
      <c r="G85" s="124"/>
      <c r="H85" s="124"/>
      <c r="I85" s="124"/>
      <c r="J85" s="124"/>
      <c r="K85" s="124"/>
    </row>
    <row r="86" ht="15.75" customHeight="1">
      <c r="B86" s="334"/>
      <c r="E86" s="124"/>
      <c r="F86" s="124"/>
      <c r="G86" s="124"/>
      <c r="H86" s="124"/>
      <c r="I86" s="124"/>
      <c r="J86" s="124"/>
      <c r="K86" s="124"/>
    </row>
    <row r="87" ht="15.75" customHeight="1">
      <c r="B87" s="334"/>
      <c r="E87" s="124"/>
      <c r="F87" s="124"/>
      <c r="G87" s="124"/>
      <c r="H87" s="124"/>
      <c r="I87" s="124"/>
      <c r="J87" s="124"/>
      <c r="K87" s="124"/>
    </row>
    <row r="88" ht="15.75" customHeight="1">
      <c r="B88" s="334"/>
      <c r="E88" s="124"/>
      <c r="F88" s="124"/>
      <c r="G88" s="124"/>
      <c r="H88" s="124"/>
      <c r="I88" s="124"/>
      <c r="J88" s="124"/>
      <c r="K88" s="124"/>
    </row>
    <row r="89" ht="15.75" customHeight="1">
      <c r="B89" s="334"/>
      <c r="E89" s="124"/>
      <c r="F89" s="124"/>
      <c r="G89" s="124"/>
      <c r="H89" s="124"/>
      <c r="I89" s="124"/>
      <c r="J89" s="124"/>
      <c r="K89" s="124"/>
    </row>
    <row r="90" ht="15.75" customHeight="1">
      <c r="B90" s="334"/>
      <c r="E90" s="124"/>
      <c r="F90" s="124"/>
      <c r="G90" s="124"/>
      <c r="H90" s="124"/>
      <c r="I90" s="124"/>
      <c r="J90" s="124"/>
      <c r="K90" s="124"/>
    </row>
    <row r="91" ht="15.75" customHeight="1">
      <c r="B91" s="334"/>
      <c r="E91" s="124"/>
      <c r="F91" s="124"/>
      <c r="G91" s="124"/>
      <c r="H91" s="124"/>
      <c r="I91" s="124"/>
      <c r="J91" s="124"/>
      <c r="K91" s="124"/>
    </row>
    <row r="92" ht="15.75" customHeight="1">
      <c r="B92" s="334"/>
      <c r="E92" s="124"/>
      <c r="F92" s="124"/>
      <c r="G92" s="124"/>
      <c r="H92" s="124"/>
      <c r="I92" s="124"/>
      <c r="J92" s="124"/>
      <c r="K92" s="124"/>
    </row>
    <row r="93" ht="15.75" customHeight="1">
      <c r="B93" s="334"/>
      <c r="E93" s="124"/>
      <c r="F93" s="124"/>
      <c r="G93" s="124"/>
      <c r="H93" s="124"/>
      <c r="I93" s="124"/>
      <c r="J93" s="124"/>
      <c r="K93" s="124"/>
    </row>
    <row r="94" ht="15.75" customHeight="1">
      <c r="B94" s="334"/>
      <c r="E94" s="124"/>
      <c r="F94" s="124"/>
      <c r="G94" s="124"/>
      <c r="H94" s="124"/>
      <c r="I94" s="124"/>
      <c r="J94" s="124"/>
      <c r="K94" s="124"/>
    </row>
    <row r="95" ht="15.75" customHeight="1">
      <c r="B95" s="334"/>
      <c r="E95" s="124"/>
      <c r="F95" s="124"/>
      <c r="G95" s="124"/>
      <c r="H95" s="124"/>
      <c r="I95" s="124"/>
      <c r="J95" s="124"/>
      <c r="K95" s="124"/>
    </row>
    <row r="96" ht="15.75" customHeight="1">
      <c r="B96" s="334"/>
      <c r="E96" s="124"/>
      <c r="F96" s="124"/>
      <c r="G96" s="124"/>
      <c r="H96" s="124"/>
      <c r="I96" s="124"/>
      <c r="J96" s="124"/>
      <c r="K96" s="124"/>
    </row>
    <row r="97" ht="15.75" customHeight="1">
      <c r="B97" s="334"/>
      <c r="E97" s="124"/>
      <c r="F97" s="124"/>
      <c r="G97" s="124"/>
      <c r="H97" s="124"/>
      <c r="I97" s="124"/>
      <c r="J97" s="124"/>
      <c r="K97" s="124"/>
    </row>
    <row r="98" ht="15.75" customHeight="1">
      <c r="B98" s="334"/>
      <c r="E98" s="124"/>
      <c r="F98" s="124"/>
      <c r="G98" s="124"/>
      <c r="H98" s="124"/>
      <c r="I98" s="124"/>
      <c r="J98" s="124"/>
      <c r="K98" s="124"/>
    </row>
    <row r="99" ht="15.75" customHeight="1">
      <c r="B99" s="334"/>
      <c r="E99" s="124"/>
      <c r="F99" s="124"/>
      <c r="G99" s="124"/>
      <c r="H99" s="124"/>
      <c r="I99" s="124"/>
      <c r="J99" s="124"/>
      <c r="K99" s="124"/>
    </row>
    <row r="100" ht="15.75" customHeight="1">
      <c r="B100" s="334"/>
      <c r="E100" s="124"/>
      <c r="F100" s="124"/>
      <c r="G100" s="124"/>
      <c r="H100" s="124"/>
      <c r="I100" s="124"/>
      <c r="J100" s="124"/>
      <c r="K100" s="124"/>
    </row>
    <row r="101" ht="15.75" customHeight="1">
      <c r="B101" s="334"/>
      <c r="E101" s="124"/>
      <c r="F101" s="124"/>
      <c r="G101" s="124"/>
      <c r="H101" s="124"/>
      <c r="I101" s="124"/>
      <c r="J101" s="124"/>
      <c r="K101" s="124"/>
    </row>
    <row r="102" ht="15.75" customHeight="1">
      <c r="B102" s="334"/>
      <c r="E102" s="124"/>
      <c r="F102" s="124"/>
      <c r="G102" s="124"/>
      <c r="H102" s="124"/>
      <c r="I102" s="124"/>
      <c r="J102" s="124"/>
      <c r="K102" s="124"/>
    </row>
    <row r="103" ht="15.75" customHeight="1">
      <c r="B103" s="334"/>
      <c r="E103" s="124"/>
      <c r="F103" s="124"/>
      <c r="G103" s="124"/>
      <c r="H103" s="124"/>
      <c r="I103" s="124"/>
      <c r="J103" s="124"/>
      <c r="K103" s="124"/>
    </row>
    <row r="104" ht="15.75" customHeight="1">
      <c r="B104" s="334"/>
      <c r="E104" s="124"/>
      <c r="F104" s="124"/>
      <c r="G104" s="124"/>
      <c r="H104" s="124"/>
      <c r="I104" s="124"/>
      <c r="J104" s="124"/>
      <c r="K104" s="124"/>
    </row>
    <row r="105" ht="15.75" customHeight="1">
      <c r="B105" s="334"/>
      <c r="E105" s="124"/>
      <c r="F105" s="124"/>
      <c r="G105" s="124"/>
      <c r="H105" s="124"/>
      <c r="I105" s="124"/>
      <c r="J105" s="124"/>
      <c r="K105" s="124"/>
    </row>
    <row r="106" ht="15.75" customHeight="1">
      <c r="B106" s="334"/>
      <c r="E106" s="124"/>
      <c r="F106" s="124"/>
      <c r="G106" s="124"/>
      <c r="H106" s="124"/>
      <c r="I106" s="124"/>
      <c r="J106" s="124"/>
      <c r="K106" s="124"/>
    </row>
    <row r="107" ht="15.75" customHeight="1">
      <c r="B107" s="334"/>
      <c r="E107" s="124"/>
      <c r="F107" s="124"/>
      <c r="G107" s="124"/>
      <c r="H107" s="124"/>
      <c r="I107" s="124"/>
      <c r="J107" s="124"/>
      <c r="K107" s="124"/>
    </row>
    <row r="108" ht="15.75" customHeight="1">
      <c r="B108" s="334"/>
      <c r="E108" s="124"/>
      <c r="F108" s="124"/>
      <c r="G108" s="124"/>
      <c r="H108" s="124"/>
      <c r="I108" s="124"/>
      <c r="J108" s="124"/>
      <c r="K108" s="124"/>
    </row>
    <row r="109" ht="15.75" customHeight="1">
      <c r="B109" s="334"/>
      <c r="E109" s="124"/>
      <c r="F109" s="124"/>
      <c r="G109" s="124"/>
      <c r="H109" s="124"/>
      <c r="I109" s="124"/>
      <c r="J109" s="124"/>
      <c r="K109" s="124"/>
    </row>
    <row r="110" ht="15.75" customHeight="1">
      <c r="B110" s="334"/>
      <c r="E110" s="124"/>
      <c r="F110" s="124"/>
      <c r="G110" s="124"/>
      <c r="H110" s="124"/>
      <c r="I110" s="124"/>
      <c r="J110" s="124"/>
      <c r="K110" s="124"/>
    </row>
    <row r="111" ht="15.75" customHeight="1">
      <c r="B111" s="334"/>
      <c r="E111" s="124"/>
      <c r="F111" s="124"/>
      <c r="G111" s="124"/>
      <c r="H111" s="124"/>
      <c r="I111" s="124"/>
      <c r="J111" s="124"/>
      <c r="K111" s="124"/>
    </row>
    <row r="112" ht="15.75" customHeight="1">
      <c r="B112" s="334"/>
      <c r="E112" s="124"/>
      <c r="F112" s="124"/>
      <c r="G112" s="124"/>
      <c r="H112" s="124"/>
      <c r="I112" s="124"/>
      <c r="J112" s="124"/>
      <c r="K112" s="124"/>
    </row>
    <row r="113" ht="15.75" customHeight="1">
      <c r="B113" s="334"/>
      <c r="E113" s="124"/>
      <c r="F113" s="124"/>
      <c r="G113" s="124"/>
      <c r="H113" s="124"/>
      <c r="I113" s="124"/>
      <c r="J113" s="124"/>
      <c r="K113" s="124"/>
    </row>
    <row r="114" ht="15.75" customHeight="1">
      <c r="B114" s="334"/>
      <c r="E114" s="124"/>
      <c r="F114" s="124"/>
      <c r="G114" s="124"/>
      <c r="H114" s="124"/>
      <c r="I114" s="124"/>
      <c r="J114" s="124"/>
      <c r="K114" s="124"/>
    </row>
    <row r="115" ht="15.75" customHeight="1">
      <c r="B115" s="334"/>
      <c r="E115" s="124"/>
      <c r="F115" s="124"/>
      <c r="G115" s="124"/>
      <c r="H115" s="124"/>
      <c r="I115" s="124"/>
      <c r="J115" s="124"/>
      <c r="K115" s="124"/>
    </row>
    <row r="116" ht="15.75" customHeight="1">
      <c r="B116" s="334"/>
      <c r="E116" s="124"/>
      <c r="F116" s="124"/>
      <c r="G116" s="124"/>
      <c r="H116" s="124"/>
      <c r="I116" s="124"/>
      <c r="J116" s="124"/>
      <c r="K116" s="124"/>
    </row>
    <row r="117" ht="15.75" customHeight="1">
      <c r="B117" s="334"/>
      <c r="E117" s="124"/>
      <c r="F117" s="124"/>
      <c r="G117" s="124"/>
      <c r="H117" s="124"/>
      <c r="I117" s="124"/>
      <c r="J117" s="124"/>
      <c r="K117" s="124"/>
    </row>
    <row r="118" ht="15.75" customHeight="1">
      <c r="B118" s="334"/>
      <c r="E118" s="124"/>
      <c r="F118" s="124"/>
      <c r="G118" s="124"/>
      <c r="H118" s="124"/>
      <c r="I118" s="124"/>
      <c r="J118" s="124"/>
      <c r="K118" s="124"/>
    </row>
    <row r="119" ht="15.75" customHeight="1">
      <c r="B119" s="334"/>
      <c r="E119" s="124"/>
      <c r="F119" s="124"/>
      <c r="G119" s="124"/>
      <c r="H119" s="124"/>
      <c r="I119" s="124"/>
      <c r="J119" s="124"/>
      <c r="K119" s="124"/>
    </row>
    <row r="120" ht="15.75" customHeight="1">
      <c r="B120" s="334"/>
      <c r="E120" s="124"/>
      <c r="F120" s="124"/>
      <c r="G120" s="124"/>
      <c r="H120" s="124"/>
      <c r="I120" s="124"/>
      <c r="J120" s="124"/>
      <c r="K120" s="124"/>
    </row>
    <row r="121" ht="15.75" customHeight="1">
      <c r="B121" s="334"/>
      <c r="E121" s="124"/>
      <c r="F121" s="124"/>
      <c r="G121" s="124"/>
      <c r="H121" s="124"/>
      <c r="I121" s="124"/>
      <c r="J121" s="124"/>
      <c r="K121" s="124"/>
    </row>
    <row r="122" ht="15.75" customHeight="1">
      <c r="B122" s="334"/>
      <c r="E122" s="124"/>
      <c r="F122" s="124"/>
      <c r="G122" s="124"/>
      <c r="H122" s="124"/>
      <c r="I122" s="124"/>
      <c r="J122" s="124"/>
      <c r="K122" s="124"/>
    </row>
    <row r="123" ht="15.75" customHeight="1">
      <c r="B123" s="334"/>
      <c r="E123" s="124"/>
      <c r="F123" s="124"/>
      <c r="G123" s="124"/>
      <c r="H123" s="124"/>
      <c r="I123" s="124"/>
      <c r="J123" s="124"/>
      <c r="K123" s="124"/>
    </row>
    <row r="124" ht="15.75" customHeight="1">
      <c r="B124" s="334"/>
      <c r="E124" s="124"/>
      <c r="F124" s="124"/>
      <c r="G124" s="124"/>
      <c r="H124" s="124"/>
      <c r="I124" s="124"/>
      <c r="J124" s="124"/>
      <c r="K124" s="124"/>
    </row>
    <row r="125" ht="15.75" customHeight="1">
      <c r="B125" s="334"/>
      <c r="E125" s="124"/>
      <c r="F125" s="124"/>
      <c r="G125" s="124"/>
      <c r="H125" s="124"/>
      <c r="I125" s="124"/>
      <c r="J125" s="124"/>
      <c r="K125" s="124"/>
    </row>
    <row r="126" ht="15.75" customHeight="1">
      <c r="B126" s="334"/>
      <c r="E126" s="124"/>
      <c r="F126" s="124"/>
      <c r="G126" s="124"/>
      <c r="H126" s="124"/>
      <c r="I126" s="124"/>
      <c r="J126" s="124"/>
      <c r="K126" s="124"/>
    </row>
    <row r="127" ht="15.75" customHeight="1">
      <c r="B127" s="334"/>
      <c r="E127" s="124"/>
      <c r="F127" s="124"/>
      <c r="G127" s="124"/>
      <c r="H127" s="124"/>
      <c r="I127" s="124"/>
      <c r="J127" s="124"/>
      <c r="K127" s="124"/>
    </row>
    <row r="128" ht="15.75" customHeight="1">
      <c r="B128" s="334"/>
      <c r="E128" s="124"/>
      <c r="F128" s="124"/>
      <c r="G128" s="124"/>
      <c r="H128" s="124"/>
      <c r="I128" s="124"/>
      <c r="J128" s="124"/>
      <c r="K128" s="124"/>
    </row>
    <row r="129" ht="15.75" customHeight="1">
      <c r="B129" s="334"/>
      <c r="E129" s="124"/>
      <c r="F129" s="124"/>
      <c r="G129" s="124"/>
      <c r="H129" s="124"/>
      <c r="I129" s="124"/>
      <c r="J129" s="124"/>
      <c r="K129" s="124"/>
    </row>
    <row r="130" ht="15.75" customHeight="1">
      <c r="B130" s="334"/>
      <c r="E130" s="124"/>
      <c r="F130" s="124"/>
      <c r="G130" s="124"/>
      <c r="H130" s="124"/>
      <c r="I130" s="124"/>
      <c r="J130" s="124"/>
      <c r="K130" s="124"/>
    </row>
    <row r="131" ht="15.75" customHeight="1">
      <c r="B131" s="334"/>
      <c r="E131" s="124"/>
      <c r="F131" s="124"/>
      <c r="G131" s="124"/>
      <c r="H131" s="124"/>
      <c r="I131" s="124"/>
      <c r="J131" s="124"/>
      <c r="K131" s="124"/>
    </row>
    <row r="132" ht="15.75" customHeight="1">
      <c r="B132" s="334"/>
      <c r="E132" s="124"/>
      <c r="F132" s="124"/>
      <c r="G132" s="124"/>
      <c r="H132" s="124"/>
      <c r="I132" s="124"/>
      <c r="J132" s="124"/>
      <c r="K132" s="124"/>
    </row>
    <row r="133" ht="15.75" customHeight="1">
      <c r="B133" s="334"/>
      <c r="E133" s="124"/>
      <c r="F133" s="124"/>
      <c r="G133" s="124"/>
      <c r="H133" s="124"/>
      <c r="I133" s="124"/>
      <c r="J133" s="124"/>
      <c r="K133" s="124"/>
    </row>
    <row r="134" ht="15.75" customHeight="1">
      <c r="B134" s="334"/>
      <c r="E134" s="124"/>
      <c r="F134" s="124"/>
      <c r="G134" s="124"/>
      <c r="H134" s="124"/>
      <c r="I134" s="124"/>
      <c r="J134" s="124"/>
      <c r="K134" s="124"/>
    </row>
    <row r="135" ht="15.75" customHeight="1">
      <c r="B135" s="334"/>
      <c r="E135" s="124"/>
      <c r="F135" s="124"/>
      <c r="G135" s="124"/>
      <c r="H135" s="124"/>
      <c r="I135" s="124"/>
      <c r="J135" s="124"/>
      <c r="K135" s="124"/>
    </row>
    <row r="136" ht="15.75" customHeight="1">
      <c r="B136" s="334"/>
      <c r="E136" s="124"/>
      <c r="F136" s="124"/>
      <c r="G136" s="124"/>
      <c r="H136" s="124"/>
      <c r="I136" s="124"/>
      <c r="J136" s="124"/>
      <c r="K136" s="124"/>
    </row>
    <row r="137" ht="15.75" customHeight="1">
      <c r="B137" s="334"/>
      <c r="E137" s="124"/>
      <c r="F137" s="124"/>
      <c r="G137" s="124"/>
      <c r="H137" s="124"/>
      <c r="I137" s="124"/>
      <c r="J137" s="124"/>
      <c r="K137" s="124"/>
    </row>
    <row r="138" ht="15.75" customHeight="1">
      <c r="B138" s="334"/>
      <c r="E138" s="124"/>
      <c r="F138" s="124"/>
      <c r="G138" s="124"/>
      <c r="H138" s="124"/>
      <c r="I138" s="124"/>
      <c r="J138" s="124"/>
      <c r="K138" s="124"/>
    </row>
    <row r="139" ht="15.75" customHeight="1">
      <c r="B139" s="334"/>
      <c r="E139" s="124"/>
      <c r="F139" s="124"/>
      <c r="G139" s="124"/>
      <c r="H139" s="124"/>
      <c r="I139" s="124"/>
      <c r="J139" s="124"/>
      <c r="K139" s="124"/>
    </row>
    <row r="140" ht="15.75" customHeight="1">
      <c r="B140" s="334"/>
      <c r="E140" s="124"/>
      <c r="F140" s="124"/>
      <c r="G140" s="124"/>
      <c r="H140" s="124"/>
      <c r="I140" s="124"/>
      <c r="J140" s="124"/>
      <c r="K140" s="124"/>
    </row>
    <row r="141" ht="15.75" customHeight="1">
      <c r="B141" s="334"/>
      <c r="E141" s="124"/>
      <c r="F141" s="124"/>
      <c r="G141" s="124"/>
      <c r="H141" s="124"/>
      <c r="I141" s="124"/>
      <c r="J141" s="124"/>
      <c r="K141" s="124"/>
    </row>
    <row r="142" ht="15.75" customHeight="1">
      <c r="B142" s="334"/>
      <c r="E142" s="124"/>
      <c r="F142" s="124"/>
      <c r="G142" s="124"/>
      <c r="H142" s="124"/>
      <c r="I142" s="124"/>
      <c r="J142" s="124"/>
      <c r="K142" s="124"/>
    </row>
    <row r="143" ht="15.75" customHeight="1">
      <c r="B143" s="334"/>
      <c r="E143" s="124"/>
      <c r="F143" s="124"/>
      <c r="G143" s="124"/>
      <c r="H143" s="124"/>
      <c r="I143" s="124"/>
      <c r="J143" s="124"/>
      <c r="K143" s="124"/>
    </row>
    <row r="144" ht="15.75" customHeight="1">
      <c r="B144" s="334"/>
      <c r="E144" s="124"/>
      <c r="F144" s="124"/>
      <c r="G144" s="124"/>
      <c r="H144" s="124"/>
      <c r="I144" s="124"/>
      <c r="J144" s="124"/>
      <c r="K144" s="124"/>
    </row>
    <row r="145" ht="15.75" customHeight="1">
      <c r="B145" s="334"/>
      <c r="E145" s="124"/>
      <c r="F145" s="124"/>
      <c r="G145" s="124"/>
      <c r="H145" s="124"/>
      <c r="I145" s="124"/>
      <c r="J145" s="124"/>
      <c r="K145" s="124"/>
    </row>
    <row r="146" ht="15.75" customHeight="1">
      <c r="B146" s="334"/>
      <c r="E146" s="124"/>
      <c r="F146" s="124"/>
      <c r="G146" s="124"/>
      <c r="H146" s="124"/>
      <c r="I146" s="124"/>
      <c r="J146" s="124"/>
      <c r="K146" s="124"/>
    </row>
    <row r="147" ht="15.75" customHeight="1">
      <c r="B147" s="334"/>
      <c r="E147" s="124"/>
      <c r="F147" s="124"/>
      <c r="G147" s="124"/>
      <c r="H147" s="124"/>
      <c r="I147" s="124"/>
      <c r="J147" s="124"/>
      <c r="K147" s="124"/>
    </row>
    <row r="148" ht="15.75" customHeight="1">
      <c r="B148" s="334"/>
      <c r="E148" s="124"/>
      <c r="F148" s="124"/>
      <c r="G148" s="124"/>
      <c r="H148" s="124"/>
      <c r="I148" s="124"/>
      <c r="J148" s="124"/>
      <c r="K148" s="124"/>
    </row>
    <row r="149" ht="15.75" customHeight="1">
      <c r="B149" s="334"/>
      <c r="E149" s="124"/>
      <c r="F149" s="124"/>
      <c r="G149" s="124"/>
      <c r="H149" s="124"/>
      <c r="I149" s="124"/>
      <c r="J149" s="124"/>
      <c r="K149" s="124"/>
    </row>
    <row r="150" ht="15.75" customHeight="1">
      <c r="B150" s="334"/>
      <c r="E150" s="124"/>
      <c r="F150" s="124"/>
      <c r="G150" s="124"/>
      <c r="H150" s="124"/>
      <c r="I150" s="124"/>
      <c r="J150" s="124"/>
      <c r="K150" s="124"/>
    </row>
    <row r="151" ht="15.75" customHeight="1">
      <c r="B151" s="334"/>
      <c r="E151" s="124"/>
      <c r="F151" s="124"/>
      <c r="G151" s="124"/>
      <c r="H151" s="124"/>
      <c r="I151" s="124"/>
      <c r="J151" s="124"/>
      <c r="K151" s="124"/>
    </row>
    <row r="152" ht="15.75" customHeight="1">
      <c r="B152" s="334"/>
      <c r="E152" s="124"/>
      <c r="F152" s="124"/>
      <c r="G152" s="124"/>
      <c r="H152" s="124"/>
      <c r="I152" s="124"/>
      <c r="J152" s="124"/>
      <c r="K152" s="124"/>
    </row>
    <row r="153" ht="15.75" customHeight="1">
      <c r="B153" s="334"/>
      <c r="E153" s="124"/>
      <c r="F153" s="124"/>
      <c r="G153" s="124"/>
      <c r="H153" s="124"/>
      <c r="I153" s="124"/>
      <c r="J153" s="124"/>
      <c r="K153" s="124"/>
    </row>
    <row r="154" ht="15.75" customHeight="1">
      <c r="B154" s="334"/>
      <c r="E154" s="124"/>
      <c r="F154" s="124"/>
      <c r="G154" s="124"/>
      <c r="H154" s="124"/>
      <c r="I154" s="124"/>
      <c r="J154" s="124"/>
      <c r="K154" s="124"/>
    </row>
    <row r="155" ht="15.75" customHeight="1">
      <c r="B155" s="334"/>
      <c r="E155" s="124"/>
      <c r="F155" s="124"/>
      <c r="G155" s="124"/>
      <c r="H155" s="124"/>
      <c r="I155" s="124"/>
      <c r="J155" s="124"/>
      <c r="K155" s="124"/>
    </row>
    <row r="156" ht="15.75" customHeight="1">
      <c r="B156" s="334"/>
      <c r="E156" s="124"/>
      <c r="F156" s="124"/>
      <c r="G156" s="124"/>
      <c r="H156" s="124"/>
      <c r="I156" s="124"/>
      <c r="J156" s="124"/>
      <c r="K156" s="124"/>
    </row>
    <row r="157" ht="15.75" customHeight="1">
      <c r="B157" s="334"/>
      <c r="E157" s="124"/>
      <c r="F157" s="124"/>
      <c r="G157" s="124"/>
      <c r="H157" s="124"/>
      <c r="I157" s="124"/>
      <c r="J157" s="124"/>
      <c r="K157" s="124"/>
    </row>
    <row r="158" ht="15.75" customHeight="1">
      <c r="B158" s="334"/>
      <c r="E158" s="124"/>
      <c r="F158" s="124"/>
      <c r="G158" s="124"/>
      <c r="H158" s="124"/>
      <c r="I158" s="124"/>
      <c r="J158" s="124"/>
      <c r="K158" s="124"/>
    </row>
    <row r="159" ht="15.75" customHeight="1">
      <c r="B159" s="334"/>
      <c r="E159" s="124"/>
      <c r="F159" s="124"/>
      <c r="G159" s="124"/>
      <c r="H159" s="124"/>
      <c r="I159" s="124"/>
      <c r="J159" s="124"/>
      <c r="K159" s="124"/>
    </row>
    <row r="160" ht="15.75" customHeight="1">
      <c r="B160" s="334"/>
      <c r="E160" s="124"/>
      <c r="F160" s="124"/>
      <c r="G160" s="124"/>
      <c r="H160" s="124"/>
      <c r="I160" s="124"/>
      <c r="J160" s="124"/>
      <c r="K160" s="124"/>
    </row>
    <row r="161" ht="15.75" customHeight="1">
      <c r="B161" s="334"/>
      <c r="E161" s="124"/>
      <c r="F161" s="124"/>
      <c r="G161" s="124"/>
      <c r="H161" s="124"/>
      <c r="I161" s="124"/>
      <c r="J161" s="124"/>
      <c r="K161" s="124"/>
    </row>
    <row r="162" ht="15.75" customHeight="1">
      <c r="B162" s="334"/>
      <c r="E162" s="124"/>
      <c r="F162" s="124"/>
      <c r="G162" s="124"/>
      <c r="H162" s="124"/>
      <c r="I162" s="124"/>
      <c r="J162" s="124"/>
      <c r="K162" s="124"/>
    </row>
    <row r="163" ht="15.75" customHeight="1">
      <c r="B163" s="334"/>
      <c r="E163" s="124"/>
      <c r="F163" s="124"/>
      <c r="G163" s="124"/>
      <c r="H163" s="124"/>
      <c r="I163" s="124"/>
      <c r="J163" s="124"/>
      <c r="K163" s="124"/>
    </row>
    <row r="164" ht="15.75" customHeight="1">
      <c r="B164" s="334"/>
      <c r="E164" s="124"/>
      <c r="F164" s="124"/>
      <c r="G164" s="124"/>
      <c r="H164" s="124"/>
      <c r="I164" s="124"/>
      <c r="J164" s="124"/>
      <c r="K164" s="124"/>
    </row>
    <row r="165" ht="15.75" customHeight="1">
      <c r="B165" s="334"/>
      <c r="E165" s="124"/>
      <c r="F165" s="124"/>
      <c r="G165" s="124"/>
      <c r="H165" s="124"/>
      <c r="I165" s="124"/>
      <c r="J165" s="124"/>
      <c r="K165" s="124"/>
    </row>
    <row r="166" ht="15.75" customHeight="1">
      <c r="B166" s="334"/>
      <c r="E166" s="124"/>
      <c r="F166" s="124"/>
      <c r="G166" s="124"/>
      <c r="H166" s="124"/>
      <c r="I166" s="124"/>
      <c r="J166" s="124"/>
      <c r="K166" s="124"/>
    </row>
    <row r="167" ht="15.75" customHeight="1">
      <c r="B167" s="334"/>
      <c r="E167" s="124"/>
      <c r="F167" s="124"/>
      <c r="G167" s="124"/>
      <c r="H167" s="124"/>
      <c r="I167" s="124"/>
      <c r="J167" s="124"/>
      <c r="K167" s="124"/>
    </row>
    <row r="168" ht="15.75" customHeight="1">
      <c r="B168" s="334"/>
      <c r="E168" s="124"/>
      <c r="F168" s="124"/>
      <c r="G168" s="124"/>
      <c r="H168" s="124"/>
      <c r="I168" s="124"/>
      <c r="J168" s="124"/>
      <c r="K168" s="124"/>
    </row>
    <row r="169" ht="15.75" customHeight="1">
      <c r="B169" s="334"/>
      <c r="E169" s="124"/>
      <c r="F169" s="124"/>
      <c r="G169" s="124"/>
      <c r="H169" s="124"/>
      <c r="I169" s="124"/>
      <c r="J169" s="124"/>
      <c r="K169" s="124"/>
    </row>
    <row r="170" ht="15.75" customHeight="1">
      <c r="B170" s="334"/>
      <c r="E170" s="124"/>
      <c r="F170" s="124"/>
      <c r="G170" s="124"/>
      <c r="H170" s="124"/>
      <c r="I170" s="124"/>
      <c r="J170" s="124"/>
      <c r="K170" s="124"/>
    </row>
    <row r="171" ht="15.75" customHeight="1">
      <c r="B171" s="334"/>
      <c r="E171" s="124"/>
      <c r="F171" s="124"/>
      <c r="G171" s="124"/>
      <c r="H171" s="124"/>
      <c r="I171" s="124"/>
      <c r="J171" s="124"/>
      <c r="K171" s="124"/>
    </row>
    <row r="172" ht="15.75" customHeight="1">
      <c r="B172" s="334"/>
      <c r="E172" s="124"/>
      <c r="F172" s="124"/>
      <c r="G172" s="124"/>
      <c r="H172" s="124"/>
      <c r="I172" s="124"/>
      <c r="J172" s="124"/>
      <c r="K172" s="124"/>
    </row>
    <row r="173" ht="15.75" customHeight="1">
      <c r="B173" s="334"/>
      <c r="E173" s="124"/>
      <c r="F173" s="124"/>
      <c r="G173" s="124"/>
      <c r="H173" s="124"/>
      <c r="I173" s="124"/>
      <c r="J173" s="124"/>
      <c r="K173" s="124"/>
    </row>
    <row r="174" ht="15.75" customHeight="1">
      <c r="B174" s="334"/>
      <c r="E174" s="124"/>
      <c r="F174" s="124"/>
      <c r="G174" s="124"/>
      <c r="H174" s="124"/>
      <c r="I174" s="124"/>
      <c r="J174" s="124"/>
      <c r="K174" s="124"/>
    </row>
    <row r="175" ht="15.75" customHeight="1">
      <c r="B175" s="334"/>
      <c r="E175" s="124"/>
      <c r="F175" s="124"/>
      <c r="G175" s="124"/>
      <c r="H175" s="124"/>
      <c r="I175" s="124"/>
      <c r="J175" s="124"/>
      <c r="K175" s="124"/>
    </row>
    <row r="176" ht="15.75" customHeight="1">
      <c r="B176" s="334"/>
      <c r="E176" s="124"/>
      <c r="F176" s="124"/>
      <c r="G176" s="124"/>
      <c r="H176" s="124"/>
      <c r="I176" s="124"/>
      <c r="J176" s="124"/>
      <c r="K176" s="124"/>
    </row>
    <row r="177" ht="15.75" customHeight="1">
      <c r="B177" s="334"/>
      <c r="E177" s="124"/>
      <c r="F177" s="124"/>
      <c r="G177" s="124"/>
      <c r="H177" s="124"/>
      <c r="I177" s="124"/>
      <c r="J177" s="124"/>
      <c r="K177" s="124"/>
    </row>
    <row r="178" ht="15.75" customHeight="1">
      <c r="B178" s="334"/>
      <c r="E178" s="124"/>
      <c r="F178" s="124"/>
      <c r="G178" s="124"/>
      <c r="H178" s="124"/>
      <c r="I178" s="124"/>
      <c r="J178" s="124"/>
      <c r="K178" s="124"/>
    </row>
    <row r="179" ht="15.75" customHeight="1">
      <c r="B179" s="334"/>
      <c r="E179" s="124"/>
      <c r="F179" s="124"/>
      <c r="G179" s="124"/>
      <c r="H179" s="124"/>
      <c r="I179" s="124"/>
      <c r="J179" s="124"/>
      <c r="K179" s="124"/>
    </row>
    <row r="180" ht="15.75" customHeight="1">
      <c r="B180" s="334"/>
      <c r="E180" s="124"/>
      <c r="F180" s="124"/>
      <c r="G180" s="124"/>
      <c r="H180" s="124"/>
      <c r="I180" s="124"/>
      <c r="J180" s="124"/>
      <c r="K180" s="124"/>
    </row>
    <row r="181" ht="15.75" customHeight="1">
      <c r="B181" s="334"/>
      <c r="E181" s="124"/>
      <c r="F181" s="124"/>
      <c r="G181" s="124"/>
      <c r="H181" s="124"/>
      <c r="I181" s="124"/>
      <c r="J181" s="124"/>
      <c r="K181" s="124"/>
    </row>
    <row r="182" ht="15.75" customHeight="1">
      <c r="B182" s="334"/>
      <c r="E182" s="124"/>
      <c r="F182" s="124"/>
      <c r="G182" s="124"/>
      <c r="H182" s="124"/>
      <c r="I182" s="124"/>
      <c r="J182" s="124"/>
      <c r="K182" s="124"/>
    </row>
    <row r="183" ht="15.75" customHeight="1">
      <c r="B183" s="334"/>
      <c r="E183" s="124"/>
      <c r="F183" s="124"/>
      <c r="G183" s="124"/>
      <c r="H183" s="124"/>
      <c r="I183" s="124"/>
      <c r="J183" s="124"/>
      <c r="K183" s="124"/>
    </row>
    <row r="184" ht="15.75" customHeight="1">
      <c r="B184" s="334"/>
      <c r="E184" s="124"/>
      <c r="F184" s="124"/>
      <c r="G184" s="124"/>
      <c r="H184" s="124"/>
      <c r="I184" s="124"/>
      <c r="J184" s="124"/>
      <c r="K184" s="124"/>
    </row>
    <row r="185" ht="15.75" customHeight="1">
      <c r="B185" s="334"/>
      <c r="E185" s="124"/>
      <c r="F185" s="124"/>
      <c r="G185" s="124"/>
      <c r="H185" s="124"/>
      <c r="I185" s="124"/>
      <c r="J185" s="124"/>
      <c r="K185" s="124"/>
    </row>
    <row r="186" ht="15.75" customHeight="1">
      <c r="B186" s="334"/>
      <c r="E186" s="124"/>
      <c r="F186" s="124"/>
      <c r="G186" s="124"/>
      <c r="H186" s="124"/>
      <c r="I186" s="124"/>
      <c r="J186" s="124"/>
      <c r="K186" s="124"/>
    </row>
    <row r="187" ht="15.75" customHeight="1">
      <c r="B187" s="334"/>
      <c r="E187" s="124"/>
      <c r="F187" s="124"/>
      <c r="G187" s="124"/>
      <c r="H187" s="124"/>
      <c r="I187" s="124"/>
      <c r="J187" s="124"/>
      <c r="K187" s="124"/>
    </row>
    <row r="188" ht="15.75" customHeight="1">
      <c r="B188" s="334"/>
      <c r="E188" s="124"/>
      <c r="F188" s="124"/>
      <c r="G188" s="124"/>
      <c r="H188" s="124"/>
      <c r="I188" s="124"/>
      <c r="J188" s="124"/>
      <c r="K188" s="124"/>
    </row>
    <row r="189" ht="15.75" customHeight="1">
      <c r="B189" s="334"/>
      <c r="E189" s="124"/>
      <c r="F189" s="124"/>
      <c r="G189" s="124"/>
      <c r="H189" s="124"/>
      <c r="I189" s="124"/>
      <c r="J189" s="124"/>
      <c r="K189" s="124"/>
    </row>
    <row r="190" ht="15.75" customHeight="1">
      <c r="B190" s="334"/>
      <c r="E190" s="124"/>
      <c r="F190" s="124"/>
      <c r="G190" s="124"/>
      <c r="H190" s="124"/>
      <c r="I190" s="124"/>
      <c r="J190" s="124"/>
      <c r="K190" s="124"/>
    </row>
    <row r="191" ht="15.75" customHeight="1">
      <c r="B191" s="334"/>
      <c r="E191" s="124"/>
      <c r="F191" s="124"/>
      <c r="G191" s="124"/>
      <c r="H191" s="124"/>
      <c r="I191" s="124"/>
      <c r="J191" s="124"/>
      <c r="K191" s="124"/>
    </row>
    <row r="192" ht="15.75" customHeight="1">
      <c r="B192" s="334"/>
      <c r="E192" s="124"/>
      <c r="F192" s="124"/>
      <c r="G192" s="124"/>
      <c r="H192" s="124"/>
      <c r="I192" s="124"/>
      <c r="J192" s="124"/>
      <c r="K192" s="124"/>
    </row>
    <row r="193" ht="15.75" customHeight="1">
      <c r="B193" s="334"/>
      <c r="E193" s="124"/>
      <c r="F193" s="124"/>
      <c r="G193" s="124"/>
      <c r="H193" s="124"/>
      <c r="I193" s="124"/>
      <c r="J193" s="124"/>
      <c r="K193" s="124"/>
    </row>
    <row r="194" ht="15.75" customHeight="1">
      <c r="B194" s="334"/>
      <c r="E194" s="124"/>
      <c r="F194" s="124"/>
      <c r="G194" s="124"/>
      <c r="H194" s="124"/>
      <c r="I194" s="124"/>
      <c r="J194" s="124"/>
      <c r="K194" s="124"/>
    </row>
    <row r="195" ht="15.75" customHeight="1">
      <c r="B195" s="334"/>
      <c r="E195" s="124"/>
      <c r="F195" s="124"/>
      <c r="G195" s="124"/>
      <c r="H195" s="124"/>
      <c r="I195" s="124"/>
      <c r="J195" s="124"/>
      <c r="K195" s="124"/>
    </row>
    <row r="196" ht="15.75" customHeight="1">
      <c r="B196" s="334"/>
      <c r="E196" s="124"/>
      <c r="F196" s="124"/>
      <c r="G196" s="124"/>
      <c r="H196" s="124"/>
      <c r="I196" s="124"/>
      <c r="J196" s="124"/>
      <c r="K196" s="124"/>
    </row>
    <row r="197" ht="15.75" customHeight="1">
      <c r="B197" s="334"/>
      <c r="E197" s="124"/>
      <c r="F197" s="124"/>
      <c r="G197" s="124"/>
      <c r="H197" s="124"/>
      <c r="I197" s="124"/>
      <c r="J197" s="124"/>
      <c r="K197" s="124"/>
    </row>
    <row r="198" ht="15.75" customHeight="1">
      <c r="B198" s="334"/>
      <c r="E198" s="124"/>
      <c r="F198" s="124"/>
      <c r="G198" s="124"/>
      <c r="H198" s="124"/>
      <c r="I198" s="124"/>
      <c r="J198" s="124"/>
      <c r="K198" s="124"/>
    </row>
    <row r="199" ht="15.75" customHeight="1">
      <c r="B199" s="334"/>
      <c r="E199" s="124"/>
      <c r="F199" s="124"/>
      <c r="G199" s="124"/>
      <c r="H199" s="124"/>
      <c r="I199" s="124"/>
      <c r="J199" s="124"/>
      <c r="K199" s="124"/>
    </row>
    <row r="200" ht="15.75" customHeight="1">
      <c r="B200" s="334"/>
      <c r="E200" s="124"/>
      <c r="F200" s="124"/>
      <c r="G200" s="124"/>
      <c r="H200" s="124"/>
      <c r="I200" s="124"/>
      <c r="J200" s="124"/>
      <c r="K200" s="124"/>
    </row>
    <row r="201" ht="15.75" customHeight="1">
      <c r="B201" s="334"/>
      <c r="E201" s="124"/>
      <c r="F201" s="124"/>
      <c r="G201" s="124"/>
      <c r="H201" s="124"/>
      <c r="I201" s="124"/>
      <c r="J201" s="124"/>
      <c r="K201" s="124"/>
    </row>
    <row r="202" ht="15.75" customHeight="1">
      <c r="B202" s="334"/>
      <c r="E202" s="124"/>
      <c r="F202" s="124"/>
      <c r="G202" s="124"/>
      <c r="H202" s="124"/>
      <c r="I202" s="124"/>
      <c r="J202" s="124"/>
      <c r="K202" s="124"/>
    </row>
    <row r="203" ht="15.75" customHeight="1">
      <c r="B203" s="334"/>
      <c r="E203" s="124"/>
      <c r="F203" s="124"/>
      <c r="G203" s="124"/>
      <c r="H203" s="124"/>
      <c r="I203" s="124"/>
      <c r="J203" s="124"/>
      <c r="K203" s="124"/>
    </row>
    <row r="204" ht="15.75" customHeight="1">
      <c r="B204" s="334"/>
      <c r="E204" s="124"/>
      <c r="F204" s="124"/>
      <c r="G204" s="124"/>
      <c r="H204" s="124"/>
      <c r="I204" s="124"/>
      <c r="J204" s="124"/>
      <c r="K204" s="124"/>
    </row>
    <row r="205" ht="15.75" customHeight="1">
      <c r="B205" s="334"/>
      <c r="E205" s="124"/>
      <c r="F205" s="124"/>
      <c r="G205" s="124"/>
      <c r="H205" s="124"/>
      <c r="I205" s="124"/>
      <c r="J205" s="124"/>
      <c r="K205" s="124"/>
    </row>
    <row r="206" ht="15.75" customHeight="1">
      <c r="B206" s="334"/>
      <c r="E206" s="124"/>
      <c r="F206" s="124"/>
      <c r="G206" s="124"/>
      <c r="H206" s="124"/>
      <c r="I206" s="124"/>
      <c r="J206" s="124"/>
      <c r="K206" s="124"/>
    </row>
    <row r="207" ht="15.75" customHeight="1">
      <c r="B207" s="334"/>
      <c r="E207" s="124"/>
      <c r="F207" s="124"/>
      <c r="G207" s="124"/>
      <c r="H207" s="124"/>
      <c r="I207" s="124"/>
      <c r="J207" s="124"/>
      <c r="K207" s="124"/>
    </row>
    <row r="208" ht="15.75" customHeight="1">
      <c r="B208" s="334"/>
      <c r="E208" s="124"/>
      <c r="F208" s="124"/>
      <c r="G208" s="124"/>
      <c r="H208" s="124"/>
      <c r="I208" s="124"/>
      <c r="J208" s="124"/>
      <c r="K208" s="124"/>
    </row>
    <row r="209" ht="15.75" customHeight="1">
      <c r="B209" s="334"/>
      <c r="E209" s="124"/>
      <c r="F209" s="124"/>
      <c r="G209" s="124"/>
      <c r="H209" s="124"/>
      <c r="I209" s="124"/>
      <c r="J209" s="124"/>
      <c r="K209" s="124"/>
    </row>
    <row r="210" ht="15.75" customHeight="1">
      <c r="B210" s="334"/>
      <c r="E210" s="124"/>
      <c r="F210" s="124"/>
      <c r="G210" s="124"/>
      <c r="H210" s="124"/>
      <c r="I210" s="124"/>
      <c r="J210" s="124"/>
      <c r="K210" s="124"/>
    </row>
    <row r="211" ht="15.75" customHeight="1">
      <c r="B211" s="334"/>
      <c r="E211" s="124"/>
      <c r="F211" s="124"/>
      <c r="G211" s="124"/>
      <c r="H211" s="124"/>
      <c r="I211" s="124"/>
      <c r="J211" s="124"/>
      <c r="K211" s="124"/>
    </row>
    <row r="212" ht="15.75" customHeight="1">
      <c r="B212" s="334"/>
      <c r="E212" s="124"/>
      <c r="F212" s="124"/>
      <c r="G212" s="124"/>
      <c r="H212" s="124"/>
      <c r="I212" s="124"/>
      <c r="J212" s="124"/>
      <c r="K212" s="124"/>
    </row>
    <row r="213" ht="15.75" customHeight="1">
      <c r="B213" s="334"/>
      <c r="E213" s="124"/>
      <c r="F213" s="124"/>
      <c r="G213" s="124"/>
      <c r="H213" s="124"/>
      <c r="I213" s="124"/>
      <c r="J213" s="124"/>
      <c r="K213" s="124"/>
    </row>
    <row r="214" ht="15.75" customHeight="1">
      <c r="B214" s="334"/>
      <c r="E214" s="124"/>
      <c r="F214" s="124"/>
      <c r="G214" s="124"/>
      <c r="H214" s="124"/>
      <c r="I214" s="124"/>
      <c r="J214" s="124"/>
      <c r="K214" s="124"/>
    </row>
    <row r="215" ht="15.75" customHeight="1">
      <c r="B215" s="334"/>
      <c r="E215" s="124"/>
      <c r="F215" s="124"/>
      <c r="G215" s="124"/>
      <c r="H215" s="124"/>
      <c r="I215" s="124"/>
      <c r="J215" s="124"/>
      <c r="K215" s="124"/>
    </row>
    <row r="216" ht="15.75" customHeight="1">
      <c r="B216" s="334"/>
      <c r="E216" s="124"/>
      <c r="F216" s="124"/>
      <c r="G216" s="124"/>
      <c r="H216" s="124"/>
      <c r="I216" s="124"/>
      <c r="J216" s="124"/>
      <c r="K216" s="124"/>
    </row>
    <row r="217" ht="15.75" customHeight="1">
      <c r="B217" s="334"/>
      <c r="E217" s="124"/>
      <c r="F217" s="124"/>
      <c r="G217" s="124"/>
      <c r="H217" s="124"/>
      <c r="I217" s="124"/>
      <c r="J217" s="124"/>
      <c r="K217" s="124"/>
    </row>
    <row r="218" ht="15.75" customHeight="1">
      <c r="B218" s="334"/>
      <c r="E218" s="124"/>
      <c r="F218" s="124"/>
      <c r="G218" s="124"/>
      <c r="H218" s="124"/>
      <c r="I218" s="124"/>
      <c r="J218" s="124"/>
      <c r="K218" s="124"/>
    </row>
    <row r="219" ht="15.75" customHeight="1">
      <c r="B219" s="334"/>
      <c r="E219" s="124"/>
      <c r="F219" s="124"/>
      <c r="G219" s="124"/>
      <c r="H219" s="124"/>
      <c r="I219" s="124"/>
      <c r="J219" s="124"/>
      <c r="K219" s="124"/>
    </row>
    <row r="220" ht="15.75" customHeight="1">
      <c r="B220" s="334"/>
      <c r="E220" s="124"/>
      <c r="F220" s="124"/>
      <c r="G220" s="124"/>
      <c r="H220" s="124"/>
      <c r="I220" s="124"/>
      <c r="J220" s="124"/>
      <c r="K220" s="124"/>
    </row>
    <row r="221" ht="15.75" customHeight="1">
      <c r="B221" s="334"/>
      <c r="E221" s="124"/>
      <c r="F221" s="124"/>
      <c r="G221" s="124"/>
      <c r="H221" s="124"/>
      <c r="I221" s="124"/>
      <c r="J221" s="124"/>
      <c r="K221" s="124"/>
    </row>
    <row r="222" ht="15.75" customHeight="1">
      <c r="B222" s="334"/>
      <c r="E222" s="124"/>
      <c r="F222" s="124"/>
      <c r="G222" s="124"/>
      <c r="H222" s="124"/>
      <c r="I222" s="124"/>
      <c r="J222" s="124"/>
      <c r="K222" s="124"/>
    </row>
    <row r="223" ht="15.75" customHeight="1">
      <c r="B223" s="334"/>
      <c r="E223" s="124"/>
      <c r="F223" s="124"/>
      <c r="G223" s="124"/>
      <c r="H223" s="124"/>
      <c r="I223" s="124"/>
      <c r="J223" s="124"/>
      <c r="K223" s="124"/>
    </row>
    <row r="224" ht="15.75" customHeight="1">
      <c r="B224" s="334"/>
      <c r="E224" s="124"/>
      <c r="F224" s="124"/>
      <c r="G224" s="124"/>
      <c r="H224" s="124"/>
      <c r="I224" s="124"/>
      <c r="J224" s="124"/>
      <c r="K224" s="124"/>
    </row>
    <row r="225" ht="15.75" customHeight="1">
      <c r="B225" s="334"/>
      <c r="E225" s="124"/>
      <c r="F225" s="124"/>
      <c r="G225" s="124"/>
      <c r="H225" s="124"/>
      <c r="I225" s="124"/>
      <c r="J225" s="124"/>
      <c r="K225" s="124"/>
    </row>
    <row r="226" ht="15.75" customHeight="1">
      <c r="B226" s="334"/>
      <c r="E226" s="124"/>
      <c r="F226" s="124"/>
      <c r="G226" s="124"/>
      <c r="H226" s="124"/>
      <c r="I226" s="124"/>
      <c r="J226" s="124"/>
      <c r="K226" s="124"/>
    </row>
    <row r="227" ht="15.75" customHeight="1">
      <c r="B227" s="334"/>
      <c r="E227" s="124"/>
      <c r="F227" s="124"/>
      <c r="G227" s="124"/>
      <c r="H227" s="124"/>
      <c r="I227" s="124"/>
      <c r="J227" s="124"/>
      <c r="K227" s="124"/>
    </row>
    <row r="228" ht="15.75" customHeight="1">
      <c r="B228" s="334"/>
      <c r="E228" s="124"/>
      <c r="F228" s="124"/>
      <c r="G228" s="124"/>
      <c r="H228" s="124"/>
      <c r="I228" s="124"/>
      <c r="J228" s="124"/>
      <c r="K228" s="124"/>
    </row>
    <row r="229" ht="15.75" customHeight="1">
      <c r="B229" s="334"/>
      <c r="E229" s="124"/>
      <c r="F229" s="124"/>
      <c r="G229" s="124"/>
      <c r="H229" s="124"/>
      <c r="I229" s="124"/>
      <c r="J229" s="124"/>
      <c r="K229" s="124"/>
    </row>
    <row r="230" ht="15.75" customHeight="1">
      <c r="B230" s="334"/>
      <c r="E230" s="124"/>
      <c r="F230" s="124"/>
      <c r="G230" s="124"/>
      <c r="H230" s="124"/>
      <c r="I230" s="124"/>
      <c r="J230" s="124"/>
      <c r="K230" s="124"/>
    </row>
    <row r="231" ht="15.75" customHeight="1">
      <c r="B231" s="334"/>
      <c r="E231" s="124"/>
      <c r="F231" s="124"/>
      <c r="G231" s="124"/>
      <c r="H231" s="124"/>
      <c r="I231" s="124"/>
      <c r="J231" s="124"/>
      <c r="K231" s="124"/>
    </row>
    <row r="232" ht="15.75" customHeight="1">
      <c r="B232" s="334"/>
      <c r="E232" s="124"/>
      <c r="F232" s="124"/>
      <c r="G232" s="124"/>
      <c r="H232" s="124"/>
      <c r="I232" s="124"/>
      <c r="J232" s="124"/>
      <c r="K232" s="124"/>
    </row>
    <row r="233" ht="15.75" customHeight="1">
      <c r="B233" s="334"/>
      <c r="E233" s="124"/>
      <c r="F233" s="124"/>
      <c r="G233" s="124"/>
      <c r="H233" s="124"/>
      <c r="I233" s="124"/>
      <c r="J233" s="124"/>
      <c r="K233" s="124"/>
    </row>
    <row r="234" ht="15.75" customHeight="1">
      <c r="B234" s="334"/>
      <c r="E234" s="124"/>
      <c r="F234" s="124"/>
      <c r="G234" s="124"/>
      <c r="H234" s="124"/>
      <c r="I234" s="124"/>
      <c r="J234" s="124"/>
      <c r="K234" s="124"/>
    </row>
    <row r="235" ht="15.75" customHeight="1">
      <c r="B235" s="334"/>
      <c r="E235" s="124"/>
      <c r="F235" s="124"/>
      <c r="G235" s="124"/>
      <c r="H235" s="124"/>
      <c r="I235" s="124"/>
      <c r="J235" s="124"/>
      <c r="K235" s="124"/>
    </row>
    <row r="236" ht="15.75" customHeight="1">
      <c r="B236" s="334"/>
      <c r="E236" s="124"/>
      <c r="F236" s="124"/>
      <c r="G236" s="124"/>
      <c r="H236" s="124"/>
      <c r="I236" s="124"/>
      <c r="J236" s="124"/>
      <c r="K236" s="124"/>
    </row>
    <row r="237" ht="15.75" customHeight="1">
      <c r="B237" s="334"/>
      <c r="E237" s="124"/>
      <c r="F237" s="124"/>
      <c r="G237" s="124"/>
      <c r="H237" s="124"/>
      <c r="I237" s="124"/>
      <c r="J237" s="124"/>
      <c r="K237" s="124"/>
    </row>
    <row r="238" ht="15.75" customHeight="1">
      <c r="B238" s="334"/>
      <c r="E238" s="124"/>
      <c r="F238" s="124"/>
      <c r="G238" s="124"/>
      <c r="H238" s="124"/>
      <c r="I238" s="124"/>
      <c r="J238" s="124"/>
      <c r="K238" s="124"/>
    </row>
    <row r="239" ht="15.75" customHeight="1">
      <c r="B239" s="334"/>
      <c r="E239" s="124"/>
      <c r="F239" s="124"/>
      <c r="G239" s="124"/>
      <c r="H239" s="124"/>
      <c r="I239" s="124"/>
      <c r="J239" s="124"/>
      <c r="K239" s="124"/>
    </row>
    <row r="240" ht="15.75" customHeight="1">
      <c r="B240" s="334"/>
      <c r="E240" s="124"/>
      <c r="F240" s="124"/>
      <c r="G240" s="124"/>
      <c r="H240" s="124"/>
      <c r="I240" s="124"/>
      <c r="J240" s="124"/>
      <c r="K240" s="124"/>
    </row>
    <row r="241" ht="15.75" customHeight="1">
      <c r="B241" s="334"/>
      <c r="E241" s="124"/>
      <c r="F241" s="124"/>
      <c r="G241" s="124"/>
      <c r="H241" s="124"/>
      <c r="I241" s="124"/>
      <c r="J241" s="124"/>
      <c r="K241" s="124"/>
    </row>
    <row r="242" ht="15.75" customHeight="1">
      <c r="B242" s="334"/>
      <c r="E242" s="124"/>
      <c r="F242" s="124"/>
      <c r="G242" s="124"/>
      <c r="H242" s="124"/>
      <c r="I242" s="124"/>
      <c r="J242" s="124"/>
      <c r="K242" s="124"/>
    </row>
    <row r="243" ht="15.75" customHeight="1">
      <c r="B243" s="334"/>
      <c r="E243" s="124"/>
      <c r="F243" s="124"/>
      <c r="G243" s="124"/>
      <c r="H243" s="124"/>
      <c r="I243" s="124"/>
      <c r="J243" s="124"/>
      <c r="K243" s="124"/>
    </row>
    <row r="244" ht="15.75" customHeight="1">
      <c r="B244" s="334"/>
      <c r="E244" s="124"/>
      <c r="F244" s="124"/>
      <c r="G244" s="124"/>
      <c r="H244" s="124"/>
      <c r="I244" s="124"/>
      <c r="J244" s="124"/>
      <c r="K244" s="124"/>
    </row>
    <row r="245" ht="15.75" customHeight="1">
      <c r="B245" s="334"/>
      <c r="E245" s="124"/>
      <c r="F245" s="124"/>
      <c r="G245" s="124"/>
      <c r="H245" s="124"/>
      <c r="I245" s="124"/>
      <c r="J245" s="124"/>
      <c r="K245" s="124"/>
    </row>
    <row r="246" ht="15.75" customHeight="1">
      <c r="B246" s="334"/>
      <c r="E246" s="124"/>
      <c r="F246" s="124"/>
      <c r="G246" s="124"/>
      <c r="H246" s="124"/>
      <c r="I246" s="124"/>
      <c r="J246" s="124"/>
      <c r="K246" s="124"/>
    </row>
    <row r="247" ht="15.75" customHeight="1">
      <c r="B247" s="334"/>
      <c r="E247" s="124"/>
      <c r="F247" s="124"/>
      <c r="G247" s="124"/>
      <c r="H247" s="124"/>
      <c r="I247" s="124"/>
      <c r="J247" s="124"/>
      <c r="K247" s="124"/>
    </row>
    <row r="248" ht="15.75" customHeight="1">
      <c r="B248" s="334"/>
      <c r="E248" s="124"/>
      <c r="F248" s="124"/>
      <c r="G248" s="124"/>
      <c r="H248" s="124"/>
      <c r="I248" s="124"/>
      <c r="J248" s="124"/>
      <c r="K248" s="124"/>
    </row>
    <row r="249" ht="15.75" customHeight="1">
      <c r="B249" s="334"/>
      <c r="E249" s="124"/>
      <c r="F249" s="124"/>
      <c r="G249" s="124"/>
      <c r="H249" s="124"/>
      <c r="I249" s="124"/>
      <c r="J249" s="124"/>
      <c r="K249" s="124"/>
    </row>
    <row r="250" ht="15.75" customHeight="1">
      <c r="B250" s="334"/>
      <c r="E250" s="124"/>
      <c r="F250" s="124"/>
      <c r="G250" s="124"/>
      <c r="H250" s="124"/>
      <c r="I250" s="124"/>
      <c r="J250" s="124"/>
      <c r="K250" s="124"/>
    </row>
    <row r="251" ht="15.75" customHeight="1">
      <c r="B251" s="334"/>
      <c r="E251" s="124"/>
      <c r="F251" s="124"/>
      <c r="G251" s="124"/>
      <c r="H251" s="124"/>
      <c r="I251" s="124"/>
      <c r="J251" s="124"/>
      <c r="K251" s="124"/>
    </row>
    <row r="252" ht="15.75" customHeight="1">
      <c r="B252" s="334"/>
      <c r="E252" s="124"/>
      <c r="F252" s="124"/>
      <c r="G252" s="124"/>
      <c r="H252" s="124"/>
      <c r="I252" s="124"/>
      <c r="J252" s="124"/>
      <c r="K252" s="124"/>
    </row>
    <row r="253" ht="15.75" customHeight="1">
      <c r="B253" s="334"/>
      <c r="E253" s="124"/>
      <c r="F253" s="124"/>
      <c r="G253" s="124"/>
      <c r="H253" s="124"/>
      <c r="I253" s="124"/>
      <c r="J253" s="124"/>
      <c r="K253" s="124"/>
    </row>
    <row r="254" ht="15.75" customHeight="1">
      <c r="B254" s="334"/>
      <c r="E254" s="124"/>
      <c r="F254" s="124"/>
      <c r="G254" s="124"/>
      <c r="H254" s="124"/>
      <c r="I254" s="124"/>
      <c r="J254" s="124"/>
      <c r="K254" s="124"/>
    </row>
    <row r="255" ht="15.75" customHeight="1">
      <c r="B255" s="334"/>
      <c r="E255" s="124"/>
      <c r="F255" s="124"/>
      <c r="G255" s="124"/>
      <c r="H255" s="124"/>
      <c r="I255" s="124"/>
      <c r="J255" s="124"/>
      <c r="K255" s="124"/>
    </row>
    <row r="256" ht="15.75" customHeight="1">
      <c r="B256" s="334"/>
      <c r="E256" s="124"/>
      <c r="F256" s="124"/>
      <c r="G256" s="124"/>
      <c r="H256" s="124"/>
      <c r="I256" s="124"/>
      <c r="J256" s="124"/>
      <c r="K256" s="124"/>
    </row>
    <row r="257" ht="15.75" customHeight="1">
      <c r="B257" s="334"/>
      <c r="E257" s="124"/>
      <c r="F257" s="124"/>
      <c r="G257" s="124"/>
      <c r="H257" s="124"/>
      <c r="I257" s="124"/>
      <c r="J257" s="124"/>
      <c r="K257" s="124"/>
    </row>
    <row r="258" ht="15.75" customHeight="1">
      <c r="B258" s="334"/>
      <c r="E258" s="124"/>
      <c r="F258" s="124"/>
      <c r="G258" s="124"/>
      <c r="H258" s="124"/>
      <c r="I258" s="124"/>
      <c r="J258" s="124"/>
      <c r="K258" s="124"/>
    </row>
    <row r="259" ht="15.75" customHeight="1">
      <c r="B259" s="334"/>
      <c r="E259" s="124"/>
      <c r="F259" s="124"/>
      <c r="G259" s="124"/>
      <c r="H259" s="124"/>
      <c r="I259" s="124"/>
      <c r="J259" s="124"/>
      <c r="K259" s="124"/>
    </row>
    <row r="260" ht="15.75" customHeight="1">
      <c r="B260" s="334"/>
      <c r="E260" s="124"/>
      <c r="F260" s="124"/>
      <c r="G260" s="124"/>
      <c r="H260" s="124"/>
      <c r="I260" s="124"/>
      <c r="J260" s="124"/>
      <c r="K260" s="124"/>
    </row>
    <row r="261" ht="15.75" customHeight="1">
      <c r="B261" s="334"/>
      <c r="E261" s="124"/>
      <c r="F261" s="124"/>
      <c r="G261" s="124"/>
      <c r="H261" s="124"/>
      <c r="I261" s="124"/>
      <c r="J261" s="124"/>
      <c r="K261" s="124"/>
    </row>
    <row r="262" ht="15.75" customHeight="1">
      <c r="B262" s="334"/>
      <c r="E262" s="124"/>
      <c r="F262" s="124"/>
      <c r="G262" s="124"/>
      <c r="H262" s="124"/>
      <c r="I262" s="124"/>
      <c r="J262" s="124"/>
      <c r="K262" s="124"/>
    </row>
    <row r="263" ht="15.75" customHeight="1">
      <c r="B263" s="334"/>
      <c r="E263" s="124"/>
      <c r="F263" s="124"/>
      <c r="G263" s="124"/>
      <c r="H263" s="124"/>
      <c r="I263" s="124"/>
      <c r="J263" s="124"/>
      <c r="K263" s="124"/>
    </row>
    <row r="264" ht="15.75" customHeight="1">
      <c r="B264" s="334"/>
      <c r="E264" s="124"/>
      <c r="F264" s="124"/>
      <c r="G264" s="124"/>
      <c r="H264" s="124"/>
      <c r="I264" s="124"/>
      <c r="J264" s="124"/>
      <c r="K264" s="124"/>
    </row>
    <row r="265" ht="15.75" customHeight="1">
      <c r="B265" s="334"/>
      <c r="E265" s="124"/>
      <c r="F265" s="124"/>
      <c r="G265" s="124"/>
      <c r="H265" s="124"/>
      <c r="I265" s="124"/>
      <c r="J265" s="124"/>
      <c r="K265" s="124"/>
    </row>
    <row r="266" ht="15.75" customHeight="1">
      <c r="B266" s="334"/>
      <c r="E266" s="124"/>
      <c r="F266" s="124"/>
      <c r="G266" s="124"/>
      <c r="H266" s="124"/>
      <c r="I266" s="124"/>
      <c r="J266" s="124"/>
      <c r="K266" s="124"/>
    </row>
    <row r="267" ht="15.75" customHeight="1">
      <c r="B267" s="334"/>
      <c r="E267" s="124"/>
      <c r="F267" s="124"/>
      <c r="G267" s="124"/>
      <c r="H267" s="124"/>
      <c r="I267" s="124"/>
      <c r="J267" s="124"/>
      <c r="K267" s="124"/>
    </row>
    <row r="268" ht="15.75" customHeight="1">
      <c r="B268" s="334"/>
      <c r="E268" s="124"/>
      <c r="F268" s="124"/>
      <c r="G268" s="124"/>
      <c r="H268" s="124"/>
      <c r="I268" s="124"/>
      <c r="J268" s="124"/>
      <c r="K268" s="124"/>
    </row>
    <row r="269" ht="15.75" customHeight="1">
      <c r="B269" s="334"/>
      <c r="E269" s="124"/>
      <c r="F269" s="124"/>
      <c r="G269" s="124"/>
      <c r="H269" s="124"/>
      <c r="I269" s="124"/>
      <c r="J269" s="124"/>
      <c r="K269" s="124"/>
    </row>
    <row r="270" ht="15.75" customHeight="1">
      <c r="B270" s="334"/>
      <c r="E270" s="124"/>
      <c r="F270" s="124"/>
      <c r="G270" s="124"/>
      <c r="H270" s="124"/>
      <c r="I270" s="124"/>
      <c r="J270" s="124"/>
      <c r="K270" s="124"/>
    </row>
    <row r="271" ht="15.75" customHeight="1">
      <c r="B271" s="334"/>
      <c r="E271" s="124"/>
      <c r="F271" s="124"/>
      <c r="G271" s="124"/>
      <c r="H271" s="124"/>
      <c r="I271" s="124"/>
      <c r="J271" s="124"/>
      <c r="K271" s="124"/>
    </row>
    <row r="272" ht="15.75" customHeight="1">
      <c r="B272" s="334"/>
      <c r="E272" s="124"/>
      <c r="F272" s="124"/>
      <c r="G272" s="124"/>
      <c r="H272" s="124"/>
      <c r="I272" s="124"/>
      <c r="J272" s="124"/>
      <c r="K272" s="124"/>
    </row>
    <row r="273" ht="15.75" customHeight="1">
      <c r="B273" s="334"/>
      <c r="E273" s="124"/>
      <c r="F273" s="124"/>
      <c r="G273" s="124"/>
      <c r="H273" s="124"/>
      <c r="I273" s="124"/>
      <c r="J273" s="124"/>
      <c r="K273" s="124"/>
    </row>
    <row r="274" ht="15.75" customHeight="1">
      <c r="B274" s="334"/>
      <c r="E274" s="124"/>
      <c r="F274" s="124"/>
      <c r="G274" s="124"/>
      <c r="H274" s="124"/>
      <c r="I274" s="124"/>
      <c r="J274" s="124"/>
      <c r="K274" s="124"/>
    </row>
    <row r="275" ht="15.75" customHeight="1">
      <c r="B275" s="334"/>
      <c r="E275" s="124"/>
      <c r="F275" s="124"/>
      <c r="G275" s="124"/>
      <c r="H275" s="124"/>
      <c r="I275" s="124"/>
      <c r="J275" s="124"/>
      <c r="K275" s="124"/>
    </row>
    <row r="276" ht="15.75" customHeight="1">
      <c r="B276" s="334"/>
      <c r="E276" s="124"/>
      <c r="F276" s="124"/>
      <c r="G276" s="124"/>
      <c r="H276" s="124"/>
      <c r="I276" s="124"/>
      <c r="J276" s="124"/>
      <c r="K276" s="124"/>
    </row>
    <row r="277" ht="15.75" customHeight="1">
      <c r="B277" s="334"/>
      <c r="E277" s="124"/>
      <c r="F277" s="124"/>
      <c r="G277" s="124"/>
      <c r="H277" s="124"/>
      <c r="I277" s="124"/>
      <c r="J277" s="124"/>
      <c r="K277" s="124"/>
    </row>
    <row r="278" ht="15.75" customHeight="1">
      <c r="B278" s="334"/>
      <c r="E278" s="124"/>
      <c r="F278" s="124"/>
      <c r="G278" s="124"/>
      <c r="H278" s="124"/>
      <c r="I278" s="124"/>
      <c r="J278" s="124"/>
      <c r="K278" s="124"/>
    </row>
    <row r="279" ht="15.75" customHeight="1">
      <c r="B279" s="334"/>
      <c r="E279" s="124"/>
      <c r="F279" s="124"/>
      <c r="G279" s="124"/>
      <c r="H279" s="124"/>
      <c r="I279" s="124"/>
      <c r="J279" s="124"/>
      <c r="K279" s="124"/>
    </row>
    <row r="280" ht="15.75" customHeight="1">
      <c r="B280" s="334"/>
      <c r="E280" s="124"/>
      <c r="F280" s="124"/>
      <c r="G280" s="124"/>
      <c r="H280" s="124"/>
      <c r="I280" s="124"/>
      <c r="J280" s="124"/>
      <c r="K280" s="124"/>
    </row>
    <row r="281" ht="15.75" customHeight="1">
      <c r="B281" s="334"/>
      <c r="E281" s="124"/>
      <c r="F281" s="124"/>
      <c r="G281" s="124"/>
      <c r="H281" s="124"/>
      <c r="I281" s="124"/>
      <c r="J281" s="124"/>
      <c r="K281" s="124"/>
    </row>
    <row r="282" ht="15.75" customHeight="1">
      <c r="B282" s="334"/>
      <c r="E282" s="124"/>
      <c r="F282" s="124"/>
      <c r="G282" s="124"/>
      <c r="H282" s="124"/>
      <c r="I282" s="124"/>
      <c r="J282" s="124"/>
      <c r="K282" s="124"/>
    </row>
    <row r="283" ht="15.75" customHeight="1">
      <c r="B283" s="334"/>
      <c r="E283" s="124"/>
      <c r="F283" s="124"/>
      <c r="G283" s="124"/>
      <c r="H283" s="124"/>
      <c r="I283" s="124"/>
      <c r="J283" s="124"/>
      <c r="K283" s="124"/>
    </row>
    <row r="284" ht="15.75" customHeight="1">
      <c r="B284" s="334"/>
      <c r="E284" s="124"/>
      <c r="F284" s="124"/>
      <c r="G284" s="124"/>
      <c r="H284" s="124"/>
      <c r="I284" s="124"/>
      <c r="J284" s="124"/>
      <c r="K284" s="124"/>
    </row>
    <row r="285" ht="15.75" customHeight="1">
      <c r="B285" s="334"/>
      <c r="E285" s="124"/>
      <c r="F285" s="124"/>
      <c r="G285" s="124"/>
      <c r="H285" s="124"/>
      <c r="I285" s="124"/>
      <c r="J285" s="124"/>
      <c r="K285" s="124"/>
    </row>
    <row r="286" ht="15.75" customHeight="1">
      <c r="B286" s="334"/>
      <c r="E286" s="124"/>
      <c r="F286" s="124"/>
      <c r="G286" s="124"/>
      <c r="H286" s="124"/>
      <c r="I286" s="124"/>
      <c r="J286" s="124"/>
      <c r="K286" s="124"/>
    </row>
    <row r="287" ht="15.75" customHeight="1">
      <c r="B287" s="334"/>
      <c r="E287" s="124"/>
      <c r="F287" s="124"/>
      <c r="G287" s="124"/>
      <c r="H287" s="124"/>
      <c r="I287" s="124"/>
      <c r="J287" s="124"/>
      <c r="K287" s="124"/>
    </row>
    <row r="288" ht="15.75" customHeight="1">
      <c r="B288" s="334"/>
      <c r="E288" s="124"/>
      <c r="F288" s="124"/>
      <c r="G288" s="124"/>
      <c r="H288" s="124"/>
      <c r="I288" s="124"/>
      <c r="J288" s="124"/>
      <c r="K288" s="124"/>
    </row>
    <row r="289" ht="15.75" customHeight="1">
      <c r="B289" s="334"/>
      <c r="E289" s="124"/>
      <c r="F289" s="124"/>
      <c r="G289" s="124"/>
      <c r="H289" s="124"/>
      <c r="I289" s="124"/>
      <c r="J289" s="124"/>
      <c r="K289" s="124"/>
    </row>
    <row r="290" ht="15.75" customHeight="1">
      <c r="B290" s="334"/>
      <c r="E290" s="124"/>
      <c r="F290" s="124"/>
      <c r="G290" s="124"/>
      <c r="H290" s="124"/>
      <c r="I290" s="124"/>
      <c r="J290" s="124"/>
      <c r="K290" s="124"/>
    </row>
    <row r="291" ht="15.75" customHeight="1">
      <c r="B291" s="334"/>
      <c r="E291" s="124"/>
      <c r="F291" s="124"/>
      <c r="G291" s="124"/>
      <c r="H291" s="124"/>
      <c r="I291" s="124"/>
      <c r="J291" s="124"/>
      <c r="K291" s="124"/>
    </row>
    <row r="292" ht="15.75" customHeight="1">
      <c r="B292" s="334"/>
      <c r="E292" s="124"/>
      <c r="F292" s="124"/>
      <c r="G292" s="124"/>
      <c r="H292" s="124"/>
      <c r="I292" s="124"/>
      <c r="J292" s="124"/>
      <c r="K292" s="124"/>
    </row>
    <row r="293" ht="15.75" customHeight="1">
      <c r="B293" s="334"/>
      <c r="E293" s="124"/>
      <c r="F293" s="124"/>
      <c r="G293" s="124"/>
      <c r="H293" s="124"/>
      <c r="I293" s="124"/>
      <c r="J293" s="124"/>
      <c r="K293" s="124"/>
    </row>
    <row r="294" ht="15.75" customHeight="1">
      <c r="B294" s="334"/>
      <c r="E294" s="124"/>
      <c r="F294" s="124"/>
      <c r="G294" s="124"/>
      <c r="H294" s="124"/>
      <c r="I294" s="124"/>
      <c r="J294" s="124"/>
      <c r="K294" s="124"/>
    </row>
    <row r="295" ht="15.75" customHeight="1">
      <c r="B295" s="334"/>
      <c r="E295" s="124"/>
      <c r="F295" s="124"/>
      <c r="G295" s="124"/>
      <c r="H295" s="124"/>
      <c r="I295" s="124"/>
      <c r="J295" s="124"/>
      <c r="K295" s="124"/>
    </row>
    <row r="296" ht="15.75" customHeight="1">
      <c r="B296" s="334"/>
      <c r="E296" s="124"/>
      <c r="F296" s="124"/>
      <c r="G296" s="124"/>
      <c r="H296" s="124"/>
      <c r="I296" s="124"/>
      <c r="J296" s="124"/>
      <c r="K296" s="124"/>
    </row>
    <row r="297" ht="15.75" customHeight="1">
      <c r="B297" s="334"/>
      <c r="E297" s="124"/>
      <c r="F297" s="124"/>
      <c r="G297" s="124"/>
      <c r="H297" s="124"/>
      <c r="I297" s="124"/>
      <c r="J297" s="124"/>
      <c r="K297" s="124"/>
    </row>
    <row r="298" ht="15.75" customHeight="1">
      <c r="B298" s="334"/>
      <c r="E298" s="124"/>
      <c r="F298" s="124"/>
      <c r="G298" s="124"/>
      <c r="H298" s="124"/>
      <c r="I298" s="124"/>
      <c r="J298" s="124"/>
      <c r="K298" s="124"/>
    </row>
    <row r="299" ht="15.75" customHeight="1">
      <c r="B299" s="334"/>
      <c r="E299" s="124"/>
      <c r="F299" s="124"/>
      <c r="G299" s="124"/>
      <c r="H299" s="124"/>
      <c r="I299" s="124"/>
      <c r="J299" s="124"/>
      <c r="K299" s="124"/>
    </row>
    <row r="300" ht="15.75" customHeight="1">
      <c r="B300" s="334"/>
      <c r="E300" s="124"/>
      <c r="F300" s="124"/>
      <c r="G300" s="124"/>
      <c r="H300" s="124"/>
      <c r="I300" s="124"/>
      <c r="J300" s="124"/>
      <c r="K300" s="124"/>
    </row>
    <row r="301" ht="15.75" customHeight="1">
      <c r="B301" s="334"/>
      <c r="E301" s="124"/>
      <c r="F301" s="124"/>
      <c r="G301" s="124"/>
      <c r="H301" s="124"/>
      <c r="I301" s="124"/>
      <c r="J301" s="124"/>
      <c r="K301" s="124"/>
    </row>
    <row r="302" ht="15.75" customHeight="1">
      <c r="B302" s="334"/>
      <c r="E302" s="124"/>
      <c r="F302" s="124"/>
      <c r="G302" s="124"/>
      <c r="H302" s="124"/>
      <c r="I302" s="124"/>
      <c r="J302" s="124"/>
      <c r="K302" s="124"/>
    </row>
    <row r="303" ht="15.75" customHeight="1">
      <c r="B303" s="334"/>
      <c r="E303" s="124"/>
      <c r="F303" s="124"/>
      <c r="G303" s="124"/>
      <c r="H303" s="124"/>
      <c r="I303" s="124"/>
      <c r="J303" s="124"/>
      <c r="K303" s="124"/>
    </row>
    <row r="304" ht="15.75" customHeight="1">
      <c r="B304" s="334"/>
      <c r="E304" s="124"/>
      <c r="F304" s="124"/>
      <c r="G304" s="124"/>
      <c r="H304" s="124"/>
      <c r="I304" s="124"/>
      <c r="J304" s="124"/>
      <c r="K304" s="124"/>
    </row>
    <row r="305" ht="15.75" customHeight="1">
      <c r="B305" s="334"/>
      <c r="E305" s="124"/>
      <c r="F305" s="124"/>
      <c r="G305" s="124"/>
      <c r="H305" s="124"/>
      <c r="I305" s="124"/>
      <c r="J305" s="124"/>
      <c r="K305" s="124"/>
    </row>
    <row r="306" ht="15.75" customHeight="1">
      <c r="B306" s="334"/>
      <c r="E306" s="124"/>
      <c r="F306" s="124"/>
      <c r="G306" s="124"/>
      <c r="H306" s="124"/>
      <c r="I306" s="124"/>
      <c r="J306" s="124"/>
      <c r="K306" s="124"/>
    </row>
    <row r="307" ht="15.75" customHeight="1">
      <c r="B307" s="334"/>
      <c r="E307" s="124"/>
      <c r="F307" s="124"/>
      <c r="G307" s="124"/>
      <c r="H307" s="124"/>
      <c r="I307" s="124"/>
      <c r="J307" s="124"/>
      <c r="K307" s="124"/>
    </row>
    <row r="308" ht="15.75" customHeight="1">
      <c r="B308" s="334"/>
      <c r="E308" s="124"/>
      <c r="F308" s="124"/>
      <c r="G308" s="124"/>
      <c r="H308" s="124"/>
      <c r="I308" s="124"/>
      <c r="J308" s="124"/>
      <c r="K308" s="124"/>
    </row>
    <row r="309" ht="15.75" customHeight="1">
      <c r="B309" s="334"/>
      <c r="E309" s="124"/>
      <c r="F309" s="124"/>
      <c r="G309" s="124"/>
      <c r="H309" s="124"/>
      <c r="I309" s="124"/>
      <c r="J309" s="124"/>
      <c r="K309" s="124"/>
    </row>
    <row r="310" ht="15.75" customHeight="1">
      <c r="B310" s="334"/>
      <c r="E310" s="124"/>
      <c r="F310" s="124"/>
      <c r="G310" s="124"/>
      <c r="H310" s="124"/>
      <c r="I310" s="124"/>
      <c r="J310" s="124"/>
      <c r="K310" s="124"/>
    </row>
    <row r="311" ht="15.75" customHeight="1">
      <c r="B311" s="334"/>
      <c r="E311" s="124"/>
      <c r="F311" s="124"/>
      <c r="G311" s="124"/>
      <c r="H311" s="124"/>
      <c r="I311" s="124"/>
      <c r="J311" s="124"/>
      <c r="K311" s="124"/>
    </row>
    <row r="312" ht="15.75" customHeight="1">
      <c r="B312" s="334"/>
      <c r="E312" s="124"/>
      <c r="F312" s="124"/>
      <c r="G312" s="124"/>
      <c r="H312" s="124"/>
      <c r="I312" s="124"/>
      <c r="J312" s="124"/>
      <c r="K312" s="124"/>
    </row>
    <row r="313" ht="15.75" customHeight="1">
      <c r="B313" s="334"/>
      <c r="E313" s="124"/>
      <c r="F313" s="124"/>
      <c r="G313" s="124"/>
      <c r="H313" s="124"/>
      <c r="I313" s="124"/>
      <c r="J313" s="124"/>
      <c r="K313" s="124"/>
    </row>
    <row r="314" ht="15.75" customHeight="1">
      <c r="B314" s="334"/>
      <c r="E314" s="124"/>
      <c r="F314" s="124"/>
      <c r="G314" s="124"/>
      <c r="H314" s="124"/>
      <c r="I314" s="124"/>
      <c r="J314" s="124"/>
      <c r="K314" s="124"/>
    </row>
    <row r="315" ht="15.75" customHeight="1">
      <c r="B315" s="334"/>
      <c r="E315" s="124"/>
      <c r="F315" s="124"/>
      <c r="G315" s="124"/>
      <c r="H315" s="124"/>
      <c r="I315" s="124"/>
      <c r="J315" s="124"/>
      <c r="K315" s="124"/>
    </row>
    <row r="316" ht="15.75" customHeight="1">
      <c r="B316" s="334"/>
      <c r="E316" s="124"/>
      <c r="F316" s="124"/>
      <c r="G316" s="124"/>
      <c r="H316" s="124"/>
      <c r="I316" s="124"/>
      <c r="J316" s="124"/>
      <c r="K316" s="124"/>
    </row>
    <row r="317" ht="15.75" customHeight="1">
      <c r="B317" s="334"/>
      <c r="E317" s="124"/>
      <c r="F317" s="124"/>
      <c r="G317" s="124"/>
      <c r="H317" s="124"/>
      <c r="I317" s="124"/>
      <c r="J317" s="124"/>
      <c r="K317" s="124"/>
    </row>
    <row r="318" ht="15.75" customHeight="1">
      <c r="B318" s="334"/>
      <c r="E318" s="124"/>
      <c r="F318" s="124"/>
      <c r="G318" s="124"/>
      <c r="H318" s="124"/>
      <c r="I318" s="124"/>
      <c r="J318" s="124"/>
      <c r="K318" s="124"/>
    </row>
    <row r="319" ht="15.75" customHeight="1">
      <c r="B319" s="334"/>
      <c r="E319" s="124"/>
      <c r="F319" s="124"/>
      <c r="G319" s="124"/>
      <c r="H319" s="124"/>
      <c r="I319" s="124"/>
      <c r="J319" s="124"/>
      <c r="K319" s="124"/>
    </row>
    <row r="320" ht="15.75" customHeight="1">
      <c r="B320" s="334"/>
      <c r="E320" s="124"/>
      <c r="F320" s="124"/>
      <c r="G320" s="124"/>
      <c r="H320" s="124"/>
      <c r="I320" s="124"/>
      <c r="J320" s="124"/>
      <c r="K320" s="124"/>
    </row>
    <row r="321" ht="15.75" customHeight="1">
      <c r="B321" s="334"/>
      <c r="E321" s="124"/>
      <c r="F321" s="124"/>
      <c r="G321" s="124"/>
      <c r="H321" s="124"/>
      <c r="I321" s="124"/>
      <c r="J321" s="124"/>
      <c r="K321" s="124"/>
    </row>
    <row r="322" ht="15.75" customHeight="1">
      <c r="B322" s="334"/>
      <c r="E322" s="124"/>
      <c r="F322" s="124"/>
      <c r="G322" s="124"/>
      <c r="H322" s="124"/>
      <c r="I322" s="124"/>
      <c r="J322" s="124"/>
      <c r="K322" s="124"/>
    </row>
    <row r="323" ht="15.75" customHeight="1">
      <c r="B323" s="334"/>
      <c r="E323" s="124"/>
      <c r="F323" s="124"/>
      <c r="G323" s="124"/>
      <c r="H323" s="124"/>
      <c r="I323" s="124"/>
      <c r="J323" s="124"/>
      <c r="K323" s="124"/>
    </row>
    <row r="324" ht="15.75" customHeight="1">
      <c r="B324" s="334"/>
      <c r="E324" s="124"/>
      <c r="F324" s="124"/>
      <c r="G324" s="124"/>
      <c r="H324" s="124"/>
      <c r="I324" s="124"/>
      <c r="J324" s="124"/>
      <c r="K324" s="124"/>
    </row>
    <row r="325" ht="15.75" customHeight="1">
      <c r="B325" s="334"/>
      <c r="E325" s="124"/>
      <c r="F325" s="124"/>
      <c r="G325" s="124"/>
      <c r="H325" s="124"/>
      <c r="I325" s="124"/>
      <c r="J325" s="124"/>
      <c r="K325" s="124"/>
    </row>
    <row r="326" ht="15.75" customHeight="1">
      <c r="B326" s="334"/>
      <c r="E326" s="124"/>
      <c r="F326" s="124"/>
      <c r="G326" s="124"/>
      <c r="H326" s="124"/>
      <c r="I326" s="124"/>
      <c r="J326" s="124"/>
      <c r="K326" s="124"/>
    </row>
    <row r="327" ht="15.75" customHeight="1">
      <c r="B327" s="334"/>
      <c r="E327" s="124"/>
      <c r="F327" s="124"/>
      <c r="G327" s="124"/>
      <c r="H327" s="124"/>
      <c r="I327" s="124"/>
      <c r="J327" s="124"/>
      <c r="K327" s="124"/>
    </row>
    <row r="328" ht="15.75" customHeight="1">
      <c r="B328" s="334"/>
      <c r="E328" s="124"/>
      <c r="F328" s="124"/>
      <c r="G328" s="124"/>
      <c r="H328" s="124"/>
      <c r="I328" s="124"/>
      <c r="J328" s="124"/>
      <c r="K328" s="124"/>
    </row>
    <row r="329" ht="15.75" customHeight="1">
      <c r="B329" s="334"/>
      <c r="E329" s="124"/>
      <c r="F329" s="124"/>
      <c r="G329" s="124"/>
      <c r="H329" s="124"/>
      <c r="I329" s="124"/>
      <c r="J329" s="124"/>
      <c r="K329" s="124"/>
    </row>
    <row r="330" ht="15.75" customHeight="1">
      <c r="B330" s="334"/>
      <c r="E330" s="124"/>
      <c r="F330" s="124"/>
      <c r="G330" s="124"/>
      <c r="H330" s="124"/>
      <c r="I330" s="124"/>
      <c r="J330" s="124"/>
      <c r="K330" s="124"/>
    </row>
    <row r="331" ht="15.75" customHeight="1">
      <c r="B331" s="334"/>
      <c r="E331" s="124"/>
      <c r="F331" s="124"/>
      <c r="G331" s="124"/>
      <c r="H331" s="124"/>
      <c r="I331" s="124"/>
      <c r="J331" s="124"/>
      <c r="K331" s="124"/>
    </row>
    <row r="332" ht="15.75" customHeight="1">
      <c r="B332" s="334"/>
      <c r="E332" s="124"/>
      <c r="F332" s="124"/>
      <c r="G332" s="124"/>
      <c r="H332" s="124"/>
      <c r="I332" s="124"/>
      <c r="J332" s="124"/>
      <c r="K332" s="124"/>
    </row>
    <row r="333" ht="15.75" customHeight="1">
      <c r="B333" s="334"/>
      <c r="E333" s="124"/>
      <c r="F333" s="124"/>
      <c r="G333" s="124"/>
      <c r="H333" s="124"/>
      <c r="I333" s="124"/>
      <c r="J333" s="124"/>
      <c r="K333" s="124"/>
    </row>
    <row r="334" ht="15.75" customHeight="1">
      <c r="B334" s="334"/>
      <c r="E334" s="124"/>
      <c r="F334" s="124"/>
      <c r="G334" s="124"/>
      <c r="H334" s="124"/>
      <c r="I334" s="124"/>
      <c r="J334" s="124"/>
      <c r="K334" s="124"/>
    </row>
    <row r="335" ht="15.75" customHeight="1">
      <c r="B335" s="334"/>
      <c r="E335" s="124"/>
      <c r="F335" s="124"/>
      <c r="G335" s="124"/>
      <c r="H335" s="124"/>
      <c r="I335" s="124"/>
      <c r="J335" s="124"/>
      <c r="K335" s="124"/>
    </row>
    <row r="336" ht="15.75" customHeight="1">
      <c r="B336" s="334"/>
      <c r="E336" s="124"/>
      <c r="F336" s="124"/>
      <c r="G336" s="124"/>
      <c r="H336" s="124"/>
      <c r="I336" s="124"/>
      <c r="J336" s="124"/>
      <c r="K336" s="124"/>
    </row>
    <row r="337" ht="15.75" customHeight="1">
      <c r="B337" s="334"/>
      <c r="E337" s="124"/>
      <c r="F337" s="124"/>
      <c r="G337" s="124"/>
      <c r="H337" s="124"/>
      <c r="I337" s="124"/>
      <c r="J337" s="124"/>
      <c r="K337" s="124"/>
    </row>
    <row r="338" ht="15.75" customHeight="1">
      <c r="B338" s="334"/>
      <c r="E338" s="124"/>
      <c r="F338" s="124"/>
      <c r="G338" s="124"/>
      <c r="H338" s="124"/>
      <c r="I338" s="124"/>
      <c r="J338" s="124"/>
      <c r="K338" s="124"/>
    </row>
    <row r="339" ht="15.75" customHeight="1">
      <c r="B339" s="334"/>
      <c r="E339" s="124"/>
      <c r="F339" s="124"/>
      <c r="G339" s="124"/>
      <c r="H339" s="124"/>
      <c r="I339" s="124"/>
      <c r="J339" s="124"/>
      <c r="K339" s="124"/>
    </row>
    <row r="340" ht="15.75" customHeight="1">
      <c r="B340" s="334"/>
      <c r="E340" s="124"/>
      <c r="F340" s="124"/>
      <c r="G340" s="124"/>
      <c r="H340" s="124"/>
      <c r="I340" s="124"/>
      <c r="J340" s="124"/>
      <c r="K340" s="124"/>
    </row>
    <row r="341" ht="15.75" customHeight="1">
      <c r="B341" s="334"/>
      <c r="E341" s="124"/>
      <c r="F341" s="124"/>
      <c r="G341" s="124"/>
      <c r="H341" s="124"/>
      <c r="I341" s="124"/>
      <c r="J341" s="124"/>
      <c r="K341" s="124"/>
    </row>
    <row r="342" ht="15.75" customHeight="1">
      <c r="B342" s="334"/>
      <c r="E342" s="124"/>
      <c r="F342" s="124"/>
      <c r="G342" s="124"/>
      <c r="H342" s="124"/>
      <c r="I342" s="124"/>
      <c r="J342" s="124"/>
      <c r="K342" s="124"/>
    </row>
    <row r="343" ht="15.75" customHeight="1">
      <c r="B343" s="334"/>
      <c r="E343" s="124"/>
      <c r="F343" s="124"/>
      <c r="G343" s="124"/>
      <c r="H343" s="124"/>
      <c r="I343" s="124"/>
      <c r="J343" s="124"/>
      <c r="K343" s="124"/>
    </row>
    <row r="344" ht="15.75" customHeight="1">
      <c r="B344" s="334"/>
      <c r="E344" s="124"/>
      <c r="F344" s="124"/>
      <c r="G344" s="124"/>
      <c r="H344" s="124"/>
      <c r="I344" s="124"/>
      <c r="J344" s="124"/>
      <c r="K344" s="124"/>
    </row>
    <row r="345" ht="15.75" customHeight="1">
      <c r="B345" s="334"/>
      <c r="E345" s="124"/>
      <c r="F345" s="124"/>
      <c r="G345" s="124"/>
      <c r="H345" s="124"/>
      <c r="I345" s="124"/>
      <c r="J345" s="124"/>
      <c r="K345" s="124"/>
    </row>
    <row r="346" ht="15.75" customHeight="1">
      <c r="B346" s="334"/>
      <c r="E346" s="124"/>
      <c r="F346" s="124"/>
      <c r="G346" s="124"/>
      <c r="H346" s="124"/>
      <c r="I346" s="124"/>
      <c r="J346" s="124"/>
      <c r="K346" s="124"/>
    </row>
    <row r="347" ht="15.75" customHeight="1">
      <c r="B347" s="334"/>
      <c r="E347" s="124"/>
      <c r="F347" s="124"/>
      <c r="G347" s="124"/>
      <c r="H347" s="124"/>
      <c r="I347" s="124"/>
      <c r="J347" s="124"/>
      <c r="K347" s="124"/>
    </row>
    <row r="348" ht="15.75" customHeight="1">
      <c r="B348" s="334"/>
      <c r="E348" s="124"/>
      <c r="F348" s="124"/>
      <c r="G348" s="124"/>
      <c r="H348" s="124"/>
      <c r="I348" s="124"/>
      <c r="J348" s="124"/>
      <c r="K348" s="124"/>
    </row>
    <row r="349" ht="15.75" customHeight="1">
      <c r="B349" s="334"/>
      <c r="E349" s="124"/>
      <c r="F349" s="124"/>
      <c r="G349" s="124"/>
      <c r="H349" s="124"/>
      <c r="I349" s="124"/>
      <c r="J349" s="124"/>
      <c r="K349" s="124"/>
    </row>
    <row r="350" ht="15.75" customHeight="1">
      <c r="B350" s="334"/>
      <c r="E350" s="124"/>
      <c r="F350" s="124"/>
      <c r="G350" s="124"/>
      <c r="H350" s="124"/>
      <c r="I350" s="124"/>
      <c r="J350" s="124"/>
      <c r="K350" s="124"/>
    </row>
    <row r="351" ht="15.75" customHeight="1">
      <c r="B351" s="334"/>
      <c r="E351" s="124"/>
      <c r="F351" s="124"/>
      <c r="G351" s="124"/>
      <c r="H351" s="124"/>
      <c r="I351" s="124"/>
      <c r="J351" s="124"/>
      <c r="K351" s="124"/>
    </row>
    <row r="352" ht="15.75" customHeight="1">
      <c r="B352" s="334"/>
      <c r="E352" s="124"/>
      <c r="F352" s="124"/>
      <c r="G352" s="124"/>
      <c r="H352" s="124"/>
      <c r="I352" s="124"/>
      <c r="J352" s="124"/>
      <c r="K352" s="124"/>
    </row>
    <row r="353" ht="15.75" customHeight="1">
      <c r="B353" s="334"/>
      <c r="E353" s="124"/>
      <c r="F353" s="124"/>
      <c r="G353" s="124"/>
      <c r="H353" s="124"/>
      <c r="I353" s="124"/>
      <c r="J353" s="124"/>
      <c r="K353" s="124"/>
    </row>
    <row r="354" ht="15.75" customHeight="1">
      <c r="B354" s="334"/>
      <c r="E354" s="124"/>
      <c r="F354" s="124"/>
      <c r="G354" s="124"/>
      <c r="H354" s="124"/>
      <c r="I354" s="124"/>
      <c r="J354" s="124"/>
      <c r="K354" s="124"/>
    </row>
    <row r="355" ht="15.75" customHeight="1">
      <c r="B355" s="334"/>
      <c r="E355" s="124"/>
      <c r="F355" s="124"/>
      <c r="G355" s="124"/>
      <c r="H355" s="124"/>
      <c r="I355" s="124"/>
      <c r="J355" s="124"/>
      <c r="K355" s="124"/>
    </row>
    <row r="356" ht="15.75" customHeight="1">
      <c r="B356" s="334"/>
      <c r="E356" s="124"/>
      <c r="F356" s="124"/>
      <c r="G356" s="124"/>
      <c r="H356" s="124"/>
      <c r="I356" s="124"/>
      <c r="J356" s="124"/>
      <c r="K356" s="124"/>
    </row>
    <row r="357" ht="15.75" customHeight="1">
      <c r="B357" s="334"/>
      <c r="E357" s="124"/>
      <c r="F357" s="124"/>
      <c r="G357" s="124"/>
      <c r="H357" s="124"/>
      <c r="I357" s="124"/>
      <c r="J357" s="124"/>
      <c r="K357" s="124"/>
    </row>
    <row r="358" ht="15.75" customHeight="1">
      <c r="B358" s="334"/>
      <c r="E358" s="124"/>
      <c r="F358" s="124"/>
      <c r="G358" s="124"/>
      <c r="H358" s="124"/>
      <c r="I358" s="124"/>
      <c r="J358" s="124"/>
      <c r="K358" s="124"/>
    </row>
    <row r="359" ht="15.75" customHeight="1">
      <c r="B359" s="334"/>
      <c r="E359" s="124"/>
      <c r="F359" s="124"/>
      <c r="G359" s="124"/>
      <c r="H359" s="124"/>
      <c r="I359" s="124"/>
      <c r="J359" s="124"/>
      <c r="K359" s="124"/>
    </row>
    <row r="360" ht="15.75" customHeight="1">
      <c r="B360" s="334"/>
      <c r="E360" s="124"/>
      <c r="F360" s="124"/>
      <c r="G360" s="124"/>
      <c r="H360" s="124"/>
      <c r="I360" s="124"/>
      <c r="J360" s="124"/>
      <c r="K360" s="124"/>
    </row>
    <row r="361" ht="15.75" customHeight="1">
      <c r="B361" s="334"/>
      <c r="E361" s="124"/>
      <c r="F361" s="124"/>
      <c r="G361" s="124"/>
      <c r="H361" s="124"/>
      <c r="I361" s="124"/>
      <c r="J361" s="124"/>
      <c r="K361" s="124"/>
    </row>
    <row r="362" ht="15.75" customHeight="1">
      <c r="B362" s="334"/>
      <c r="E362" s="124"/>
      <c r="F362" s="124"/>
      <c r="G362" s="124"/>
      <c r="H362" s="124"/>
      <c r="I362" s="124"/>
      <c r="J362" s="124"/>
      <c r="K362" s="124"/>
    </row>
    <row r="363" ht="15.75" customHeight="1">
      <c r="B363" s="334"/>
      <c r="E363" s="124"/>
      <c r="F363" s="124"/>
      <c r="G363" s="124"/>
      <c r="H363" s="124"/>
      <c r="I363" s="124"/>
      <c r="J363" s="124"/>
      <c r="K363" s="124"/>
    </row>
    <row r="364" ht="15.75" customHeight="1">
      <c r="B364" s="334"/>
      <c r="E364" s="124"/>
      <c r="F364" s="124"/>
      <c r="G364" s="124"/>
      <c r="H364" s="124"/>
      <c r="I364" s="124"/>
      <c r="J364" s="124"/>
      <c r="K364" s="124"/>
    </row>
    <row r="365" ht="15.75" customHeight="1">
      <c r="B365" s="334"/>
      <c r="E365" s="124"/>
      <c r="F365" s="124"/>
      <c r="G365" s="124"/>
      <c r="H365" s="124"/>
      <c r="I365" s="124"/>
      <c r="J365" s="124"/>
      <c r="K365" s="124"/>
    </row>
    <row r="366" ht="15.75" customHeight="1">
      <c r="B366" s="334"/>
      <c r="E366" s="124"/>
      <c r="F366" s="124"/>
      <c r="G366" s="124"/>
      <c r="H366" s="124"/>
      <c r="I366" s="124"/>
      <c r="J366" s="124"/>
      <c r="K366" s="124"/>
    </row>
    <row r="367" ht="15.75" customHeight="1">
      <c r="B367" s="334"/>
      <c r="E367" s="124"/>
      <c r="F367" s="124"/>
      <c r="G367" s="124"/>
      <c r="H367" s="124"/>
      <c r="I367" s="124"/>
      <c r="J367" s="124"/>
      <c r="K367" s="124"/>
    </row>
    <row r="368" ht="15.75" customHeight="1">
      <c r="B368" s="334"/>
      <c r="E368" s="124"/>
      <c r="F368" s="124"/>
      <c r="G368" s="124"/>
      <c r="H368" s="124"/>
      <c r="I368" s="124"/>
      <c r="J368" s="124"/>
      <c r="K368" s="124"/>
    </row>
    <row r="369" ht="15.75" customHeight="1">
      <c r="B369" s="334"/>
      <c r="E369" s="124"/>
      <c r="F369" s="124"/>
      <c r="G369" s="124"/>
      <c r="H369" s="124"/>
      <c r="I369" s="124"/>
      <c r="J369" s="124"/>
      <c r="K369" s="124"/>
    </row>
    <row r="370" ht="15.75" customHeight="1">
      <c r="B370" s="334"/>
      <c r="E370" s="124"/>
      <c r="F370" s="124"/>
      <c r="G370" s="124"/>
      <c r="H370" s="124"/>
      <c r="I370" s="124"/>
      <c r="J370" s="124"/>
      <c r="K370" s="124"/>
    </row>
    <row r="371" ht="15.75" customHeight="1">
      <c r="B371" s="334"/>
      <c r="E371" s="124"/>
      <c r="F371" s="124"/>
      <c r="G371" s="124"/>
      <c r="H371" s="124"/>
      <c r="I371" s="124"/>
      <c r="J371" s="124"/>
      <c r="K371" s="124"/>
    </row>
    <row r="372" ht="15.75" customHeight="1">
      <c r="B372" s="334"/>
      <c r="E372" s="124"/>
      <c r="F372" s="124"/>
      <c r="G372" s="124"/>
      <c r="H372" s="124"/>
      <c r="I372" s="124"/>
      <c r="J372" s="124"/>
      <c r="K372" s="124"/>
    </row>
    <row r="373" ht="15.75" customHeight="1">
      <c r="B373" s="334"/>
      <c r="E373" s="124"/>
      <c r="F373" s="124"/>
      <c r="G373" s="124"/>
      <c r="H373" s="124"/>
      <c r="I373" s="124"/>
      <c r="J373" s="124"/>
      <c r="K373" s="124"/>
    </row>
    <row r="374" ht="15.75" customHeight="1">
      <c r="B374" s="334"/>
      <c r="E374" s="124"/>
      <c r="F374" s="124"/>
      <c r="G374" s="124"/>
      <c r="H374" s="124"/>
      <c r="I374" s="124"/>
      <c r="J374" s="124"/>
      <c r="K374" s="124"/>
    </row>
    <row r="375" ht="15.75" customHeight="1">
      <c r="B375" s="334"/>
      <c r="E375" s="124"/>
      <c r="F375" s="124"/>
      <c r="G375" s="124"/>
      <c r="H375" s="124"/>
      <c r="I375" s="124"/>
      <c r="J375" s="124"/>
      <c r="K375" s="124"/>
    </row>
    <row r="376" ht="15.75" customHeight="1">
      <c r="B376" s="334"/>
      <c r="E376" s="124"/>
      <c r="F376" s="124"/>
      <c r="G376" s="124"/>
      <c r="H376" s="124"/>
      <c r="I376" s="124"/>
      <c r="J376" s="124"/>
      <c r="K376" s="124"/>
    </row>
    <row r="377" ht="15.75" customHeight="1">
      <c r="B377" s="334"/>
      <c r="E377" s="124"/>
      <c r="F377" s="124"/>
      <c r="G377" s="124"/>
      <c r="H377" s="124"/>
      <c r="I377" s="124"/>
      <c r="J377" s="124"/>
      <c r="K377" s="124"/>
    </row>
    <row r="378" ht="15.75" customHeight="1">
      <c r="B378" s="334"/>
      <c r="E378" s="124"/>
      <c r="F378" s="124"/>
      <c r="G378" s="124"/>
      <c r="H378" s="124"/>
      <c r="I378" s="124"/>
      <c r="J378" s="124"/>
      <c r="K378" s="124"/>
    </row>
    <row r="379" ht="15.75" customHeight="1">
      <c r="B379" s="334"/>
      <c r="E379" s="124"/>
      <c r="F379" s="124"/>
      <c r="G379" s="124"/>
      <c r="H379" s="124"/>
      <c r="I379" s="124"/>
      <c r="J379" s="124"/>
      <c r="K379" s="124"/>
    </row>
    <row r="380" ht="15.75" customHeight="1">
      <c r="B380" s="334"/>
      <c r="E380" s="124"/>
      <c r="F380" s="124"/>
      <c r="G380" s="124"/>
      <c r="H380" s="124"/>
      <c r="I380" s="124"/>
      <c r="J380" s="124"/>
      <c r="K380" s="124"/>
    </row>
    <row r="381" ht="15.75" customHeight="1">
      <c r="B381" s="334"/>
      <c r="E381" s="124"/>
      <c r="F381" s="124"/>
      <c r="G381" s="124"/>
      <c r="H381" s="124"/>
      <c r="I381" s="124"/>
      <c r="J381" s="124"/>
      <c r="K381" s="124"/>
    </row>
    <row r="382" ht="15.75" customHeight="1">
      <c r="B382" s="334"/>
      <c r="E382" s="124"/>
      <c r="F382" s="124"/>
      <c r="G382" s="124"/>
      <c r="H382" s="124"/>
      <c r="I382" s="124"/>
      <c r="J382" s="124"/>
      <c r="K382" s="124"/>
    </row>
    <row r="383" ht="15.75" customHeight="1">
      <c r="B383" s="334"/>
      <c r="E383" s="124"/>
      <c r="F383" s="124"/>
      <c r="G383" s="124"/>
      <c r="H383" s="124"/>
      <c r="I383" s="124"/>
      <c r="J383" s="124"/>
      <c r="K383" s="124"/>
    </row>
    <row r="384" ht="15.75" customHeight="1">
      <c r="B384" s="334"/>
      <c r="E384" s="124"/>
      <c r="F384" s="124"/>
      <c r="G384" s="124"/>
      <c r="H384" s="124"/>
      <c r="I384" s="124"/>
      <c r="J384" s="124"/>
      <c r="K384" s="124"/>
    </row>
    <row r="385" ht="15.75" customHeight="1">
      <c r="B385" s="334"/>
      <c r="E385" s="124"/>
      <c r="F385" s="124"/>
      <c r="G385" s="124"/>
      <c r="H385" s="124"/>
      <c r="I385" s="124"/>
      <c r="J385" s="124"/>
      <c r="K385" s="124"/>
    </row>
    <row r="386" ht="15.75" customHeight="1">
      <c r="B386" s="334"/>
      <c r="E386" s="124"/>
      <c r="F386" s="124"/>
      <c r="G386" s="124"/>
      <c r="H386" s="124"/>
      <c r="I386" s="124"/>
      <c r="J386" s="124"/>
      <c r="K386" s="124"/>
    </row>
    <row r="387" ht="15.75" customHeight="1">
      <c r="B387" s="334"/>
      <c r="E387" s="124"/>
      <c r="F387" s="124"/>
      <c r="G387" s="124"/>
      <c r="H387" s="124"/>
      <c r="I387" s="124"/>
      <c r="J387" s="124"/>
      <c r="K387" s="124"/>
    </row>
    <row r="388" ht="15.75" customHeight="1">
      <c r="B388" s="334"/>
      <c r="E388" s="124"/>
      <c r="F388" s="124"/>
      <c r="G388" s="124"/>
      <c r="H388" s="124"/>
      <c r="I388" s="124"/>
      <c r="J388" s="124"/>
      <c r="K388" s="124"/>
    </row>
    <row r="389" ht="15.75" customHeight="1">
      <c r="B389" s="334"/>
      <c r="E389" s="124"/>
      <c r="F389" s="124"/>
      <c r="G389" s="124"/>
      <c r="H389" s="124"/>
      <c r="I389" s="124"/>
      <c r="J389" s="124"/>
      <c r="K389" s="124"/>
    </row>
    <row r="390" ht="15.75" customHeight="1">
      <c r="B390" s="334"/>
      <c r="E390" s="124"/>
      <c r="F390" s="124"/>
      <c r="G390" s="124"/>
      <c r="H390" s="124"/>
      <c r="I390" s="124"/>
      <c r="J390" s="124"/>
      <c r="K390" s="124"/>
    </row>
    <row r="391" ht="15.75" customHeight="1">
      <c r="B391" s="334"/>
      <c r="E391" s="124"/>
      <c r="F391" s="124"/>
      <c r="G391" s="124"/>
      <c r="H391" s="124"/>
      <c r="I391" s="124"/>
      <c r="J391" s="124"/>
      <c r="K391" s="124"/>
    </row>
    <row r="392" ht="15.75" customHeight="1">
      <c r="B392" s="334"/>
      <c r="E392" s="124"/>
      <c r="F392" s="124"/>
      <c r="G392" s="124"/>
      <c r="H392" s="124"/>
      <c r="I392" s="124"/>
      <c r="J392" s="124"/>
      <c r="K392" s="124"/>
    </row>
    <row r="393" ht="15.75" customHeight="1">
      <c r="B393" s="334"/>
      <c r="E393" s="124"/>
      <c r="F393" s="124"/>
      <c r="G393" s="124"/>
      <c r="H393" s="124"/>
      <c r="I393" s="124"/>
      <c r="J393" s="124"/>
      <c r="K393" s="124"/>
    </row>
    <row r="394" ht="15.75" customHeight="1">
      <c r="B394" s="334"/>
      <c r="E394" s="124"/>
      <c r="F394" s="124"/>
      <c r="G394" s="124"/>
      <c r="H394" s="124"/>
      <c r="I394" s="124"/>
      <c r="J394" s="124"/>
      <c r="K394" s="124"/>
    </row>
    <row r="395" ht="15.75" customHeight="1">
      <c r="B395" s="334"/>
      <c r="E395" s="124"/>
      <c r="F395" s="124"/>
      <c r="G395" s="124"/>
      <c r="H395" s="124"/>
      <c r="I395" s="124"/>
      <c r="J395" s="124"/>
      <c r="K395" s="124"/>
    </row>
    <row r="396" ht="15.75" customHeight="1">
      <c r="B396" s="334"/>
      <c r="E396" s="124"/>
      <c r="F396" s="124"/>
      <c r="G396" s="124"/>
      <c r="H396" s="124"/>
      <c r="I396" s="124"/>
      <c r="J396" s="124"/>
      <c r="K396" s="124"/>
    </row>
    <row r="397" ht="15.75" customHeight="1">
      <c r="B397" s="334"/>
      <c r="E397" s="124"/>
      <c r="F397" s="124"/>
      <c r="G397" s="124"/>
      <c r="H397" s="124"/>
      <c r="I397" s="124"/>
      <c r="J397" s="124"/>
      <c r="K397" s="124"/>
    </row>
    <row r="398" ht="15.75" customHeight="1">
      <c r="B398" s="334"/>
      <c r="E398" s="124"/>
      <c r="F398" s="124"/>
      <c r="G398" s="124"/>
      <c r="H398" s="124"/>
      <c r="I398" s="124"/>
      <c r="J398" s="124"/>
      <c r="K398" s="124"/>
    </row>
    <row r="399" ht="15.75" customHeight="1">
      <c r="B399" s="334"/>
      <c r="E399" s="124"/>
      <c r="F399" s="124"/>
      <c r="G399" s="124"/>
      <c r="H399" s="124"/>
      <c r="I399" s="124"/>
      <c r="J399" s="124"/>
      <c r="K399" s="124"/>
    </row>
    <row r="400" ht="15.75" customHeight="1">
      <c r="B400" s="334"/>
      <c r="E400" s="124"/>
      <c r="F400" s="124"/>
      <c r="G400" s="124"/>
      <c r="H400" s="124"/>
      <c r="I400" s="124"/>
      <c r="J400" s="124"/>
      <c r="K400" s="124"/>
    </row>
    <row r="401" ht="15.75" customHeight="1">
      <c r="B401" s="334"/>
      <c r="E401" s="124"/>
      <c r="F401" s="124"/>
      <c r="G401" s="124"/>
      <c r="H401" s="124"/>
      <c r="I401" s="124"/>
      <c r="J401" s="124"/>
      <c r="K401" s="124"/>
    </row>
    <row r="402" ht="15.75" customHeight="1">
      <c r="B402" s="334"/>
      <c r="E402" s="124"/>
      <c r="F402" s="124"/>
      <c r="G402" s="124"/>
      <c r="H402" s="124"/>
      <c r="I402" s="124"/>
      <c r="J402" s="124"/>
      <c r="K402" s="124"/>
    </row>
    <row r="403" ht="15.75" customHeight="1">
      <c r="B403" s="334"/>
      <c r="E403" s="124"/>
      <c r="F403" s="124"/>
      <c r="G403" s="124"/>
      <c r="H403" s="124"/>
      <c r="I403" s="124"/>
      <c r="J403" s="124"/>
      <c r="K403" s="124"/>
    </row>
    <row r="404" ht="15.75" customHeight="1">
      <c r="B404" s="334"/>
      <c r="E404" s="124"/>
      <c r="F404" s="124"/>
      <c r="G404" s="124"/>
      <c r="H404" s="124"/>
      <c r="I404" s="124"/>
      <c r="J404" s="124"/>
      <c r="K404" s="124"/>
    </row>
    <row r="405" ht="15.75" customHeight="1">
      <c r="B405" s="334"/>
      <c r="E405" s="124"/>
      <c r="F405" s="124"/>
      <c r="G405" s="124"/>
      <c r="H405" s="124"/>
      <c r="I405" s="124"/>
      <c r="J405" s="124"/>
      <c r="K405" s="124"/>
    </row>
    <row r="406" ht="15.75" customHeight="1">
      <c r="B406" s="334"/>
      <c r="E406" s="124"/>
      <c r="F406" s="124"/>
      <c r="G406" s="124"/>
      <c r="H406" s="124"/>
      <c r="I406" s="124"/>
      <c r="J406" s="124"/>
      <c r="K406" s="124"/>
    </row>
    <row r="407" ht="15.75" customHeight="1">
      <c r="B407" s="334"/>
      <c r="E407" s="124"/>
      <c r="F407" s="124"/>
      <c r="G407" s="124"/>
      <c r="H407" s="124"/>
      <c r="I407" s="124"/>
      <c r="J407" s="124"/>
      <c r="K407" s="124"/>
    </row>
    <row r="408" ht="15.75" customHeight="1">
      <c r="B408" s="334"/>
      <c r="E408" s="124"/>
      <c r="F408" s="124"/>
      <c r="G408" s="124"/>
      <c r="H408" s="124"/>
      <c r="I408" s="124"/>
      <c r="J408" s="124"/>
      <c r="K408" s="124"/>
    </row>
    <row r="409" ht="15.75" customHeight="1">
      <c r="B409" s="334"/>
      <c r="E409" s="124"/>
      <c r="F409" s="124"/>
      <c r="G409" s="124"/>
      <c r="H409" s="124"/>
      <c r="I409" s="124"/>
      <c r="J409" s="124"/>
      <c r="K409" s="124"/>
    </row>
    <row r="410" ht="15.75" customHeight="1">
      <c r="B410" s="334"/>
      <c r="E410" s="124"/>
      <c r="F410" s="124"/>
      <c r="G410" s="124"/>
      <c r="H410" s="124"/>
      <c r="I410" s="124"/>
      <c r="J410" s="124"/>
      <c r="K410" s="124"/>
    </row>
    <row r="411" ht="15.75" customHeight="1">
      <c r="B411" s="334"/>
      <c r="E411" s="124"/>
      <c r="F411" s="124"/>
      <c r="G411" s="124"/>
      <c r="H411" s="124"/>
      <c r="I411" s="124"/>
      <c r="J411" s="124"/>
      <c r="K411" s="124"/>
    </row>
    <row r="412" ht="15.75" customHeight="1">
      <c r="B412" s="334"/>
      <c r="E412" s="124"/>
      <c r="F412" s="124"/>
      <c r="G412" s="124"/>
      <c r="H412" s="124"/>
      <c r="I412" s="124"/>
      <c r="J412" s="124"/>
      <c r="K412" s="124"/>
    </row>
    <row r="413" ht="15.75" customHeight="1">
      <c r="B413" s="334"/>
      <c r="E413" s="124"/>
      <c r="F413" s="124"/>
      <c r="G413" s="124"/>
      <c r="H413" s="124"/>
      <c r="I413" s="124"/>
      <c r="J413" s="124"/>
      <c r="K413" s="124"/>
    </row>
    <row r="414" ht="15.75" customHeight="1">
      <c r="B414" s="334"/>
      <c r="E414" s="124"/>
      <c r="F414" s="124"/>
      <c r="G414" s="124"/>
      <c r="H414" s="124"/>
      <c r="I414" s="124"/>
      <c r="J414" s="124"/>
      <c r="K414" s="124"/>
    </row>
    <row r="415" ht="15.75" customHeight="1">
      <c r="B415" s="334"/>
      <c r="E415" s="124"/>
      <c r="F415" s="124"/>
      <c r="G415" s="124"/>
      <c r="H415" s="124"/>
      <c r="I415" s="124"/>
      <c r="J415" s="124"/>
      <c r="K415" s="124"/>
    </row>
    <row r="416" ht="15.75" customHeight="1">
      <c r="B416" s="334"/>
      <c r="E416" s="124"/>
      <c r="F416" s="124"/>
      <c r="G416" s="124"/>
      <c r="H416" s="124"/>
      <c r="I416" s="124"/>
      <c r="J416" s="124"/>
      <c r="K416" s="124"/>
    </row>
    <row r="417" ht="15.75" customHeight="1">
      <c r="B417" s="334"/>
      <c r="E417" s="124"/>
      <c r="F417" s="124"/>
      <c r="G417" s="124"/>
      <c r="H417" s="124"/>
      <c r="I417" s="124"/>
      <c r="J417" s="124"/>
      <c r="K417" s="124"/>
    </row>
    <row r="418" ht="15.75" customHeight="1">
      <c r="B418" s="334"/>
      <c r="E418" s="124"/>
      <c r="F418" s="124"/>
      <c r="G418" s="124"/>
      <c r="H418" s="124"/>
      <c r="I418" s="124"/>
      <c r="J418" s="124"/>
      <c r="K418" s="124"/>
    </row>
    <row r="419" ht="15.75" customHeight="1">
      <c r="B419" s="334"/>
      <c r="E419" s="124"/>
      <c r="F419" s="124"/>
      <c r="G419" s="124"/>
      <c r="H419" s="124"/>
      <c r="I419" s="124"/>
      <c r="J419" s="124"/>
      <c r="K419" s="124"/>
    </row>
    <row r="420" ht="15.75" customHeight="1">
      <c r="B420" s="334"/>
      <c r="E420" s="124"/>
      <c r="F420" s="124"/>
      <c r="G420" s="124"/>
      <c r="H420" s="124"/>
      <c r="I420" s="124"/>
      <c r="J420" s="124"/>
      <c r="K420" s="124"/>
    </row>
    <row r="421" ht="15.75" customHeight="1">
      <c r="B421" s="334"/>
      <c r="E421" s="124"/>
      <c r="F421" s="124"/>
      <c r="G421" s="124"/>
      <c r="H421" s="124"/>
      <c r="I421" s="124"/>
      <c r="J421" s="124"/>
      <c r="K421" s="124"/>
    </row>
    <row r="422" ht="15.75" customHeight="1">
      <c r="B422" s="334"/>
      <c r="E422" s="124"/>
      <c r="F422" s="124"/>
      <c r="G422" s="124"/>
      <c r="H422" s="124"/>
      <c r="I422" s="124"/>
      <c r="J422" s="124"/>
      <c r="K422" s="124"/>
    </row>
    <row r="423" ht="15.75" customHeight="1">
      <c r="B423" s="334"/>
      <c r="E423" s="124"/>
      <c r="F423" s="124"/>
      <c r="G423" s="124"/>
      <c r="H423" s="124"/>
      <c r="I423" s="124"/>
      <c r="J423" s="124"/>
      <c r="K423" s="124"/>
    </row>
    <row r="424" ht="15.75" customHeight="1">
      <c r="B424" s="334"/>
      <c r="E424" s="124"/>
      <c r="F424" s="124"/>
      <c r="G424" s="124"/>
      <c r="H424" s="124"/>
      <c r="I424" s="124"/>
      <c r="J424" s="124"/>
      <c r="K424" s="124"/>
    </row>
    <row r="425" ht="15.75" customHeight="1">
      <c r="B425" s="334"/>
      <c r="E425" s="124"/>
      <c r="F425" s="124"/>
      <c r="G425" s="124"/>
      <c r="H425" s="124"/>
      <c r="I425" s="124"/>
      <c r="J425" s="124"/>
      <c r="K425" s="124"/>
    </row>
    <row r="426" ht="15.75" customHeight="1">
      <c r="B426" s="334"/>
      <c r="E426" s="124"/>
      <c r="F426" s="124"/>
      <c r="G426" s="124"/>
      <c r="H426" s="124"/>
      <c r="I426" s="124"/>
      <c r="J426" s="124"/>
      <c r="K426" s="124"/>
    </row>
    <row r="427" ht="15.75" customHeight="1">
      <c r="B427" s="334"/>
      <c r="E427" s="124"/>
      <c r="F427" s="124"/>
      <c r="G427" s="124"/>
      <c r="H427" s="124"/>
      <c r="I427" s="124"/>
      <c r="J427" s="124"/>
      <c r="K427" s="124"/>
    </row>
    <row r="428" ht="15.75" customHeight="1">
      <c r="B428" s="334"/>
      <c r="E428" s="124"/>
      <c r="F428" s="124"/>
      <c r="G428" s="124"/>
      <c r="H428" s="124"/>
      <c r="I428" s="124"/>
      <c r="J428" s="124"/>
      <c r="K428" s="124"/>
    </row>
    <row r="429" ht="15.75" customHeight="1">
      <c r="B429" s="334"/>
      <c r="E429" s="124"/>
      <c r="F429" s="124"/>
      <c r="G429" s="124"/>
      <c r="H429" s="124"/>
      <c r="I429" s="124"/>
      <c r="J429" s="124"/>
      <c r="K429" s="124"/>
    </row>
    <row r="430" ht="15.75" customHeight="1">
      <c r="B430" s="334"/>
      <c r="E430" s="124"/>
      <c r="F430" s="124"/>
      <c r="G430" s="124"/>
      <c r="H430" s="124"/>
      <c r="I430" s="124"/>
      <c r="J430" s="124"/>
      <c r="K430" s="124"/>
    </row>
    <row r="431" ht="15.75" customHeight="1">
      <c r="B431" s="334"/>
      <c r="E431" s="124"/>
      <c r="F431" s="124"/>
      <c r="G431" s="124"/>
      <c r="H431" s="124"/>
      <c r="I431" s="124"/>
      <c r="J431" s="124"/>
      <c r="K431" s="124"/>
    </row>
    <row r="432" ht="15.75" customHeight="1">
      <c r="B432" s="334"/>
      <c r="E432" s="124"/>
      <c r="F432" s="124"/>
      <c r="G432" s="124"/>
      <c r="H432" s="124"/>
      <c r="I432" s="124"/>
      <c r="J432" s="124"/>
      <c r="K432" s="124"/>
    </row>
    <row r="433" ht="15.75" customHeight="1">
      <c r="B433" s="334"/>
      <c r="E433" s="124"/>
      <c r="F433" s="124"/>
      <c r="G433" s="124"/>
      <c r="H433" s="124"/>
      <c r="I433" s="124"/>
      <c r="J433" s="124"/>
      <c r="K433" s="124"/>
    </row>
    <row r="434" ht="15.75" customHeight="1">
      <c r="B434" s="334"/>
      <c r="E434" s="124"/>
      <c r="F434" s="124"/>
      <c r="G434" s="124"/>
      <c r="H434" s="124"/>
      <c r="I434" s="124"/>
      <c r="J434" s="124"/>
      <c r="K434" s="124"/>
    </row>
    <row r="435" ht="15.75" customHeight="1">
      <c r="B435" s="334"/>
      <c r="E435" s="124"/>
      <c r="F435" s="124"/>
      <c r="G435" s="124"/>
      <c r="H435" s="124"/>
      <c r="I435" s="124"/>
      <c r="J435" s="124"/>
      <c r="K435" s="124"/>
    </row>
    <row r="436" ht="15.75" customHeight="1">
      <c r="B436" s="334"/>
      <c r="E436" s="124"/>
      <c r="F436" s="124"/>
      <c r="G436" s="124"/>
      <c r="H436" s="124"/>
      <c r="I436" s="124"/>
      <c r="J436" s="124"/>
      <c r="K436" s="124"/>
    </row>
    <row r="437" ht="15.75" customHeight="1">
      <c r="B437" s="334"/>
      <c r="E437" s="124"/>
      <c r="F437" s="124"/>
      <c r="G437" s="124"/>
      <c r="H437" s="124"/>
      <c r="I437" s="124"/>
      <c r="J437" s="124"/>
      <c r="K437" s="124"/>
    </row>
    <row r="438" ht="15.75" customHeight="1">
      <c r="B438" s="334"/>
      <c r="E438" s="124"/>
      <c r="F438" s="124"/>
      <c r="G438" s="124"/>
      <c r="H438" s="124"/>
      <c r="I438" s="124"/>
      <c r="J438" s="124"/>
      <c r="K438" s="124"/>
    </row>
    <row r="439" ht="15.75" customHeight="1">
      <c r="B439" s="334"/>
      <c r="E439" s="124"/>
      <c r="F439" s="124"/>
      <c r="G439" s="124"/>
      <c r="H439" s="124"/>
      <c r="I439" s="124"/>
      <c r="J439" s="124"/>
      <c r="K439" s="124"/>
    </row>
    <row r="440" ht="15.75" customHeight="1">
      <c r="B440" s="334"/>
      <c r="E440" s="124"/>
      <c r="F440" s="124"/>
      <c r="G440" s="124"/>
      <c r="H440" s="124"/>
      <c r="I440" s="124"/>
      <c r="J440" s="124"/>
      <c r="K440" s="124"/>
    </row>
    <row r="441" ht="15.75" customHeight="1">
      <c r="B441" s="334"/>
      <c r="E441" s="124"/>
      <c r="F441" s="124"/>
      <c r="G441" s="124"/>
      <c r="H441" s="124"/>
      <c r="I441" s="124"/>
      <c r="J441" s="124"/>
      <c r="K441" s="124"/>
    </row>
    <row r="442" ht="15.75" customHeight="1">
      <c r="B442" s="334"/>
      <c r="E442" s="124"/>
      <c r="F442" s="124"/>
      <c r="G442" s="124"/>
      <c r="H442" s="124"/>
      <c r="I442" s="124"/>
      <c r="J442" s="124"/>
      <c r="K442" s="124"/>
    </row>
    <row r="443" ht="15.75" customHeight="1">
      <c r="B443" s="334"/>
      <c r="E443" s="124"/>
      <c r="F443" s="124"/>
      <c r="G443" s="124"/>
      <c r="H443" s="124"/>
      <c r="I443" s="124"/>
      <c r="J443" s="124"/>
      <c r="K443" s="124"/>
    </row>
    <row r="444" ht="15.75" customHeight="1">
      <c r="B444" s="334"/>
      <c r="E444" s="124"/>
      <c r="F444" s="124"/>
      <c r="G444" s="124"/>
      <c r="H444" s="124"/>
      <c r="I444" s="124"/>
      <c r="J444" s="124"/>
      <c r="K444" s="124"/>
    </row>
    <row r="445" ht="15.75" customHeight="1">
      <c r="B445" s="334"/>
      <c r="E445" s="124"/>
      <c r="F445" s="124"/>
      <c r="G445" s="124"/>
      <c r="H445" s="124"/>
      <c r="I445" s="124"/>
      <c r="J445" s="124"/>
      <c r="K445" s="124"/>
    </row>
    <row r="446" ht="15.75" customHeight="1">
      <c r="B446" s="334"/>
      <c r="E446" s="124"/>
      <c r="F446" s="124"/>
      <c r="G446" s="124"/>
      <c r="H446" s="124"/>
      <c r="I446" s="124"/>
      <c r="J446" s="124"/>
      <c r="K446" s="124"/>
    </row>
    <row r="447" ht="15.75" customHeight="1">
      <c r="B447" s="334"/>
      <c r="E447" s="124"/>
      <c r="F447" s="124"/>
      <c r="G447" s="124"/>
      <c r="H447" s="124"/>
      <c r="I447" s="124"/>
      <c r="J447" s="124"/>
      <c r="K447" s="124"/>
    </row>
    <row r="448" ht="15.75" customHeight="1">
      <c r="B448" s="334"/>
      <c r="E448" s="124"/>
      <c r="F448" s="124"/>
      <c r="G448" s="124"/>
      <c r="H448" s="124"/>
      <c r="I448" s="124"/>
      <c r="J448" s="124"/>
      <c r="K448" s="124"/>
    </row>
    <row r="449" ht="15.75" customHeight="1">
      <c r="B449" s="334"/>
      <c r="E449" s="124"/>
      <c r="F449" s="124"/>
      <c r="G449" s="124"/>
      <c r="H449" s="124"/>
      <c r="I449" s="124"/>
      <c r="J449" s="124"/>
      <c r="K449" s="124"/>
    </row>
    <row r="450" ht="15.75" customHeight="1">
      <c r="B450" s="334"/>
      <c r="E450" s="124"/>
      <c r="F450" s="124"/>
      <c r="G450" s="124"/>
      <c r="H450" s="124"/>
      <c r="I450" s="124"/>
      <c r="J450" s="124"/>
      <c r="K450" s="124"/>
    </row>
    <row r="451" ht="15.75" customHeight="1">
      <c r="B451" s="334"/>
      <c r="E451" s="124"/>
      <c r="F451" s="124"/>
      <c r="G451" s="124"/>
      <c r="H451" s="124"/>
      <c r="I451" s="124"/>
      <c r="J451" s="124"/>
      <c r="K451" s="124"/>
    </row>
    <row r="452" ht="15.75" customHeight="1">
      <c r="B452" s="334"/>
      <c r="E452" s="124"/>
      <c r="F452" s="124"/>
      <c r="G452" s="124"/>
      <c r="H452" s="124"/>
      <c r="I452" s="124"/>
      <c r="J452" s="124"/>
      <c r="K452" s="124"/>
    </row>
    <row r="453" ht="15.75" customHeight="1">
      <c r="B453" s="334"/>
      <c r="E453" s="124"/>
      <c r="F453" s="124"/>
      <c r="G453" s="124"/>
      <c r="H453" s="124"/>
      <c r="I453" s="124"/>
      <c r="J453" s="124"/>
      <c r="K453" s="124"/>
    </row>
    <row r="454" ht="15.75" customHeight="1">
      <c r="B454" s="334"/>
      <c r="E454" s="124"/>
      <c r="F454" s="124"/>
      <c r="G454" s="124"/>
      <c r="H454" s="124"/>
      <c r="I454" s="124"/>
      <c r="J454" s="124"/>
      <c r="K454" s="124"/>
    </row>
    <row r="455" ht="15.75" customHeight="1">
      <c r="B455" s="334"/>
      <c r="E455" s="124"/>
      <c r="F455" s="124"/>
      <c r="G455" s="124"/>
      <c r="H455" s="124"/>
      <c r="I455" s="124"/>
      <c r="J455" s="124"/>
      <c r="K455" s="124"/>
    </row>
    <row r="456" ht="15.75" customHeight="1">
      <c r="B456" s="334"/>
      <c r="E456" s="124"/>
      <c r="F456" s="124"/>
      <c r="G456" s="124"/>
      <c r="H456" s="124"/>
      <c r="I456" s="124"/>
      <c r="J456" s="124"/>
      <c r="K456" s="124"/>
    </row>
    <row r="457" ht="15.75" customHeight="1">
      <c r="B457" s="334"/>
      <c r="E457" s="124"/>
      <c r="F457" s="124"/>
      <c r="G457" s="124"/>
      <c r="H457" s="124"/>
      <c r="I457" s="124"/>
      <c r="J457" s="124"/>
      <c r="K457" s="124"/>
    </row>
    <row r="458" ht="15.75" customHeight="1">
      <c r="B458" s="334"/>
      <c r="E458" s="124"/>
      <c r="F458" s="124"/>
      <c r="G458" s="124"/>
      <c r="H458" s="124"/>
      <c r="I458" s="124"/>
      <c r="J458" s="124"/>
      <c r="K458" s="124"/>
    </row>
    <row r="459" ht="15.75" customHeight="1">
      <c r="B459" s="334"/>
      <c r="E459" s="124"/>
      <c r="F459" s="124"/>
      <c r="G459" s="124"/>
      <c r="H459" s="124"/>
      <c r="I459" s="124"/>
      <c r="J459" s="124"/>
      <c r="K459" s="124"/>
    </row>
    <row r="460" ht="15.75" customHeight="1">
      <c r="B460" s="334"/>
      <c r="E460" s="124"/>
      <c r="F460" s="124"/>
      <c r="G460" s="124"/>
      <c r="H460" s="124"/>
      <c r="I460" s="124"/>
      <c r="J460" s="124"/>
      <c r="K460" s="124"/>
    </row>
    <row r="461" ht="15.75" customHeight="1">
      <c r="B461" s="334"/>
      <c r="E461" s="124"/>
      <c r="F461" s="124"/>
      <c r="G461" s="124"/>
      <c r="H461" s="124"/>
      <c r="I461" s="124"/>
      <c r="J461" s="124"/>
      <c r="K461" s="124"/>
    </row>
    <row r="462" ht="15.75" customHeight="1">
      <c r="B462" s="334"/>
      <c r="E462" s="124"/>
      <c r="F462" s="124"/>
      <c r="G462" s="124"/>
      <c r="H462" s="124"/>
      <c r="I462" s="124"/>
      <c r="J462" s="124"/>
      <c r="K462" s="124"/>
    </row>
    <row r="463" ht="15.75" customHeight="1">
      <c r="B463" s="334"/>
      <c r="E463" s="124"/>
      <c r="F463" s="124"/>
      <c r="G463" s="124"/>
      <c r="H463" s="124"/>
      <c r="I463" s="124"/>
      <c r="J463" s="124"/>
      <c r="K463" s="124"/>
    </row>
    <row r="464" ht="15.75" customHeight="1">
      <c r="B464" s="334"/>
      <c r="E464" s="124"/>
      <c r="F464" s="124"/>
      <c r="G464" s="124"/>
      <c r="H464" s="124"/>
      <c r="I464" s="124"/>
      <c r="J464" s="124"/>
      <c r="K464" s="124"/>
    </row>
    <row r="465" ht="15.75" customHeight="1">
      <c r="B465" s="334"/>
      <c r="E465" s="124"/>
      <c r="F465" s="124"/>
      <c r="G465" s="124"/>
      <c r="H465" s="124"/>
      <c r="I465" s="124"/>
      <c r="J465" s="124"/>
      <c r="K465" s="124"/>
    </row>
    <row r="466" ht="15.75" customHeight="1">
      <c r="B466" s="334"/>
      <c r="E466" s="124"/>
      <c r="F466" s="124"/>
      <c r="G466" s="124"/>
      <c r="H466" s="124"/>
      <c r="I466" s="124"/>
      <c r="J466" s="124"/>
      <c r="K466" s="124"/>
    </row>
    <row r="467" ht="15.75" customHeight="1">
      <c r="B467" s="334"/>
      <c r="E467" s="124"/>
      <c r="F467" s="124"/>
      <c r="G467" s="124"/>
      <c r="H467" s="124"/>
      <c r="I467" s="124"/>
      <c r="J467" s="124"/>
      <c r="K467" s="124"/>
    </row>
    <row r="468" ht="15.75" customHeight="1">
      <c r="B468" s="334"/>
      <c r="E468" s="124"/>
      <c r="F468" s="124"/>
      <c r="G468" s="124"/>
      <c r="H468" s="124"/>
      <c r="I468" s="124"/>
      <c r="J468" s="124"/>
      <c r="K468" s="124"/>
    </row>
    <row r="469" ht="15.75" customHeight="1">
      <c r="B469" s="334"/>
      <c r="E469" s="124"/>
      <c r="F469" s="124"/>
      <c r="G469" s="124"/>
      <c r="H469" s="124"/>
      <c r="I469" s="124"/>
      <c r="J469" s="124"/>
      <c r="K469" s="124"/>
    </row>
    <row r="470" ht="15.75" customHeight="1">
      <c r="B470" s="334"/>
      <c r="E470" s="124"/>
      <c r="F470" s="124"/>
      <c r="G470" s="124"/>
      <c r="H470" s="124"/>
      <c r="I470" s="124"/>
      <c r="J470" s="124"/>
      <c r="K470" s="124"/>
    </row>
    <row r="471" ht="15.75" customHeight="1">
      <c r="B471" s="334"/>
      <c r="E471" s="124"/>
      <c r="F471" s="124"/>
      <c r="G471" s="124"/>
      <c r="H471" s="124"/>
      <c r="I471" s="124"/>
      <c r="J471" s="124"/>
      <c r="K471" s="124"/>
    </row>
    <row r="472" ht="15.75" customHeight="1">
      <c r="B472" s="334"/>
      <c r="E472" s="124"/>
      <c r="F472" s="124"/>
      <c r="G472" s="124"/>
      <c r="H472" s="124"/>
      <c r="I472" s="124"/>
      <c r="J472" s="124"/>
      <c r="K472" s="124"/>
    </row>
    <row r="473" ht="15.75" customHeight="1">
      <c r="B473" s="334"/>
      <c r="E473" s="124"/>
      <c r="F473" s="124"/>
      <c r="G473" s="124"/>
      <c r="H473" s="124"/>
      <c r="I473" s="124"/>
      <c r="J473" s="124"/>
      <c r="K473" s="124"/>
    </row>
    <row r="474" ht="15.75" customHeight="1">
      <c r="B474" s="334"/>
      <c r="E474" s="124"/>
      <c r="F474" s="124"/>
      <c r="G474" s="124"/>
      <c r="H474" s="124"/>
      <c r="I474" s="124"/>
      <c r="J474" s="124"/>
      <c r="K474" s="124"/>
    </row>
    <row r="475" ht="15.75" customHeight="1">
      <c r="B475" s="334"/>
      <c r="E475" s="124"/>
      <c r="F475" s="124"/>
      <c r="G475" s="124"/>
      <c r="H475" s="124"/>
      <c r="I475" s="124"/>
      <c r="J475" s="124"/>
      <c r="K475" s="124"/>
    </row>
    <row r="476" ht="15.75" customHeight="1">
      <c r="B476" s="334"/>
      <c r="E476" s="124"/>
      <c r="F476" s="124"/>
      <c r="G476" s="124"/>
      <c r="H476" s="124"/>
      <c r="I476" s="124"/>
      <c r="J476" s="124"/>
      <c r="K476" s="124"/>
    </row>
    <row r="477" ht="15.75" customHeight="1">
      <c r="B477" s="334"/>
      <c r="E477" s="124"/>
      <c r="F477" s="124"/>
      <c r="G477" s="124"/>
      <c r="H477" s="124"/>
      <c r="I477" s="124"/>
      <c r="J477" s="124"/>
      <c r="K477" s="124"/>
    </row>
    <row r="478" ht="15.75" customHeight="1">
      <c r="B478" s="334"/>
      <c r="E478" s="124"/>
      <c r="F478" s="124"/>
      <c r="G478" s="124"/>
      <c r="H478" s="124"/>
      <c r="I478" s="124"/>
      <c r="J478" s="124"/>
      <c r="K478" s="124"/>
    </row>
    <row r="479" ht="15.75" customHeight="1">
      <c r="B479" s="334"/>
      <c r="E479" s="124"/>
      <c r="F479" s="124"/>
      <c r="G479" s="124"/>
      <c r="H479" s="124"/>
      <c r="I479" s="124"/>
      <c r="J479" s="124"/>
      <c r="K479" s="124"/>
    </row>
    <row r="480" ht="15.75" customHeight="1">
      <c r="B480" s="334"/>
      <c r="E480" s="124"/>
      <c r="F480" s="124"/>
      <c r="G480" s="124"/>
      <c r="H480" s="124"/>
      <c r="I480" s="124"/>
      <c r="J480" s="124"/>
      <c r="K480" s="124"/>
    </row>
    <row r="481" ht="15.75" customHeight="1">
      <c r="B481" s="334"/>
      <c r="E481" s="124"/>
      <c r="F481" s="124"/>
      <c r="G481" s="124"/>
      <c r="H481" s="124"/>
      <c r="I481" s="124"/>
      <c r="J481" s="124"/>
      <c r="K481" s="124"/>
    </row>
    <row r="482" ht="15.75" customHeight="1">
      <c r="B482" s="334"/>
      <c r="E482" s="124"/>
      <c r="F482" s="124"/>
      <c r="G482" s="124"/>
      <c r="H482" s="124"/>
      <c r="I482" s="124"/>
      <c r="J482" s="124"/>
      <c r="K482" s="124"/>
    </row>
    <row r="483" ht="15.75" customHeight="1">
      <c r="B483" s="334"/>
      <c r="E483" s="124"/>
      <c r="F483" s="124"/>
      <c r="G483" s="124"/>
      <c r="H483" s="124"/>
      <c r="I483" s="124"/>
      <c r="J483" s="124"/>
      <c r="K483" s="124"/>
    </row>
    <row r="484" ht="15.75" customHeight="1">
      <c r="B484" s="334"/>
      <c r="E484" s="124"/>
      <c r="F484" s="124"/>
      <c r="G484" s="124"/>
      <c r="H484" s="124"/>
      <c r="I484" s="124"/>
      <c r="J484" s="124"/>
      <c r="K484" s="124"/>
    </row>
    <row r="485" ht="15.75" customHeight="1">
      <c r="B485" s="334"/>
      <c r="E485" s="124"/>
      <c r="F485" s="124"/>
      <c r="G485" s="124"/>
      <c r="H485" s="124"/>
      <c r="I485" s="124"/>
      <c r="J485" s="124"/>
      <c r="K485" s="124"/>
    </row>
    <row r="486" ht="15.75" customHeight="1">
      <c r="B486" s="334"/>
      <c r="E486" s="124"/>
      <c r="F486" s="124"/>
      <c r="G486" s="124"/>
      <c r="H486" s="124"/>
      <c r="I486" s="124"/>
      <c r="J486" s="124"/>
      <c r="K486" s="124"/>
    </row>
    <row r="487" ht="15.75" customHeight="1">
      <c r="B487" s="334"/>
      <c r="E487" s="124"/>
      <c r="F487" s="124"/>
      <c r="G487" s="124"/>
      <c r="H487" s="124"/>
      <c r="I487" s="124"/>
      <c r="J487" s="124"/>
      <c r="K487" s="124"/>
    </row>
    <row r="488" ht="15.75" customHeight="1">
      <c r="B488" s="334"/>
      <c r="E488" s="124"/>
      <c r="F488" s="124"/>
      <c r="G488" s="124"/>
      <c r="H488" s="124"/>
      <c r="I488" s="124"/>
      <c r="J488" s="124"/>
      <c r="K488" s="124"/>
    </row>
    <row r="489" ht="15.75" customHeight="1">
      <c r="B489" s="334"/>
      <c r="E489" s="124"/>
      <c r="F489" s="124"/>
      <c r="G489" s="124"/>
      <c r="H489" s="124"/>
      <c r="I489" s="124"/>
      <c r="J489" s="124"/>
      <c r="K489" s="124"/>
    </row>
    <row r="490" ht="15.75" customHeight="1">
      <c r="B490" s="334"/>
      <c r="E490" s="124"/>
      <c r="F490" s="124"/>
      <c r="G490" s="124"/>
      <c r="H490" s="124"/>
      <c r="I490" s="124"/>
      <c r="J490" s="124"/>
      <c r="K490" s="124"/>
    </row>
    <row r="491" ht="15.75" customHeight="1">
      <c r="B491" s="334"/>
      <c r="E491" s="124"/>
      <c r="F491" s="124"/>
      <c r="G491" s="124"/>
      <c r="H491" s="124"/>
      <c r="I491" s="124"/>
      <c r="J491" s="124"/>
      <c r="K491" s="124"/>
    </row>
    <row r="492" ht="15.75" customHeight="1">
      <c r="B492" s="334"/>
      <c r="E492" s="124"/>
      <c r="F492" s="124"/>
      <c r="G492" s="124"/>
      <c r="H492" s="124"/>
      <c r="I492" s="124"/>
      <c r="J492" s="124"/>
      <c r="K492" s="124"/>
    </row>
    <row r="493" ht="15.75" customHeight="1">
      <c r="B493" s="334"/>
      <c r="E493" s="124"/>
      <c r="F493" s="124"/>
      <c r="G493" s="124"/>
      <c r="H493" s="124"/>
      <c r="I493" s="124"/>
      <c r="J493" s="124"/>
      <c r="K493" s="124"/>
    </row>
    <row r="494" ht="15.75" customHeight="1">
      <c r="B494" s="334"/>
      <c r="E494" s="124"/>
      <c r="F494" s="124"/>
      <c r="G494" s="124"/>
      <c r="H494" s="124"/>
      <c r="I494" s="124"/>
      <c r="J494" s="124"/>
      <c r="K494" s="124"/>
    </row>
    <row r="495" ht="15.75" customHeight="1">
      <c r="B495" s="334"/>
      <c r="E495" s="124"/>
      <c r="F495" s="124"/>
      <c r="G495" s="124"/>
      <c r="H495" s="124"/>
      <c r="I495" s="124"/>
      <c r="J495" s="124"/>
      <c r="K495" s="124"/>
    </row>
    <row r="496" ht="15.75" customHeight="1">
      <c r="B496" s="334"/>
      <c r="E496" s="124"/>
      <c r="F496" s="124"/>
      <c r="G496" s="124"/>
      <c r="H496" s="124"/>
      <c r="I496" s="124"/>
      <c r="J496" s="124"/>
      <c r="K496" s="124"/>
    </row>
    <row r="497" ht="15.75" customHeight="1">
      <c r="B497" s="334"/>
      <c r="E497" s="124"/>
      <c r="F497" s="124"/>
      <c r="G497" s="124"/>
      <c r="H497" s="124"/>
      <c r="I497" s="124"/>
      <c r="J497" s="124"/>
      <c r="K497" s="124"/>
    </row>
    <row r="498" ht="15.75" customHeight="1">
      <c r="B498" s="334"/>
      <c r="E498" s="124"/>
      <c r="F498" s="124"/>
      <c r="G498" s="124"/>
      <c r="H498" s="124"/>
      <c r="I498" s="124"/>
      <c r="J498" s="124"/>
      <c r="K498" s="124"/>
    </row>
    <row r="499" ht="15.75" customHeight="1">
      <c r="B499" s="334"/>
      <c r="E499" s="124"/>
      <c r="F499" s="124"/>
      <c r="G499" s="124"/>
      <c r="H499" s="124"/>
      <c r="I499" s="124"/>
      <c r="J499" s="124"/>
      <c r="K499" s="124"/>
    </row>
    <row r="500" ht="15.75" customHeight="1">
      <c r="B500" s="334"/>
      <c r="E500" s="124"/>
      <c r="F500" s="124"/>
      <c r="G500" s="124"/>
      <c r="H500" s="124"/>
      <c r="I500" s="124"/>
      <c r="J500" s="124"/>
      <c r="K500" s="124"/>
    </row>
    <row r="501" ht="15.75" customHeight="1">
      <c r="B501" s="334"/>
      <c r="E501" s="124"/>
      <c r="F501" s="124"/>
      <c r="G501" s="124"/>
      <c r="H501" s="124"/>
      <c r="I501" s="124"/>
      <c r="J501" s="124"/>
      <c r="K501" s="124"/>
    </row>
    <row r="502" ht="15.75" customHeight="1">
      <c r="B502" s="334"/>
      <c r="E502" s="124"/>
      <c r="F502" s="124"/>
      <c r="G502" s="124"/>
      <c r="H502" s="124"/>
      <c r="I502" s="124"/>
      <c r="J502" s="124"/>
      <c r="K502" s="124"/>
    </row>
    <row r="503" ht="15.75" customHeight="1">
      <c r="B503" s="334"/>
      <c r="E503" s="124"/>
      <c r="F503" s="124"/>
      <c r="G503" s="124"/>
      <c r="H503" s="124"/>
      <c r="I503" s="124"/>
      <c r="J503" s="124"/>
      <c r="K503" s="124"/>
    </row>
    <row r="504" ht="15.75" customHeight="1">
      <c r="B504" s="334"/>
      <c r="E504" s="124"/>
      <c r="F504" s="124"/>
      <c r="G504" s="124"/>
      <c r="H504" s="124"/>
      <c r="I504" s="124"/>
      <c r="J504" s="124"/>
      <c r="K504" s="124"/>
    </row>
    <row r="505" ht="15.75" customHeight="1">
      <c r="B505" s="334"/>
      <c r="E505" s="124"/>
      <c r="F505" s="124"/>
      <c r="G505" s="124"/>
      <c r="H505" s="124"/>
      <c r="I505" s="124"/>
      <c r="J505" s="124"/>
      <c r="K505" s="124"/>
    </row>
    <row r="506" ht="15.75" customHeight="1">
      <c r="B506" s="334"/>
      <c r="E506" s="124"/>
      <c r="F506" s="124"/>
      <c r="G506" s="124"/>
      <c r="H506" s="124"/>
      <c r="I506" s="124"/>
      <c r="J506" s="124"/>
      <c r="K506" s="124"/>
    </row>
    <row r="507" ht="15.75" customHeight="1">
      <c r="B507" s="334"/>
      <c r="E507" s="124"/>
      <c r="F507" s="124"/>
      <c r="G507" s="124"/>
      <c r="H507" s="124"/>
      <c r="I507" s="124"/>
      <c r="J507" s="124"/>
      <c r="K507" s="124"/>
    </row>
    <row r="508" ht="15.75" customHeight="1">
      <c r="B508" s="334"/>
      <c r="E508" s="124"/>
      <c r="F508" s="124"/>
      <c r="G508" s="124"/>
      <c r="H508" s="124"/>
      <c r="I508" s="124"/>
      <c r="J508" s="124"/>
      <c r="K508" s="124"/>
    </row>
    <row r="509" ht="15.75" customHeight="1">
      <c r="B509" s="334"/>
      <c r="E509" s="124"/>
      <c r="F509" s="124"/>
      <c r="G509" s="124"/>
      <c r="H509" s="124"/>
      <c r="I509" s="124"/>
      <c r="J509" s="124"/>
      <c r="K509" s="124"/>
    </row>
    <row r="510" ht="15.75" customHeight="1">
      <c r="B510" s="334"/>
      <c r="E510" s="124"/>
      <c r="F510" s="124"/>
      <c r="G510" s="124"/>
      <c r="H510" s="124"/>
      <c r="I510" s="124"/>
      <c r="J510" s="124"/>
      <c r="K510" s="124"/>
    </row>
    <row r="511" ht="15.75" customHeight="1">
      <c r="B511" s="334"/>
      <c r="E511" s="124"/>
      <c r="F511" s="124"/>
      <c r="G511" s="124"/>
      <c r="H511" s="124"/>
      <c r="I511" s="124"/>
      <c r="J511" s="124"/>
      <c r="K511" s="124"/>
    </row>
    <row r="512" ht="15.75" customHeight="1">
      <c r="B512" s="334"/>
      <c r="E512" s="124"/>
      <c r="F512" s="124"/>
      <c r="G512" s="124"/>
      <c r="H512" s="124"/>
      <c r="I512" s="124"/>
      <c r="J512" s="124"/>
      <c r="K512" s="124"/>
    </row>
    <row r="513" ht="15.75" customHeight="1">
      <c r="B513" s="334"/>
      <c r="E513" s="124"/>
      <c r="F513" s="124"/>
      <c r="G513" s="124"/>
      <c r="H513" s="124"/>
      <c r="I513" s="124"/>
      <c r="J513" s="124"/>
      <c r="K513" s="124"/>
    </row>
    <row r="514" ht="15.75" customHeight="1">
      <c r="B514" s="334"/>
      <c r="E514" s="124"/>
      <c r="F514" s="124"/>
      <c r="G514" s="124"/>
      <c r="H514" s="124"/>
      <c r="I514" s="124"/>
      <c r="J514" s="124"/>
      <c r="K514" s="124"/>
    </row>
    <row r="515" ht="15.75" customHeight="1">
      <c r="B515" s="334"/>
      <c r="E515" s="124"/>
      <c r="F515" s="124"/>
      <c r="G515" s="124"/>
      <c r="H515" s="124"/>
      <c r="I515" s="124"/>
      <c r="J515" s="124"/>
      <c r="K515" s="124"/>
    </row>
    <row r="516" ht="15.75" customHeight="1">
      <c r="B516" s="334"/>
      <c r="E516" s="124"/>
      <c r="F516" s="124"/>
      <c r="G516" s="124"/>
      <c r="H516" s="124"/>
      <c r="I516" s="124"/>
      <c r="J516" s="124"/>
      <c r="K516" s="124"/>
    </row>
    <row r="517" ht="15.75" customHeight="1">
      <c r="B517" s="334"/>
      <c r="E517" s="124"/>
      <c r="F517" s="124"/>
      <c r="G517" s="124"/>
      <c r="H517" s="124"/>
      <c r="I517" s="124"/>
      <c r="J517" s="124"/>
      <c r="K517" s="124"/>
    </row>
    <row r="518" ht="15.75" customHeight="1">
      <c r="B518" s="334"/>
      <c r="E518" s="124"/>
      <c r="F518" s="124"/>
      <c r="G518" s="124"/>
      <c r="H518" s="124"/>
      <c r="I518" s="124"/>
      <c r="J518" s="124"/>
      <c r="K518" s="124"/>
    </row>
    <row r="519" ht="15.75" customHeight="1">
      <c r="B519" s="334"/>
      <c r="E519" s="124"/>
      <c r="F519" s="124"/>
      <c r="G519" s="124"/>
      <c r="H519" s="124"/>
      <c r="I519" s="124"/>
      <c r="J519" s="124"/>
      <c r="K519" s="124"/>
    </row>
    <row r="520" ht="15.75" customHeight="1">
      <c r="B520" s="334"/>
      <c r="E520" s="124"/>
      <c r="F520" s="124"/>
      <c r="G520" s="124"/>
      <c r="H520" s="124"/>
      <c r="I520" s="124"/>
      <c r="J520" s="124"/>
      <c r="K520" s="124"/>
    </row>
    <row r="521" ht="15.75" customHeight="1">
      <c r="B521" s="334"/>
      <c r="E521" s="124"/>
      <c r="F521" s="124"/>
      <c r="G521" s="124"/>
      <c r="H521" s="124"/>
      <c r="I521" s="124"/>
      <c r="J521" s="124"/>
      <c r="K521" s="124"/>
    </row>
    <row r="522" ht="15.75" customHeight="1">
      <c r="B522" s="334"/>
      <c r="E522" s="124"/>
      <c r="F522" s="124"/>
      <c r="G522" s="124"/>
      <c r="H522" s="124"/>
      <c r="I522" s="124"/>
      <c r="J522" s="124"/>
      <c r="K522" s="124"/>
    </row>
    <row r="523" ht="15.75" customHeight="1">
      <c r="B523" s="334"/>
      <c r="E523" s="124"/>
      <c r="F523" s="124"/>
      <c r="G523" s="124"/>
      <c r="H523" s="124"/>
      <c r="I523" s="124"/>
      <c r="J523" s="124"/>
      <c r="K523" s="124"/>
    </row>
    <row r="524" ht="15.75" customHeight="1">
      <c r="B524" s="334"/>
      <c r="E524" s="124"/>
      <c r="F524" s="124"/>
      <c r="G524" s="124"/>
      <c r="H524" s="124"/>
      <c r="I524" s="124"/>
      <c r="J524" s="124"/>
      <c r="K524" s="124"/>
    </row>
    <row r="525" ht="15.75" customHeight="1">
      <c r="B525" s="334"/>
      <c r="E525" s="124"/>
      <c r="F525" s="124"/>
      <c r="G525" s="124"/>
      <c r="H525" s="124"/>
      <c r="I525" s="124"/>
      <c r="J525" s="124"/>
      <c r="K525" s="124"/>
    </row>
    <row r="526" ht="15.75" customHeight="1">
      <c r="B526" s="334"/>
      <c r="E526" s="124"/>
      <c r="F526" s="124"/>
      <c r="G526" s="124"/>
      <c r="H526" s="124"/>
      <c r="I526" s="124"/>
      <c r="J526" s="124"/>
      <c r="K526" s="124"/>
    </row>
    <row r="527" ht="15.75" customHeight="1">
      <c r="B527" s="334"/>
      <c r="E527" s="124"/>
      <c r="F527" s="124"/>
      <c r="G527" s="124"/>
      <c r="H527" s="124"/>
      <c r="I527" s="124"/>
      <c r="J527" s="124"/>
      <c r="K527" s="124"/>
    </row>
    <row r="528" ht="15.75" customHeight="1">
      <c r="B528" s="334"/>
      <c r="E528" s="124"/>
      <c r="F528" s="124"/>
      <c r="G528" s="124"/>
      <c r="H528" s="124"/>
      <c r="I528" s="124"/>
      <c r="J528" s="124"/>
      <c r="K528" s="124"/>
    </row>
    <row r="529" ht="15.75" customHeight="1">
      <c r="B529" s="334"/>
      <c r="E529" s="124"/>
      <c r="F529" s="124"/>
      <c r="G529" s="124"/>
      <c r="H529" s="124"/>
      <c r="I529" s="124"/>
      <c r="J529" s="124"/>
      <c r="K529" s="124"/>
    </row>
    <row r="530" ht="15.75" customHeight="1">
      <c r="B530" s="334"/>
      <c r="E530" s="124"/>
      <c r="F530" s="124"/>
      <c r="G530" s="124"/>
      <c r="H530" s="124"/>
      <c r="I530" s="124"/>
      <c r="J530" s="124"/>
      <c r="K530" s="124"/>
    </row>
    <row r="531" ht="15.75" customHeight="1">
      <c r="B531" s="334"/>
      <c r="E531" s="124"/>
      <c r="F531" s="124"/>
      <c r="G531" s="124"/>
      <c r="H531" s="124"/>
      <c r="I531" s="124"/>
      <c r="J531" s="124"/>
      <c r="K531" s="124"/>
    </row>
    <row r="532" ht="15.75" customHeight="1">
      <c r="B532" s="334"/>
      <c r="E532" s="124"/>
      <c r="F532" s="124"/>
      <c r="G532" s="124"/>
      <c r="H532" s="124"/>
      <c r="I532" s="124"/>
      <c r="J532" s="124"/>
      <c r="K532" s="124"/>
    </row>
    <row r="533" ht="15.75" customHeight="1">
      <c r="B533" s="334"/>
      <c r="E533" s="124"/>
      <c r="F533" s="124"/>
      <c r="G533" s="124"/>
      <c r="H533" s="124"/>
      <c r="I533" s="124"/>
      <c r="J533" s="124"/>
      <c r="K533" s="124"/>
    </row>
    <row r="534" ht="15.75" customHeight="1">
      <c r="B534" s="334"/>
      <c r="E534" s="124"/>
      <c r="F534" s="124"/>
      <c r="G534" s="124"/>
      <c r="H534" s="124"/>
      <c r="I534" s="124"/>
      <c r="J534" s="124"/>
      <c r="K534" s="124"/>
    </row>
    <row r="535" ht="15.75" customHeight="1">
      <c r="B535" s="334"/>
      <c r="E535" s="124"/>
      <c r="F535" s="124"/>
      <c r="G535" s="124"/>
      <c r="H535" s="124"/>
      <c r="I535" s="124"/>
      <c r="J535" s="124"/>
      <c r="K535" s="124"/>
    </row>
    <row r="536" ht="15.75" customHeight="1">
      <c r="B536" s="334"/>
      <c r="E536" s="124"/>
      <c r="F536" s="124"/>
      <c r="G536" s="124"/>
      <c r="H536" s="124"/>
      <c r="I536" s="124"/>
      <c r="J536" s="124"/>
      <c r="K536" s="124"/>
    </row>
    <row r="537" ht="15.75" customHeight="1">
      <c r="B537" s="334"/>
      <c r="E537" s="124"/>
      <c r="F537" s="124"/>
      <c r="G537" s="124"/>
      <c r="H537" s="124"/>
      <c r="I537" s="124"/>
      <c r="J537" s="124"/>
      <c r="K537" s="124"/>
    </row>
    <row r="538" ht="15.75" customHeight="1">
      <c r="B538" s="334"/>
      <c r="E538" s="124"/>
      <c r="F538" s="124"/>
      <c r="G538" s="124"/>
      <c r="H538" s="124"/>
      <c r="I538" s="124"/>
      <c r="J538" s="124"/>
      <c r="K538" s="124"/>
    </row>
    <row r="539" ht="15.75" customHeight="1">
      <c r="B539" s="334"/>
      <c r="E539" s="124"/>
      <c r="F539" s="124"/>
      <c r="G539" s="124"/>
      <c r="H539" s="124"/>
      <c r="I539" s="124"/>
      <c r="J539" s="124"/>
      <c r="K539" s="124"/>
    </row>
    <row r="540" ht="15.75" customHeight="1">
      <c r="B540" s="334"/>
      <c r="E540" s="124"/>
      <c r="F540" s="124"/>
      <c r="G540" s="124"/>
      <c r="H540" s="124"/>
      <c r="I540" s="124"/>
      <c r="J540" s="124"/>
      <c r="K540" s="124"/>
    </row>
    <row r="541" ht="15.75" customHeight="1">
      <c r="B541" s="334"/>
      <c r="E541" s="124"/>
      <c r="F541" s="124"/>
      <c r="G541" s="124"/>
      <c r="H541" s="124"/>
      <c r="I541" s="124"/>
      <c r="J541" s="124"/>
      <c r="K541" s="124"/>
    </row>
    <row r="542" ht="15.75" customHeight="1">
      <c r="B542" s="334"/>
      <c r="E542" s="124"/>
      <c r="F542" s="124"/>
      <c r="G542" s="124"/>
      <c r="H542" s="124"/>
      <c r="I542" s="124"/>
      <c r="J542" s="124"/>
      <c r="K542" s="124"/>
    </row>
    <row r="543" ht="15.75" customHeight="1">
      <c r="B543" s="334"/>
      <c r="E543" s="124"/>
      <c r="F543" s="124"/>
      <c r="G543" s="124"/>
      <c r="H543" s="124"/>
      <c r="I543" s="124"/>
      <c r="J543" s="124"/>
      <c r="K543" s="124"/>
    </row>
    <row r="544" ht="15.75" customHeight="1">
      <c r="B544" s="334"/>
      <c r="E544" s="124"/>
      <c r="F544" s="124"/>
      <c r="G544" s="124"/>
      <c r="H544" s="124"/>
      <c r="I544" s="124"/>
      <c r="J544" s="124"/>
      <c r="K544" s="124"/>
    </row>
    <row r="545" ht="15.75" customHeight="1">
      <c r="B545" s="334"/>
      <c r="E545" s="124"/>
      <c r="F545" s="124"/>
      <c r="G545" s="124"/>
      <c r="H545" s="124"/>
      <c r="I545" s="124"/>
      <c r="J545" s="124"/>
      <c r="K545" s="124"/>
    </row>
    <row r="546" ht="15.75" customHeight="1">
      <c r="B546" s="334"/>
      <c r="E546" s="124"/>
      <c r="F546" s="124"/>
      <c r="G546" s="124"/>
      <c r="H546" s="124"/>
      <c r="I546" s="124"/>
      <c r="J546" s="124"/>
      <c r="K546" s="124"/>
    </row>
    <row r="547" ht="15.75" customHeight="1">
      <c r="B547" s="334"/>
      <c r="E547" s="124"/>
      <c r="F547" s="124"/>
      <c r="G547" s="124"/>
      <c r="H547" s="124"/>
      <c r="I547" s="124"/>
      <c r="J547" s="124"/>
      <c r="K547" s="124"/>
    </row>
    <row r="548" ht="15.75" customHeight="1">
      <c r="B548" s="334"/>
      <c r="E548" s="124"/>
      <c r="F548" s="124"/>
      <c r="G548" s="124"/>
      <c r="H548" s="124"/>
      <c r="I548" s="124"/>
      <c r="J548" s="124"/>
      <c r="K548" s="124"/>
    </row>
    <row r="549" ht="15.75" customHeight="1">
      <c r="B549" s="334"/>
      <c r="E549" s="124"/>
      <c r="F549" s="124"/>
      <c r="G549" s="124"/>
      <c r="H549" s="124"/>
      <c r="I549" s="124"/>
      <c r="J549" s="124"/>
      <c r="K549" s="124"/>
    </row>
    <row r="550" ht="15.75" customHeight="1">
      <c r="B550" s="334"/>
      <c r="E550" s="124"/>
      <c r="F550" s="124"/>
      <c r="G550" s="124"/>
      <c r="H550" s="124"/>
      <c r="I550" s="124"/>
      <c r="J550" s="124"/>
      <c r="K550" s="124"/>
    </row>
    <row r="551" ht="15.75" customHeight="1">
      <c r="B551" s="334"/>
      <c r="E551" s="124"/>
      <c r="F551" s="124"/>
      <c r="G551" s="124"/>
      <c r="H551" s="124"/>
      <c r="I551" s="124"/>
      <c r="J551" s="124"/>
      <c r="K551" s="124"/>
    </row>
    <row r="552" ht="15.75" customHeight="1">
      <c r="B552" s="334"/>
      <c r="E552" s="124"/>
      <c r="F552" s="124"/>
      <c r="G552" s="124"/>
      <c r="H552" s="124"/>
      <c r="I552" s="124"/>
      <c r="J552" s="124"/>
      <c r="K552" s="124"/>
    </row>
    <row r="553" ht="15.75" customHeight="1">
      <c r="B553" s="334"/>
      <c r="E553" s="124"/>
      <c r="F553" s="124"/>
      <c r="G553" s="124"/>
      <c r="H553" s="124"/>
      <c r="I553" s="124"/>
      <c r="J553" s="124"/>
      <c r="K553" s="124"/>
    </row>
    <row r="554" ht="15.75" customHeight="1">
      <c r="B554" s="334"/>
      <c r="E554" s="124"/>
      <c r="F554" s="124"/>
      <c r="G554" s="124"/>
      <c r="H554" s="124"/>
      <c r="I554" s="124"/>
      <c r="J554" s="124"/>
      <c r="K554" s="124"/>
    </row>
    <row r="555" ht="15.75" customHeight="1">
      <c r="B555" s="334"/>
      <c r="E555" s="124"/>
      <c r="F555" s="124"/>
      <c r="G555" s="124"/>
      <c r="H555" s="124"/>
      <c r="I555" s="124"/>
      <c r="J555" s="124"/>
      <c r="K555" s="124"/>
    </row>
    <row r="556" ht="15.75" customHeight="1">
      <c r="B556" s="334"/>
      <c r="E556" s="124"/>
      <c r="F556" s="124"/>
      <c r="G556" s="124"/>
      <c r="H556" s="124"/>
      <c r="I556" s="124"/>
      <c r="J556" s="124"/>
      <c r="K556" s="124"/>
    </row>
    <row r="557" ht="15.75" customHeight="1">
      <c r="B557" s="334"/>
      <c r="E557" s="124"/>
      <c r="F557" s="124"/>
      <c r="G557" s="124"/>
      <c r="H557" s="124"/>
      <c r="I557" s="124"/>
      <c r="J557" s="124"/>
      <c r="K557" s="124"/>
    </row>
    <row r="558" ht="15.75" customHeight="1">
      <c r="B558" s="334"/>
      <c r="E558" s="124"/>
      <c r="F558" s="124"/>
      <c r="G558" s="124"/>
      <c r="H558" s="124"/>
      <c r="I558" s="124"/>
      <c r="J558" s="124"/>
      <c r="K558" s="124"/>
    </row>
    <row r="559" ht="15.75" customHeight="1">
      <c r="B559" s="334"/>
      <c r="E559" s="124"/>
      <c r="F559" s="124"/>
      <c r="G559" s="124"/>
      <c r="H559" s="124"/>
      <c r="I559" s="124"/>
      <c r="J559" s="124"/>
      <c r="K559" s="124"/>
    </row>
    <row r="560" ht="15.75" customHeight="1">
      <c r="B560" s="334"/>
      <c r="E560" s="124"/>
      <c r="F560" s="124"/>
      <c r="G560" s="124"/>
      <c r="H560" s="124"/>
      <c r="I560" s="124"/>
      <c r="J560" s="124"/>
      <c r="K560" s="124"/>
    </row>
    <row r="561" ht="15.75" customHeight="1">
      <c r="B561" s="334"/>
      <c r="E561" s="124"/>
      <c r="F561" s="124"/>
      <c r="G561" s="124"/>
      <c r="H561" s="124"/>
      <c r="I561" s="124"/>
      <c r="J561" s="124"/>
      <c r="K561" s="124"/>
    </row>
    <row r="562" ht="15.75" customHeight="1">
      <c r="B562" s="334"/>
      <c r="E562" s="124"/>
      <c r="F562" s="124"/>
      <c r="G562" s="124"/>
      <c r="H562" s="124"/>
      <c r="I562" s="124"/>
      <c r="J562" s="124"/>
      <c r="K562" s="124"/>
    </row>
    <row r="563" ht="15.75" customHeight="1">
      <c r="B563" s="334"/>
      <c r="E563" s="124"/>
      <c r="F563" s="124"/>
      <c r="G563" s="124"/>
      <c r="H563" s="124"/>
      <c r="I563" s="124"/>
      <c r="J563" s="124"/>
      <c r="K563" s="124"/>
    </row>
    <row r="564" ht="15.75" customHeight="1">
      <c r="B564" s="334"/>
      <c r="E564" s="124"/>
      <c r="F564" s="124"/>
      <c r="G564" s="124"/>
      <c r="H564" s="124"/>
      <c r="I564" s="124"/>
      <c r="J564" s="124"/>
      <c r="K564" s="124"/>
    </row>
    <row r="565" ht="15.75" customHeight="1">
      <c r="B565" s="334"/>
      <c r="E565" s="124"/>
      <c r="F565" s="124"/>
      <c r="G565" s="124"/>
      <c r="H565" s="124"/>
      <c r="I565" s="124"/>
      <c r="J565" s="124"/>
      <c r="K565" s="124"/>
    </row>
    <row r="566" ht="15.75" customHeight="1">
      <c r="B566" s="334"/>
      <c r="E566" s="124"/>
      <c r="F566" s="124"/>
      <c r="G566" s="124"/>
      <c r="H566" s="124"/>
      <c r="I566" s="124"/>
      <c r="J566" s="124"/>
      <c r="K566" s="124"/>
    </row>
    <row r="567" ht="15.75" customHeight="1">
      <c r="B567" s="334"/>
      <c r="E567" s="124"/>
      <c r="F567" s="124"/>
      <c r="G567" s="124"/>
      <c r="H567" s="124"/>
      <c r="I567" s="124"/>
      <c r="J567" s="124"/>
      <c r="K567" s="124"/>
    </row>
    <row r="568" ht="15.75" customHeight="1">
      <c r="B568" s="334"/>
      <c r="E568" s="124"/>
      <c r="F568" s="124"/>
      <c r="G568" s="124"/>
      <c r="H568" s="124"/>
      <c r="I568" s="124"/>
      <c r="J568" s="124"/>
      <c r="K568" s="124"/>
    </row>
    <row r="569" ht="15.75" customHeight="1">
      <c r="B569" s="334"/>
      <c r="E569" s="124"/>
      <c r="F569" s="124"/>
      <c r="G569" s="124"/>
      <c r="H569" s="124"/>
      <c r="I569" s="124"/>
      <c r="J569" s="124"/>
      <c r="K569" s="124"/>
    </row>
    <row r="570" ht="15.75" customHeight="1">
      <c r="B570" s="334"/>
      <c r="E570" s="124"/>
      <c r="F570" s="124"/>
      <c r="G570" s="124"/>
      <c r="H570" s="124"/>
      <c r="I570" s="124"/>
      <c r="J570" s="124"/>
      <c r="K570" s="124"/>
    </row>
    <row r="571" ht="15.75" customHeight="1">
      <c r="B571" s="334"/>
      <c r="E571" s="124"/>
      <c r="F571" s="124"/>
      <c r="G571" s="124"/>
      <c r="H571" s="124"/>
      <c r="I571" s="124"/>
      <c r="J571" s="124"/>
      <c r="K571" s="124"/>
    </row>
    <row r="572" ht="15.75" customHeight="1">
      <c r="B572" s="334"/>
      <c r="E572" s="124"/>
      <c r="F572" s="124"/>
      <c r="G572" s="124"/>
      <c r="H572" s="124"/>
      <c r="I572" s="124"/>
      <c r="J572" s="124"/>
      <c r="K572" s="124"/>
    </row>
    <row r="573" ht="15.75" customHeight="1">
      <c r="B573" s="334"/>
      <c r="E573" s="124"/>
      <c r="F573" s="124"/>
      <c r="G573" s="124"/>
      <c r="H573" s="124"/>
      <c r="I573" s="124"/>
      <c r="J573" s="124"/>
      <c r="K573" s="124"/>
    </row>
    <row r="574" ht="15.75" customHeight="1">
      <c r="B574" s="334"/>
      <c r="E574" s="124"/>
      <c r="F574" s="124"/>
      <c r="G574" s="124"/>
      <c r="H574" s="124"/>
      <c r="I574" s="124"/>
      <c r="J574" s="124"/>
      <c r="K574" s="124"/>
    </row>
    <row r="575" ht="15.75" customHeight="1">
      <c r="B575" s="334"/>
      <c r="E575" s="124"/>
      <c r="F575" s="124"/>
      <c r="G575" s="124"/>
      <c r="H575" s="124"/>
      <c r="I575" s="124"/>
      <c r="J575" s="124"/>
      <c r="K575" s="124"/>
    </row>
    <row r="576" ht="15.75" customHeight="1">
      <c r="B576" s="334"/>
      <c r="E576" s="124"/>
      <c r="F576" s="124"/>
      <c r="G576" s="124"/>
      <c r="H576" s="124"/>
      <c r="I576" s="124"/>
      <c r="J576" s="124"/>
      <c r="K576" s="124"/>
    </row>
    <row r="577" ht="15.75" customHeight="1">
      <c r="B577" s="334"/>
      <c r="E577" s="124"/>
      <c r="F577" s="124"/>
      <c r="G577" s="124"/>
      <c r="H577" s="124"/>
      <c r="I577" s="124"/>
      <c r="J577" s="124"/>
      <c r="K577" s="124"/>
    </row>
    <row r="578" ht="15.75" customHeight="1">
      <c r="B578" s="334"/>
      <c r="E578" s="124"/>
      <c r="F578" s="124"/>
      <c r="G578" s="124"/>
      <c r="H578" s="124"/>
      <c r="I578" s="124"/>
      <c r="J578" s="124"/>
      <c r="K578" s="124"/>
    </row>
    <row r="579" ht="15.75" customHeight="1">
      <c r="B579" s="334"/>
      <c r="E579" s="124"/>
      <c r="F579" s="124"/>
      <c r="G579" s="124"/>
      <c r="H579" s="124"/>
      <c r="I579" s="124"/>
      <c r="J579" s="124"/>
      <c r="K579" s="124"/>
    </row>
    <row r="580" ht="15.75" customHeight="1">
      <c r="B580" s="334"/>
      <c r="E580" s="124"/>
      <c r="F580" s="124"/>
      <c r="G580" s="124"/>
      <c r="H580" s="124"/>
      <c r="I580" s="124"/>
      <c r="J580" s="124"/>
      <c r="K580" s="124"/>
    </row>
    <row r="581" ht="15.75" customHeight="1">
      <c r="B581" s="334"/>
      <c r="E581" s="124"/>
      <c r="F581" s="124"/>
      <c r="G581" s="124"/>
      <c r="H581" s="124"/>
      <c r="I581" s="124"/>
      <c r="J581" s="124"/>
      <c r="K581" s="124"/>
    </row>
    <row r="582" ht="15.75" customHeight="1">
      <c r="B582" s="334"/>
      <c r="E582" s="124"/>
      <c r="F582" s="124"/>
      <c r="G582" s="124"/>
      <c r="H582" s="124"/>
      <c r="I582" s="124"/>
      <c r="J582" s="124"/>
      <c r="K582" s="124"/>
    </row>
    <row r="583" ht="15.75" customHeight="1">
      <c r="B583" s="334"/>
      <c r="E583" s="124"/>
      <c r="F583" s="124"/>
      <c r="G583" s="124"/>
      <c r="H583" s="124"/>
      <c r="I583" s="124"/>
      <c r="J583" s="124"/>
      <c r="K583" s="124"/>
    </row>
    <row r="584" ht="15.75" customHeight="1">
      <c r="B584" s="334"/>
      <c r="E584" s="124"/>
      <c r="F584" s="124"/>
      <c r="G584" s="124"/>
      <c r="H584" s="124"/>
      <c r="I584" s="124"/>
      <c r="J584" s="124"/>
      <c r="K584" s="124"/>
    </row>
    <row r="585" ht="15.75" customHeight="1">
      <c r="B585" s="334"/>
      <c r="E585" s="124"/>
      <c r="F585" s="124"/>
      <c r="G585" s="124"/>
      <c r="H585" s="124"/>
      <c r="I585" s="124"/>
      <c r="J585" s="124"/>
      <c r="K585" s="124"/>
    </row>
    <row r="586" ht="15.75" customHeight="1">
      <c r="B586" s="334"/>
      <c r="E586" s="124"/>
      <c r="F586" s="124"/>
      <c r="G586" s="124"/>
      <c r="H586" s="124"/>
      <c r="I586" s="124"/>
      <c r="J586" s="124"/>
      <c r="K586" s="124"/>
    </row>
    <row r="587" ht="15.75" customHeight="1">
      <c r="B587" s="334"/>
      <c r="E587" s="124"/>
      <c r="F587" s="124"/>
      <c r="G587" s="124"/>
      <c r="H587" s="124"/>
      <c r="I587" s="124"/>
      <c r="J587" s="124"/>
      <c r="K587" s="124"/>
    </row>
    <row r="588" ht="15.75" customHeight="1">
      <c r="B588" s="334"/>
      <c r="E588" s="124"/>
      <c r="F588" s="124"/>
      <c r="G588" s="124"/>
      <c r="H588" s="124"/>
      <c r="I588" s="124"/>
      <c r="J588" s="124"/>
      <c r="K588" s="124"/>
    </row>
    <row r="589" ht="15.75" customHeight="1">
      <c r="B589" s="334"/>
      <c r="E589" s="124"/>
      <c r="F589" s="124"/>
      <c r="G589" s="124"/>
      <c r="H589" s="124"/>
      <c r="I589" s="124"/>
      <c r="J589" s="124"/>
      <c r="K589" s="124"/>
    </row>
    <row r="590" ht="15.75" customHeight="1">
      <c r="B590" s="334"/>
      <c r="E590" s="124"/>
      <c r="F590" s="124"/>
      <c r="G590" s="124"/>
      <c r="H590" s="124"/>
      <c r="I590" s="124"/>
      <c r="J590" s="124"/>
      <c r="K590" s="124"/>
    </row>
    <row r="591" ht="15.75" customHeight="1">
      <c r="B591" s="334"/>
      <c r="E591" s="124"/>
      <c r="F591" s="124"/>
      <c r="G591" s="124"/>
      <c r="H591" s="124"/>
      <c r="I591" s="124"/>
      <c r="J591" s="124"/>
      <c r="K591" s="124"/>
    </row>
    <row r="592" ht="15.75" customHeight="1">
      <c r="B592" s="334"/>
      <c r="E592" s="124"/>
      <c r="F592" s="124"/>
      <c r="G592" s="124"/>
      <c r="H592" s="124"/>
      <c r="I592" s="124"/>
      <c r="J592" s="124"/>
      <c r="K592" s="124"/>
    </row>
    <row r="593" ht="15.75" customHeight="1">
      <c r="B593" s="334"/>
      <c r="E593" s="124"/>
      <c r="F593" s="124"/>
      <c r="G593" s="124"/>
      <c r="H593" s="124"/>
      <c r="I593" s="124"/>
      <c r="J593" s="124"/>
      <c r="K593" s="124"/>
    </row>
    <row r="594" ht="15.75" customHeight="1">
      <c r="B594" s="334"/>
      <c r="E594" s="124"/>
      <c r="F594" s="124"/>
      <c r="G594" s="124"/>
      <c r="H594" s="124"/>
      <c r="I594" s="124"/>
      <c r="J594" s="124"/>
      <c r="K594" s="124"/>
    </row>
    <row r="595" ht="15.75" customHeight="1">
      <c r="B595" s="334"/>
      <c r="E595" s="124"/>
      <c r="F595" s="124"/>
      <c r="G595" s="124"/>
      <c r="H595" s="124"/>
      <c r="I595" s="124"/>
      <c r="J595" s="124"/>
      <c r="K595" s="124"/>
    </row>
    <row r="596" ht="15.75" customHeight="1">
      <c r="B596" s="334"/>
      <c r="E596" s="124"/>
      <c r="F596" s="124"/>
      <c r="G596" s="124"/>
      <c r="H596" s="124"/>
      <c r="I596" s="124"/>
      <c r="J596" s="124"/>
      <c r="K596" s="124"/>
    </row>
    <row r="597" ht="15.75" customHeight="1">
      <c r="B597" s="334"/>
      <c r="E597" s="124"/>
      <c r="F597" s="124"/>
      <c r="G597" s="124"/>
      <c r="H597" s="124"/>
      <c r="I597" s="124"/>
      <c r="J597" s="124"/>
      <c r="K597" s="124"/>
    </row>
    <row r="598" ht="15.75" customHeight="1">
      <c r="B598" s="334"/>
      <c r="E598" s="124"/>
      <c r="F598" s="124"/>
      <c r="G598" s="124"/>
      <c r="H598" s="124"/>
      <c r="I598" s="124"/>
      <c r="J598" s="124"/>
      <c r="K598" s="124"/>
    </row>
    <row r="599" ht="15.75" customHeight="1">
      <c r="B599" s="334"/>
      <c r="E599" s="124"/>
      <c r="F599" s="124"/>
      <c r="G599" s="124"/>
      <c r="H599" s="124"/>
      <c r="I599" s="124"/>
      <c r="J599" s="124"/>
      <c r="K599" s="124"/>
    </row>
    <row r="600" ht="15.75" customHeight="1">
      <c r="B600" s="334"/>
      <c r="E600" s="124"/>
      <c r="F600" s="124"/>
      <c r="G600" s="124"/>
      <c r="H600" s="124"/>
      <c r="I600" s="124"/>
      <c r="J600" s="124"/>
      <c r="K600" s="124"/>
    </row>
    <row r="601" ht="15.75" customHeight="1">
      <c r="B601" s="334"/>
      <c r="E601" s="124"/>
      <c r="F601" s="124"/>
      <c r="G601" s="124"/>
      <c r="H601" s="124"/>
      <c r="I601" s="124"/>
      <c r="J601" s="124"/>
      <c r="K601" s="124"/>
    </row>
    <row r="602" ht="15.75" customHeight="1">
      <c r="B602" s="334"/>
      <c r="E602" s="124"/>
      <c r="F602" s="124"/>
      <c r="G602" s="124"/>
      <c r="H602" s="124"/>
      <c r="I602" s="124"/>
      <c r="J602" s="124"/>
      <c r="K602" s="124"/>
    </row>
    <row r="603" ht="15.75" customHeight="1">
      <c r="B603" s="334"/>
      <c r="E603" s="124"/>
      <c r="F603" s="124"/>
      <c r="G603" s="124"/>
      <c r="H603" s="124"/>
      <c r="I603" s="124"/>
      <c r="J603" s="124"/>
      <c r="K603" s="124"/>
    </row>
    <row r="604" ht="15.75" customHeight="1">
      <c r="B604" s="334"/>
      <c r="E604" s="124"/>
      <c r="F604" s="124"/>
      <c r="G604" s="124"/>
      <c r="H604" s="124"/>
      <c r="I604" s="124"/>
      <c r="J604" s="124"/>
      <c r="K604" s="124"/>
    </row>
    <row r="605" ht="15.75" customHeight="1">
      <c r="B605" s="334"/>
      <c r="E605" s="124"/>
      <c r="F605" s="124"/>
      <c r="G605" s="124"/>
      <c r="H605" s="124"/>
      <c r="I605" s="124"/>
      <c r="J605" s="124"/>
      <c r="K605" s="124"/>
    </row>
    <row r="606" ht="15.75" customHeight="1">
      <c r="B606" s="334"/>
      <c r="E606" s="124"/>
      <c r="F606" s="124"/>
      <c r="G606" s="124"/>
      <c r="H606" s="124"/>
      <c r="I606" s="124"/>
      <c r="J606" s="124"/>
      <c r="K606" s="124"/>
    </row>
    <row r="607" ht="15.75" customHeight="1">
      <c r="B607" s="334"/>
      <c r="E607" s="124"/>
      <c r="F607" s="124"/>
      <c r="G607" s="124"/>
      <c r="H607" s="124"/>
      <c r="I607" s="124"/>
      <c r="J607" s="124"/>
      <c r="K607" s="124"/>
    </row>
    <row r="608" ht="15.75" customHeight="1">
      <c r="B608" s="334"/>
      <c r="E608" s="124"/>
      <c r="F608" s="124"/>
      <c r="G608" s="124"/>
      <c r="H608" s="124"/>
      <c r="I608" s="124"/>
      <c r="J608" s="124"/>
      <c r="K608" s="124"/>
    </row>
    <row r="609" ht="15.75" customHeight="1">
      <c r="B609" s="334"/>
      <c r="E609" s="124"/>
      <c r="F609" s="124"/>
      <c r="G609" s="124"/>
      <c r="H609" s="124"/>
      <c r="I609" s="124"/>
      <c r="J609" s="124"/>
      <c r="K609" s="124"/>
    </row>
    <row r="610" ht="15.75" customHeight="1">
      <c r="B610" s="334"/>
      <c r="E610" s="124"/>
      <c r="F610" s="124"/>
      <c r="G610" s="124"/>
      <c r="H610" s="124"/>
      <c r="I610" s="124"/>
      <c r="J610" s="124"/>
      <c r="K610" s="124"/>
    </row>
    <row r="611" ht="15.75" customHeight="1">
      <c r="B611" s="334"/>
      <c r="E611" s="124"/>
      <c r="F611" s="124"/>
      <c r="G611" s="124"/>
      <c r="H611" s="124"/>
      <c r="I611" s="124"/>
      <c r="J611" s="124"/>
      <c r="K611" s="124"/>
    </row>
    <row r="612" ht="15.75" customHeight="1">
      <c r="B612" s="334"/>
      <c r="E612" s="124"/>
      <c r="F612" s="124"/>
      <c r="G612" s="124"/>
      <c r="H612" s="124"/>
      <c r="I612" s="124"/>
      <c r="J612" s="124"/>
      <c r="K612" s="124"/>
    </row>
    <row r="613" ht="15.75" customHeight="1">
      <c r="B613" s="334"/>
      <c r="E613" s="124"/>
      <c r="F613" s="124"/>
      <c r="G613" s="124"/>
      <c r="H613" s="124"/>
      <c r="I613" s="124"/>
      <c r="J613" s="124"/>
      <c r="K613" s="124"/>
    </row>
    <row r="614" ht="15.75" customHeight="1">
      <c r="B614" s="334"/>
      <c r="E614" s="124"/>
      <c r="F614" s="124"/>
      <c r="G614" s="124"/>
      <c r="H614" s="124"/>
      <c r="I614" s="124"/>
      <c r="J614" s="124"/>
      <c r="K614" s="124"/>
    </row>
    <row r="615" ht="15.75" customHeight="1">
      <c r="B615" s="334"/>
      <c r="E615" s="124"/>
      <c r="F615" s="124"/>
      <c r="G615" s="124"/>
      <c r="H615" s="124"/>
      <c r="I615" s="124"/>
      <c r="J615" s="124"/>
      <c r="K615" s="124"/>
    </row>
    <row r="616" ht="15.75" customHeight="1">
      <c r="B616" s="334"/>
      <c r="E616" s="124"/>
      <c r="F616" s="124"/>
      <c r="G616" s="124"/>
      <c r="H616" s="124"/>
      <c r="I616" s="124"/>
      <c r="J616" s="124"/>
      <c r="K616" s="124"/>
    </row>
    <row r="617" ht="15.75" customHeight="1">
      <c r="B617" s="334"/>
      <c r="E617" s="124"/>
      <c r="F617" s="124"/>
      <c r="G617" s="124"/>
      <c r="H617" s="124"/>
      <c r="I617" s="124"/>
      <c r="J617" s="124"/>
      <c r="K617" s="124"/>
    </row>
    <row r="618" ht="15.75" customHeight="1">
      <c r="B618" s="334"/>
      <c r="E618" s="124"/>
      <c r="F618" s="124"/>
      <c r="G618" s="124"/>
      <c r="H618" s="124"/>
      <c r="I618" s="124"/>
      <c r="J618" s="124"/>
      <c r="K618" s="124"/>
    </row>
    <row r="619" ht="15.75" customHeight="1">
      <c r="B619" s="334"/>
      <c r="E619" s="124"/>
      <c r="F619" s="124"/>
      <c r="G619" s="124"/>
      <c r="H619" s="124"/>
      <c r="I619" s="124"/>
      <c r="J619" s="124"/>
      <c r="K619" s="124"/>
    </row>
    <row r="620" ht="15.75" customHeight="1">
      <c r="B620" s="334"/>
      <c r="E620" s="124"/>
      <c r="F620" s="124"/>
      <c r="G620" s="124"/>
      <c r="H620" s="124"/>
      <c r="I620" s="124"/>
      <c r="J620" s="124"/>
      <c r="K620" s="124"/>
    </row>
    <row r="621" ht="15.75" customHeight="1">
      <c r="B621" s="334"/>
      <c r="E621" s="124"/>
      <c r="F621" s="124"/>
      <c r="G621" s="124"/>
      <c r="H621" s="124"/>
      <c r="I621" s="124"/>
      <c r="J621" s="124"/>
      <c r="K621" s="124"/>
    </row>
    <row r="622" ht="15.75" customHeight="1">
      <c r="B622" s="334"/>
      <c r="E622" s="124"/>
      <c r="F622" s="124"/>
      <c r="G622" s="124"/>
      <c r="H622" s="124"/>
      <c r="I622" s="124"/>
      <c r="J622" s="124"/>
      <c r="K622" s="124"/>
    </row>
    <row r="623" ht="15.75" customHeight="1">
      <c r="B623" s="334"/>
      <c r="E623" s="124"/>
      <c r="F623" s="124"/>
      <c r="G623" s="124"/>
      <c r="H623" s="124"/>
      <c r="I623" s="124"/>
      <c r="J623" s="124"/>
      <c r="K623" s="124"/>
    </row>
    <row r="624" ht="15.75" customHeight="1">
      <c r="B624" s="334"/>
      <c r="E624" s="124"/>
      <c r="F624" s="124"/>
      <c r="G624" s="124"/>
      <c r="H624" s="124"/>
      <c r="I624" s="124"/>
      <c r="J624" s="124"/>
      <c r="K624" s="124"/>
    </row>
    <row r="625" ht="15.75" customHeight="1">
      <c r="B625" s="334"/>
      <c r="E625" s="124"/>
      <c r="F625" s="124"/>
      <c r="G625" s="124"/>
      <c r="H625" s="124"/>
      <c r="I625" s="124"/>
      <c r="J625" s="124"/>
      <c r="K625" s="124"/>
    </row>
    <row r="626" ht="15.75" customHeight="1">
      <c r="B626" s="334"/>
      <c r="E626" s="124"/>
      <c r="F626" s="124"/>
      <c r="G626" s="124"/>
      <c r="H626" s="124"/>
      <c r="I626" s="124"/>
      <c r="J626" s="124"/>
      <c r="K626" s="124"/>
    </row>
    <row r="627" ht="15.75" customHeight="1">
      <c r="B627" s="334"/>
      <c r="E627" s="124"/>
      <c r="F627" s="124"/>
      <c r="G627" s="124"/>
      <c r="H627" s="124"/>
      <c r="I627" s="124"/>
      <c r="J627" s="124"/>
      <c r="K627" s="124"/>
    </row>
    <row r="628" ht="15.75" customHeight="1">
      <c r="B628" s="334"/>
      <c r="E628" s="124"/>
      <c r="F628" s="124"/>
      <c r="G628" s="124"/>
      <c r="H628" s="124"/>
      <c r="I628" s="124"/>
      <c r="J628" s="124"/>
      <c r="K628" s="124"/>
    </row>
    <row r="629" ht="15.75" customHeight="1">
      <c r="B629" s="334"/>
      <c r="E629" s="124"/>
      <c r="F629" s="124"/>
      <c r="G629" s="124"/>
      <c r="H629" s="124"/>
      <c r="I629" s="124"/>
      <c r="J629" s="124"/>
      <c r="K629" s="124"/>
    </row>
    <row r="630" ht="15.75" customHeight="1">
      <c r="B630" s="334"/>
      <c r="E630" s="124"/>
      <c r="F630" s="124"/>
      <c r="G630" s="124"/>
      <c r="H630" s="124"/>
      <c r="I630" s="124"/>
      <c r="J630" s="124"/>
      <c r="K630" s="124"/>
    </row>
    <row r="631" ht="15.75" customHeight="1">
      <c r="B631" s="334"/>
      <c r="E631" s="124"/>
      <c r="F631" s="124"/>
      <c r="G631" s="124"/>
      <c r="H631" s="124"/>
      <c r="I631" s="124"/>
      <c r="J631" s="124"/>
      <c r="K631" s="124"/>
    </row>
    <row r="632" ht="15.75" customHeight="1">
      <c r="B632" s="334"/>
      <c r="E632" s="124"/>
      <c r="F632" s="124"/>
      <c r="G632" s="124"/>
      <c r="H632" s="124"/>
      <c r="I632" s="124"/>
      <c r="J632" s="124"/>
      <c r="K632" s="124"/>
    </row>
    <row r="633" ht="15.75" customHeight="1">
      <c r="B633" s="334"/>
      <c r="E633" s="124"/>
      <c r="F633" s="124"/>
      <c r="G633" s="124"/>
      <c r="H633" s="124"/>
      <c r="I633" s="124"/>
      <c r="J633" s="124"/>
      <c r="K633" s="124"/>
    </row>
    <row r="634" ht="15.75" customHeight="1">
      <c r="B634" s="334"/>
      <c r="E634" s="124"/>
      <c r="F634" s="124"/>
      <c r="G634" s="124"/>
      <c r="H634" s="124"/>
      <c r="I634" s="124"/>
      <c r="J634" s="124"/>
      <c r="K634" s="124"/>
    </row>
    <row r="635" ht="15.75" customHeight="1">
      <c r="B635" s="334"/>
      <c r="E635" s="124"/>
      <c r="F635" s="124"/>
      <c r="G635" s="124"/>
      <c r="H635" s="124"/>
      <c r="I635" s="124"/>
      <c r="J635" s="124"/>
      <c r="K635" s="124"/>
    </row>
    <row r="636" ht="15.75" customHeight="1">
      <c r="B636" s="334"/>
      <c r="E636" s="124"/>
      <c r="F636" s="124"/>
      <c r="G636" s="124"/>
      <c r="H636" s="124"/>
      <c r="I636" s="124"/>
      <c r="J636" s="124"/>
      <c r="K636" s="124"/>
    </row>
    <row r="637" ht="15.75" customHeight="1">
      <c r="B637" s="334"/>
      <c r="E637" s="124"/>
      <c r="F637" s="124"/>
      <c r="G637" s="124"/>
      <c r="H637" s="124"/>
      <c r="I637" s="124"/>
      <c r="J637" s="124"/>
      <c r="K637" s="124"/>
    </row>
    <row r="638" ht="15.75" customHeight="1">
      <c r="B638" s="334"/>
      <c r="E638" s="124"/>
      <c r="F638" s="124"/>
      <c r="G638" s="124"/>
      <c r="H638" s="124"/>
      <c r="I638" s="124"/>
      <c r="J638" s="124"/>
      <c r="K638" s="124"/>
    </row>
    <row r="639" ht="15.75" customHeight="1">
      <c r="B639" s="334"/>
      <c r="E639" s="124"/>
      <c r="F639" s="124"/>
      <c r="G639" s="124"/>
      <c r="H639" s="124"/>
      <c r="I639" s="124"/>
      <c r="J639" s="124"/>
      <c r="K639" s="124"/>
    </row>
    <row r="640" ht="15.75" customHeight="1">
      <c r="B640" s="334"/>
      <c r="E640" s="124"/>
      <c r="F640" s="124"/>
      <c r="G640" s="124"/>
      <c r="H640" s="124"/>
      <c r="I640" s="124"/>
      <c r="J640" s="124"/>
      <c r="K640" s="124"/>
    </row>
    <row r="641" ht="15.75" customHeight="1">
      <c r="B641" s="334"/>
      <c r="E641" s="124"/>
      <c r="F641" s="124"/>
      <c r="G641" s="124"/>
      <c r="H641" s="124"/>
      <c r="I641" s="124"/>
      <c r="J641" s="124"/>
      <c r="K641" s="124"/>
    </row>
    <row r="642" ht="15.75" customHeight="1">
      <c r="B642" s="334"/>
      <c r="E642" s="124"/>
      <c r="F642" s="124"/>
      <c r="G642" s="124"/>
      <c r="H642" s="124"/>
      <c r="I642" s="124"/>
      <c r="J642" s="124"/>
      <c r="K642" s="124"/>
    </row>
    <row r="643" ht="15.75" customHeight="1">
      <c r="B643" s="334"/>
      <c r="E643" s="124"/>
      <c r="F643" s="124"/>
      <c r="G643" s="124"/>
      <c r="H643" s="124"/>
      <c r="I643" s="124"/>
      <c r="J643" s="124"/>
      <c r="K643" s="124"/>
    </row>
    <row r="644" ht="15.75" customHeight="1">
      <c r="B644" s="334"/>
      <c r="E644" s="124"/>
      <c r="F644" s="124"/>
      <c r="G644" s="124"/>
      <c r="H644" s="124"/>
      <c r="I644" s="124"/>
      <c r="J644" s="124"/>
      <c r="K644" s="124"/>
    </row>
    <row r="645" ht="15.75" customHeight="1">
      <c r="B645" s="334"/>
      <c r="E645" s="124"/>
      <c r="F645" s="124"/>
      <c r="G645" s="124"/>
      <c r="H645" s="124"/>
      <c r="I645" s="124"/>
      <c r="J645" s="124"/>
      <c r="K645" s="124"/>
    </row>
    <row r="646" ht="15.75" customHeight="1">
      <c r="B646" s="334"/>
      <c r="E646" s="124"/>
      <c r="F646" s="124"/>
      <c r="G646" s="124"/>
      <c r="H646" s="124"/>
      <c r="I646" s="124"/>
      <c r="J646" s="124"/>
      <c r="K646" s="124"/>
    </row>
    <row r="647" ht="15.75" customHeight="1">
      <c r="B647" s="334"/>
      <c r="E647" s="124"/>
      <c r="F647" s="124"/>
      <c r="G647" s="124"/>
      <c r="H647" s="124"/>
      <c r="I647" s="124"/>
      <c r="J647" s="124"/>
      <c r="K647" s="124"/>
    </row>
    <row r="648" ht="15.75" customHeight="1">
      <c r="B648" s="334"/>
      <c r="E648" s="124"/>
      <c r="F648" s="124"/>
      <c r="G648" s="124"/>
      <c r="H648" s="124"/>
      <c r="I648" s="124"/>
      <c r="J648" s="124"/>
      <c r="K648" s="124"/>
    </row>
    <row r="649" ht="15.75" customHeight="1">
      <c r="B649" s="334"/>
      <c r="E649" s="124"/>
      <c r="F649" s="124"/>
      <c r="G649" s="124"/>
      <c r="H649" s="124"/>
      <c r="I649" s="124"/>
      <c r="J649" s="124"/>
      <c r="K649" s="124"/>
    </row>
    <row r="650" ht="15.75" customHeight="1">
      <c r="B650" s="334"/>
      <c r="E650" s="124"/>
      <c r="F650" s="124"/>
      <c r="G650" s="124"/>
      <c r="H650" s="124"/>
      <c r="I650" s="124"/>
      <c r="J650" s="124"/>
      <c r="K650" s="124"/>
    </row>
    <row r="651" ht="15.75" customHeight="1">
      <c r="B651" s="334"/>
      <c r="E651" s="124"/>
      <c r="F651" s="124"/>
      <c r="G651" s="124"/>
      <c r="H651" s="124"/>
      <c r="I651" s="124"/>
      <c r="J651" s="124"/>
      <c r="K651" s="124"/>
    </row>
    <row r="652" ht="15.75" customHeight="1">
      <c r="B652" s="334"/>
      <c r="E652" s="124"/>
      <c r="F652" s="124"/>
      <c r="G652" s="124"/>
      <c r="H652" s="124"/>
      <c r="I652" s="124"/>
      <c r="J652" s="124"/>
      <c r="K652" s="124"/>
    </row>
    <row r="653" ht="15.75" customHeight="1">
      <c r="B653" s="334"/>
      <c r="E653" s="124"/>
      <c r="F653" s="124"/>
      <c r="G653" s="124"/>
      <c r="H653" s="124"/>
      <c r="I653" s="124"/>
      <c r="J653" s="124"/>
      <c r="K653" s="124"/>
    </row>
    <row r="654" ht="15.75" customHeight="1">
      <c r="B654" s="334"/>
      <c r="E654" s="124"/>
      <c r="F654" s="124"/>
      <c r="G654" s="124"/>
      <c r="H654" s="124"/>
      <c r="I654" s="124"/>
      <c r="J654" s="124"/>
      <c r="K654" s="124"/>
    </row>
    <row r="655" ht="15.75" customHeight="1">
      <c r="B655" s="334"/>
      <c r="E655" s="124"/>
      <c r="F655" s="124"/>
      <c r="G655" s="124"/>
      <c r="H655" s="124"/>
      <c r="I655" s="124"/>
      <c r="J655" s="124"/>
      <c r="K655" s="124"/>
    </row>
    <row r="656" ht="15.75" customHeight="1">
      <c r="B656" s="334"/>
      <c r="E656" s="124"/>
      <c r="F656" s="124"/>
      <c r="G656" s="124"/>
      <c r="H656" s="124"/>
      <c r="I656" s="124"/>
      <c r="J656" s="124"/>
      <c r="K656" s="124"/>
    </row>
    <row r="657" ht="15.75" customHeight="1">
      <c r="B657" s="334"/>
      <c r="E657" s="124"/>
      <c r="F657" s="124"/>
      <c r="G657" s="124"/>
      <c r="H657" s="124"/>
      <c r="I657" s="124"/>
      <c r="J657" s="124"/>
      <c r="K657" s="124"/>
    </row>
    <row r="658" ht="15.75" customHeight="1">
      <c r="B658" s="334"/>
      <c r="E658" s="124"/>
      <c r="F658" s="124"/>
      <c r="G658" s="124"/>
      <c r="H658" s="124"/>
      <c r="I658" s="124"/>
      <c r="J658" s="124"/>
      <c r="K658" s="124"/>
    </row>
    <row r="659" ht="15.75" customHeight="1">
      <c r="B659" s="334"/>
      <c r="E659" s="124"/>
      <c r="F659" s="124"/>
      <c r="G659" s="124"/>
      <c r="H659" s="124"/>
      <c r="I659" s="124"/>
      <c r="J659" s="124"/>
      <c r="K659" s="124"/>
    </row>
    <row r="660" ht="15.75" customHeight="1">
      <c r="B660" s="334"/>
      <c r="E660" s="124"/>
      <c r="F660" s="124"/>
      <c r="G660" s="124"/>
      <c r="H660" s="124"/>
      <c r="I660" s="124"/>
      <c r="J660" s="124"/>
      <c r="K660" s="124"/>
    </row>
    <row r="661" ht="15.75" customHeight="1">
      <c r="B661" s="334"/>
      <c r="E661" s="124"/>
      <c r="F661" s="124"/>
      <c r="G661" s="124"/>
      <c r="H661" s="124"/>
      <c r="I661" s="124"/>
      <c r="J661" s="124"/>
      <c r="K661" s="124"/>
    </row>
    <row r="662" ht="15.75" customHeight="1">
      <c r="B662" s="334"/>
      <c r="E662" s="124"/>
      <c r="F662" s="124"/>
      <c r="G662" s="124"/>
      <c r="H662" s="124"/>
      <c r="I662" s="124"/>
      <c r="J662" s="124"/>
      <c r="K662" s="124"/>
    </row>
    <row r="663" ht="15.75" customHeight="1">
      <c r="B663" s="334"/>
      <c r="E663" s="124"/>
      <c r="F663" s="124"/>
      <c r="G663" s="124"/>
      <c r="H663" s="124"/>
      <c r="I663" s="124"/>
      <c r="J663" s="124"/>
      <c r="K663" s="124"/>
    </row>
    <row r="664" ht="15.75" customHeight="1">
      <c r="B664" s="334"/>
      <c r="E664" s="124"/>
      <c r="F664" s="124"/>
      <c r="G664" s="124"/>
      <c r="H664" s="124"/>
      <c r="I664" s="124"/>
      <c r="J664" s="124"/>
      <c r="K664" s="124"/>
    </row>
    <row r="665" ht="15.75" customHeight="1">
      <c r="B665" s="334"/>
      <c r="E665" s="124"/>
      <c r="F665" s="124"/>
      <c r="G665" s="124"/>
      <c r="H665" s="124"/>
      <c r="I665" s="124"/>
      <c r="J665" s="124"/>
      <c r="K665" s="124"/>
    </row>
    <row r="666" ht="15.75" customHeight="1">
      <c r="B666" s="334"/>
      <c r="E666" s="124"/>
      <c r="F666" s="124"/>
      <c r="G666" s="124"/>
      <c r="H666" s="124"/>
      <c r="I666" s="124"/>
      <c r="J666" s="124"/>
      <c r="K666" s="124"/>
    </row>
    <row r="667" ht="15.75" customHeight="1">
      <c r="B667" s="334"/>
      <c r="E667" s="124"/>
      <c r="F667" s="124"/>
      <c r="G667" s="124"/>
      <c r="H667" s="124"/>
      <c r="I667" s="124"/>
      <c r="J667" s="124"/>
      <c r="K667" s="124"/>
    </row>
    <row r="668" ht="15.75" customHeight="1">
      <c r="B668" s="334"/>
      <c r="E668" s="124"/>
      <c r="F668" s="124"/>
      <c r="G668" s="124"/>
      <c r="H668" s="124"/>
      <c r="I668" s="124"/>
      <c r="J668" s="124"/>
      <c r="K668" s="124"/>
    </row>
    <row r="669" ht="15.75" customHeight="1">
      <c r="B669" s="334"/>
      <c r="E669" s="124"/>
      <c r="F669" s="124"/>
      <c r="G669" s="124"/>
      <c r="H669" s="124"/>
      <c r="I669" s="124"/>
      <c r="J669" s="124"/>
      <c r="K669" s="124"/>
    </row>
    <row r="670" ht="15.75" customHeight="1">
      <c r="B670" s="334"/>
      <c r="E670" s="124"/>
      <c r="F670" s="124"/>
      <c r="G670" s="124"/>
      <c r="H670" s="124"/>
      <c r="I670" s="124"/>
      <c r="J670" s="124"/>
      <c r="K670" s="124"/>
    </row>
    <row r="671" ht="15.75" customHeight="1">
      <c r="B671" s="334"/>
      <c r="E671" s="124"/>
      <c r="F671" s="124"/>
      <c r="G671" s="124"/>
      <c r="H671" s="124"/>
      <c r="I671" s="124"/>
      <c r="J671" s="124"/>
      <c r="K671" s="124"/>
    </row>
    <row r="672" ht="15.75" customHeight="1">
      <c r="B672" s="334"/>
      <c r="E672" s="124"/>
      <c r="F672" s="124"/>
      <c r="G672" s="124"/>
      <c r="H672" s="124"/>
      <c r="I672" s="124"/>
      <c r="J672" s="124"/>
      <c r="K672" s="124"/>
    </row>
    <row r="673" ht="15.75" customHeight="1">
      <c r="B673" s="334"/>
      <c r="E673" s="124"/>
      <c r="F673" s="124"/>
      <c r="G673" s="124"/>
      <c r="H673" s="124"/>
      <c r="I673" s="124"/>
      <c r="J673" s="124"/>
      <c r="K673" s="124"/>
    </row>
    <row r="674" ht="15.75" customHeight="1">
      <c r="B674" s="334"/>
      <c r="E674" s="124"/>
      <c r="F674" s="124"/>
      <c r="G674" s="124"/>
      <c r="H674" s="124"/>
      <c r="I674" s="124"/>
      <c r="J674" s="124"/>
      <c r="K674" s="124"/>
    </row>
    <row r="675" ht="15.75" customHeight="1">
      <c r="B675" s="334"/>
      <c r="E675" s="124"/>
      <c r="F675" s="124"/>
      <c r="G675" s="124"/>
      <c r="H675" s="124"/>
      <c r="I675" s="124"/>
      <c r="J675" s="124"/>
      <c r="K675" s="124"/>
    </row>
    <row r="676" ht="15.75" customHeight="1">
      <c r="B676" s="334"/>
      <c r="E676" s="124"/>
      <c r="F676" s="124"/>
      <c r="G676" s="124"/>
      <c r="H676" s="124"/>
      <c r="I676" s="124"/>
      <c r="J676" s="124"/>
      <c r="K676" s="124"/>
    </row>
    <row r="677" ht="15.75" customHeight="1">
      <c r="B677" s="334"/>
      <c r="E677" s="124"/>
      <c r="F677" s="124"/>
      <c r="G677" s="124"/>
      <c r="H677" s="124"/>
      <c r="I677" s="124"/>
      <c r="J677" s="124"/>
      <c r="K677" s="124"/>
    </row>
    <row r="678" ht="15.75" customHeight="1">
      <c r="B678" s="334"/>
      <c r="E678" s="124"/>
      <c r="F678" s="124"/>
      <c r="G678" s="124"/>
      <c r="H678" s="124"/>
      <c r="I678" s="124"/>
      <c r="J678" s="124"/>
      <c r="K678" s="124"/>
    </row>
    <row r="679" ht="15.75" customHeight="1">
      <c r="B679" s="334"/>
      <c r="E679" s="124"/>
      <c r="F679" s="124"/>
      <c r="G679" s="124"/>
      <c r="H679" s="124"/>
      <c r="I679" s="124"/>
      <c r="J679" s="124"/>
      <c r="K679" s="124"/>
    </row>
    <row r="680" ht="15.75" customHeight="1">
      <c r="B680" s="334"/>
      <c r="E680" s="124"/>
      <c r="F680" s="124"/>
      <c r="G680" s="124"/>
      <c r="H680" s="124"/>
      <c r="I680" s="124"/>
      <c r="J680" s="124"/>
      <c r="K680" s="124"/>
    </row>
    <row r="681" ht="15.75" customHeight="1">
      <c r="B681" s="334"/>
      <c r="E681" s="124"/>
      <c r="F681" s="124"/>
      <c r="G681" s="124"/>
      <c r="H681" s="124"/>
      <c r="I681" s="124"/>
      <c r="J681" s="124"/>
      <c r="K681" s="124"/>
    </row>
    <row r="682" ht="15.75" customHeight="1">
      <c r="B682" s="334"/>
      <c r="E682" s="124"/>
      <c r="F682" s="124"/>
      <c r="G682" s="124"/>
      <c r="H682" s="124"/>
      <c r="I682" s="124"/>
      <c r="J682" s="124"/>
      <c r="K682" s="124"/>
    </row>
    <row r="683" ht="15.75" customHeight="1">
      <c r="B683" s="334"/>
      <c r="E683" s="124"/>
      <c r="F683" s="124"/>
      <c r="G683" s="124"/>
      <c r="H683" s="124"/>
      <c r="I683" s="124"/>
      <c r="J683" s="124"/>
      <c r="K683" s="124"/>
    </row>
    <row r="684" ht="15.75" customHeight="1">
      <c r="B684" s="334"/>
      <c r="E684" s="124"/>
      <c r="F684" s="124"/>
      <c r="G684" s="124"/>
      <c r="H684" s="124"/>
      <c r="I684" s="124"/>
      <c r="J684" s="124"/>
      <c r="K684" s="124"/>
    </row>
    <row r="685" ht="15.75" customHeight="1">
      <c r="B685" s="334"/>
      <c r="E685" s="124"/>
      <c r="F685" s="124"/>
      <c r="G685" s="124"/>
      <c r="H685" s="124"/>
      <c r="I685" s="124"/>
      <c r="J685" s="124"/>
      <c r="K685" s="124"/>
    </row>
    <row r="686" ht="15.75" customHeight="1">
      <c r="B686" s="334"/>
      <c r="E686" s="124"/>
      <c r="F686" s="124"/>
      <c r="G686" s="124"/>
      <c r="H686" s="124"/>
      <c r="I686" s="124"/>
      <c r="J686" s="124"/>
      <c r="K686" s="124"/>
    </row>
    <row r="687" ht="15.75" customHeight="1">
      <c r="B687" s="334"/>
      <c r="E687" s="124"/>
      <c r="F687" s="124"/>
      <c r="G687" s="124"/>
      <c r="H687" s="124"/>
      <c r="I687" s="124"/>
      <c r="J687" s="124"/>
      <c r="K687" s="124"/>
    </row>
    <row r="688" ht="15.75" customHeight="1">
      <c r="B688" s="334"/>
      <c r="E688" s="124"/>
      <c r="F688" s="124"/>
      <c r="G688" s="124"/>
      <c r="H688" s="124"/>
      <c r="I688" s="124"/>
      <c r="J688" s="124"/>
      <c r="K688" s="124"/>
    </row>
    <row r="689" ht="15.75" customHeight="1">
      <c r="B689" s="334"/>
      <c r="E689" s="124"/>
      <c r="F689" s="124"/>
      <c r="G689" s="124"/>
      <c r="H689" s="124"/>
      <c r="I689" s="124"/>
      <c r="J689" s="124"/>
      <c r="K689" s="124"/>
    </row>
    <row r="690" ht="15.75" customHeight="1">
      <c r="B690" s="334"/>
      <c r="E690" s="124"/>
      <c r="F690" s="124"/>
      <c r="G690" s="124"/>
      <c r="H690" s="124"/>
      <c r="I690" s="124"/>
      <c r="J690" s="124"/>
      <c r="K690" s="124"/>
    </row>
    <row r="691" ht="15.75" customHeight="1">
      <c r="B691" s="334"/>
      <c r="E691" s="124"/>
      <c r="F691" s="124"/>
      <c r="G691" s="124"/>
      <c r="H691" s="124"/>
      <c r="I691" s="124"/>
      <c r="J691" s="124"/>
      <c r="K691" s="124"/>
    </row>
    <row r="692" ht="15.75" customHeight="1">
      <c r="B692" s="334"/>
      <c r="E692" s="124"/>
      <c r="F692" s="124"/>
      <c r="G692" s="124"/>
      <c r="H692" s="124"/>
      <c r="I692" s="124"/>
      <c r="J692" s="124"/>
      <c r="K692" s="124"/>
    </row>
    <row r="693" ht="15.75" customHeight="1">
      <c r="B693" s="334"/>
      <c r="E693" s="124"/>
      <c r="F693" s="124"/>
      <c r="G693" s="124"/>
      <c r="H693" s="124"/>
      <c r="I693" s="124"/>
      <c r="J693" s="124"/>
      <c r="K693" s="124"/>
    </row>
    <row r="694" ht="15.75" customHeight="1">
      <c r="B694" s="334"/>
      <c r="E694" s="124"/>
      <c r="F694" s="124"/>
      <c r="G694" s="124"/>
      <c r="H694" s="124"/>
      <c r="I694" s="124"/>
      <c r="J694" s="124"/>
      <c r="K694" s="124"/>
    </row>
    <row r="695" ht="15.75" customHeight="1">
      <c r="B695" s="334"/>
      <c r="E695" s="124"/>
      <c r="F695" s="124"/>
      <c r="G695" s="124"/>
      <c r="H695" s="124"/>
      <c r="I695" s="124"/>
      <c r="J695" s="124"/>
      <c r="K695" s="124"/>
    </row>
    <row r="696" ht="15.75" customHeight="1">
      <c r="B696" s="334"/>
      <c r="E696" s="124"/>
      <c r="F696" s="124"/>
      <c r="G696" s="124"/>
      <c r="H696" s="124"/>
      <c r="I696" s="124"/>
      <c r="J696" s="124"/>
      <c r="K696" s="124"/>
    </row>
    <row r="697" ht="15.75" customHeight="1">
      <c r="B697" s="334"/>
      <c r="E697" s="124"/>
      <c r="F697" s="124"/>
      <c r="G697" s="124"/>
      <c r="H697" s="124"/>
      <c r="I697" s="124"/>
      <c r="J697" s="124"/>
      <c r="K697" s="124"/>
    </row>
    <row r="698" ht="15.75" customHeight="1">
      <c r="B698" s="334"/>
      <c r="E698" s="124"/>
      <c r="F698" s="124"/>
      <c r="G698" s="124"/>
      <c r="H698" s="124"/>
      <c r="I698" s="124"/>
      <c r="J698" s="124"/>
      <c r="K698" s="124"/>
    </row>
    <row r="699" ht="15.75" customHeight="1">
      <c r="B699" s="334"/>
      <c r="E699" s="124"/>
      <c r="F699" s="124"/>
      <c r="G699" s="124"/>
      <c r="H699" s="124"/>
      <c r="I699" s="124"/>
      <c r="J699" s="124"/>
      <c r="K699" s="124"/>
    </row>
    <row r="700" ht="15.75" customHeight="1">
      <c r="B700" s="334"/>
      <c r="E700" s="124"/>
      <c r="F700" s="124"/>
      <c r="G700" s="124"/>
      <c r="H700" s="124"/>
      <c r="I700" s="124"/>
      <c r="J700" s="124"/>
      <c r="K700" s="124"/>
    </row>
    <row r="701" ht="15.75" customHeight="1">
      <c r="B701" s="334"/>
      <c r="E701" s="124"/>
      <c r="F701" s="124"/>
      <c r="G701" s="124"/>
      <c r="H701" s="124"/>
      <c r="I701" s="124"/>
      <c r="J701" s="124"/>
      <c r="K701" s="124"/>
    </row>
    <row r="702" ht="15.75" customHeight="1">
      <c r="B702" s="334"/>
      <c r="E702" s="124"/>
      <c r="F702" s="124"/>
      <c r="G702" s="124"/>
      <c r="H702" s="124"/>
      <c r="I702" s="124"/>
      <c r="J702" s="124"/>
      <c r="K702" s="124"/>
    </row>
    <row r="703" ht="15.75" customHeight="1">
      <c r="B703" s="334"/>
      <c r="E703" s="124"/>
      <c r="F703" s="124"/>
      <c r="G703" s="124"/>
      <c r="H703" s="124"/>
      <c r="I703" s="124"/>
      <c r="J703" s="124"/>
      <c r="K703" s="124"/>
    </row>
    <row r="704" ht="15.75" customHeight="1">
      <c r="B704" s="334"/>
      <c r="E704" s="124"/>
      <c r="F704" s="124"/>
      <c r="G704" s="124"/>
      <c r="H704" s="124"/>
      <c r="I704" s="124"/>
      <c r="J704" s="124"/>
      <c r="K704" s="124"/>
    </row>
    <row r="705" ht="15.75" customHeight="1">
      <c r="B705" s="334"/>
      <c r="E705" s="124"/>
      <c r="F705" s="124"/>
      <c r="G705" s="124"/>
      <c r="H705" s="124"/>
      <c r="I705" s="124"/>
      <c r="J705" s="124"/>
      <c r="K705" s="124"/>
    </row>
    <row r="706" ht="15.75" customHeight="1">
      <c r="B706" s="334"/>
      <c r="E706" s="124"/>
      <c r="F706" s="124"/>
      <c r="G706" s="124"/>
      <c r="H706" s="124"/>
      <c r="I706" s="124"/>
      <c r="J706" s="124"/>
      <c r="K706" s="124"/>
    </row>
    <row r="707" ht="15.75" customHeight="1">
      <c r="B707" s="334"/>
      <c r="E707" s="124"/>
      <c r="F707" s="124"/>
      <c r="G707" s="124"/>
      <c r="H707" s="124"/>
      <c r="I707" s="124"/>
      <c r="J707" s="124"/>
      <c r="K707" s="124"/>
    </row>
    <row r="708" ht="15.75" customHeight="1">
      <c r="B708" s="334"/>
      <c r="E708" s="124"/>
      <c r="F708" s="124"/>
      <c r="G708" s="124"/>
      <c r="H708" s="124"/>
      <c r="I708" s="124"/>
      <c r="J708" s="124"/>
      <c r="K708" s="124"/>
    </row>
    <row r="709" ht="15.75" customHeight="1">
      <c r="B709" s="334"/>
      <c r="E709" s="124"/>
      <c r="F709" s="124"/>
      <c r="G709" s="124"/>
      <c r="H709" s="124"/>
      <c r="I709" s="124"/>
      <c r="J709" s="124"/>
      <c r="K709" s="124"/>
    </row>
    <row r="710" ht="15.75" customHeight="1">
      <c r="B710" s="334"/>
      <c r="E710" s="124"/>
      <c r="F710" s="124"/>
      <c r="G710" s="124"/>
      <c r="H710" s="124"/>
      <c r="I710" s="124"/>
      <c r="J710" s="124"/>
      <c r="K710" s="124"/>
    </row>
    <row r="711" ht="15.75" customHeight="1">
      <c r="B711" s="334"/>
      <c r="E711" s="124"/>
      <c r="F711" s="124"/>
      <c r="G711" s="124"/>
      <c r="H711" s="124"/>
      <c r="I711" s="124"/>
      <c r="J711" s="124"/>
      <c r="K711" s="124"/>
    </row>
    <row r="712" ht="15.75" customHeight="1">
      <c r="B712" s="334"/>
      <c r="E712" s="124"/>
      <c r="F712" s="124"/>
      <c r="G712" s="124"/>
      <c r="H712" s="124"/>
      <c r="I712" s="124"/>
      <c r="J712" s="124"/>
      <c r="K712" s="124"/>
    </row>
    <row r="713" ht="15.75" customHeight="1">
      <c r="B713" s="334"/>
      <c r="E713" s="124"/>
      <c r="F713" s="124"/>
      <c r="G713" s="124"/>
      <c r="H713" s="124"/>
      <c r="I713" s="124"/>
      <c r="J713" s="124"/>
      <c r="K713" s="124"/>
    </row>
    <row r="714" ht="15.75" customHeight="1">
      <c r="B714" s="334"/>
      <c r="E714" s="124"/>
      <c r="F714" s="124"/>
      <c r="G714" s="124"/>
      <c r="H714" s="124"/>
      <c r="I714" s="124"/>
      <c r="J714" s="124"/>
      <c r="K714" s="124"/>
    </row>
    <row r="715" ht="15.75" customHeight="1">
      <c r="B715" s="334"/>
      <c r="E715" s="124"/>
      <c r="F715" s="124"/>
      <c r="G715" s="124"/>
      <c r="H715" s="124"/>
      <c r="I715" s="124"/>
      <c r="J715" s="124"/>
      <c r="K715" s="124"/>
    </row>
    <row r="716" ht="15.75" customHeight="1">
      <c r="B716" s="334"/>
      <c r="E716" s="124"/>
      <c r="F716" s="124"/>
      <c r="G716" s="124"/>
      <c r="H716" s="124"/>
      <c r="I716" s="124"/>
      <c r="J716" s="124"/>
      <c r="K716" s="124"/>
    </row>
    <row r="717" ht="15.75" customHeight="1">
      <c r="B717" s="334"/>
      <c r="E717" s="124"/>
      <c r="F717" s="124"/>
      <c r="G717" s="124"/>
      <c r="H717" s="124"/>
      <c r="I717" s="124"/>
      <c r="J717" s="124"/>
      <c r="K717" s="124"/>
    </row>
    <row r="718" ht="15.75" customHeight="1">
      <c r="B718" s="334"/>
      <c r="E718" s="124"/>
      <c r="F718" s="124"/>
      <c r="G718" s="124"/>
      <c r="H718" s="124"/>
      <c r="I718" s="124"/>
      <c r="J718" s="124"/>
      <c r="K718" s="124"/>
    </row>
    <row r="719" ht="15.75" customHeight="1">
      <c r="B719" s="334"/>
      <c r="E719" s="124"/>
      <c r="F719" s="124"/>
      <c r="G719" s="124"/>
      <c r="H719" s="124"/>
      <c r="I719" s="124"/>
      <c r="J719" s="124"/>
      <c r="K719" s="124"/>
    </row>
    <row r="720" ht="15.75" customHeight="1">
      <c r="B720" s="334"/>
      <c r="E720" s="124"/>
      <c r="F720" s="124"/>
      <c r="G720" s="124"/>
      <c r="H720" s="124"/>
      <c r="I720" s="124"/>
      <c r="J720" s="124"/>
      <c r="K720" s="124"/>
    </row>
    <row r="721" ht="15.75" customHeight="1">
      <c r="B721" s="334"/>
      <c r="E721" s="124"/>
      <c r="F721" s="124"/>
      <c r="G721" s="124"/>
      <c r="H721" s="124"/>
      <c r="I721" s="124"/>
      <c r="J721" s="124"/>
      <c r="K721" s="124"/>
    </row>
    <row r="722" ht="15.75" customHeight="1">
      <c r="B722" s="334"/>
      <c r="E722" s="124"/>
      <c r="F722" s="124"/>
      <c r="G722" s="124"/>
      <c r="H722" s="124"/>
      <c r="I722" s="124"/>
      <c r="J722" s="124"/>
      <c r="K722" s="124"/>
    </row>
    <row r="723" ht="15.75" customHeight="1">
      <c r="B723" s="334"/>
      <c r="E723" s="124"/>
      <c r="F723" s="124"/>
      <c r="G723" s="124"/>
      <c r="H723" s="124"/>
      <c r="I723" s="124"/>
      <c r="J723" s="124"/>
      <c r="K723" s="124"/>
    </row>
    <row r="724" ht="15.75" customHeight="1">
      <c r="B724" s="334"/>
      <c r="E724" s="124"/>
      <c r="F724" s="124"/>
      <c r="G724" s="124"/>
      <c r="H724" s="124"/>
      <c r="I724" s="124"/>
      <c r="J724" s="124"/>
      <c r="K724" s="124"/>
    </row>
    <row r="725" ht="15.75" customHeight="1">
      <c r="B725" s="334"/>
      <c r="E725" s="124"/>
      <c r="F725" s="124"/>
      <c r="G725" s="124"/>
      <c r="H725" s="124"/>
      <c r="I725" s="124"/>
      <c r="J725" s="124"/>
      <c r="K725" s="124"/>
    </row>
    <row r="726" ht="15.75" customHeight="1">
      <c r="B726" s="334"/>
      <c r="E726" s="124"/>
      <c r="F726" s="124"/>
      <c r="G726" s="124"/>
      <c r="H726" s="124"/>
      <c r="I726" s="124"/>
      <c r="J726" s="124"/>
      <c r="K726" s="124"/>
    </row>
    <row r="727" ht="15.75" customHeight="1">
      <c r="B727" s="334"/>
      <c r="E727" s="124"/>
      <c r="F727" s="124"/>
      <c r="G727" s="124"/>
      <c r="H727" s="124"/>
      <c r="I727" s="124"/>
      <c r="J727" s="124"/>
      <c r="K727" s="124"/>
    </row>
    <row r="728" ht="15.75" customHeight="1">
      <c r="B728" s="334"/>
      <c r="E728" s="124"/>
      <c r="F728" s="124"/>
      <c r="G728" s="124"/>
      <c r="H728" s="124"/>
      <c r="I728" s="124"/>
      <c r="J728" s="124"/>
      <c r="K728" s="124"/>
    </row>
    <row r="729" ht="15.75" customHeight="1">
      <c r="B729" s="334"/>
      <c r="E729" s="124"/>
      <c r="F729" s="124"/>
      <c r="G729" s="124"/>
      <c r="H729" s="124"/>
      <c r="I729" s="124"/>
      <c r="J729" s="124"/>
      <c r="K729" s="124"/>
    </row>
    <row r="730" ht="15.75" customHeight="1">
      <c r="B730" s="334"/>
      <c r="E730" s="124"/>
      <c r="F730" s="124"/>
      <c r="G730" s="124"/>
      <c r="H730" s="124"/>
      <c r="I730" s="124"/>
      <c r="J730" s="124"/>
      <c r="K730" s="124"/>
    </row>
    <row r="731" ht="15.75" customHeight="1">
      <c r="B731" s="334"/>
      <c r="E731" s="124"/>
      <c r="F731" s="124"/>
      <c r="G731" s="124"/>
      <c r="H731" s="124"/>
      <c r="I731" s="124"/>
      <c r="J731" s="124"/>
      <c r="K731" s="124"/>
    </row>
    <row r="732" ht="15.75" customHeight="1">
      <c r="B732" s="334"/>
      <c r="E732" s="124"/>
      <c r="F732" s="124"/>
      <c r="G732" s="124"/>
      <c r="H732" s="124"/>
      <c r="I732" s="124"/>
      <c r="J732" s="124"/>
      <c r="K732" s="124"/>
    </row>
    <row r="733" ht="15.75" customHeight="1">
      <c r="B733" s="334"/>
      <c r="E733" s="124"/>
      <c r="F733" s="124"/>
      <c r="G733" s="124"/>
      <c r="H733" s="124"/>
      <c r="I733" s="124"/>
      <c r="J733" s="124"/>
      <c r="K733" s="124"/>
    </row>
    <row r="734" ht="15.75" customHeight="1">
      <c r="B734" s="334"/>
      <c r="E734" s="124"/>
      <c r="F734" s="124"/>
      <c r="G734" s="124"/>
      <c r="H734" s="124"/>
      <c r="I734" s="124"/>
      <c r="J734" s="124"/>
      <c r="K734" s="124"/>
    </row>
    <row r="735" ht="15.75" customHeight="1">
      <c r="B735" s="334"/>
      <c r="E735" s="124"/>
      <c r="F735" s="124"/>
      <c r="G735" s="124"/>
      <c r="H735" s="124"/>
      <c r="I735" s="124"/>
      <c r="J735" s="124"/>
      <c r="K735" s="124"/>
    </row>
    <row r="736" ht="15.75" customHeight="1">
      <c r="B736" s="334"/>
      <c r="E736" s="124"/>
      <c r="F736" s="124"/>
      <c r="G736" s="124"/>
      <c r="H736" s="124"/>
      <c r="I736" s="124"/>
      <c r="J736" s="124"/>
      <c r="K736" s="124"/>
    </row>
    <row r="737" ht="15.75" customHeight="1">
      <c r="B737" s="334"/>
      <c r="E737" s="124"/>
      <c r="F737" s="124"/>
      <c r="G737" s="124"/>
      <c r="H737" s="124"/>
      <c r="I737" s="124"/>
      <c r="J737" s="124"/>
      <c r="K737" s="124"/>
    </row>
    <row r="738" ht="15.75" customHeight="1">
      <c r="B738" s="334"/>
      <c r="E738" s="124"/>
      <c r="F738" s="124"/>
      <c r="G738" s="124"/>
      <c r="H738" s="124"/>
      <c r="I738" s="124"/>
      <c r="J738" s="124"/>
      <c r="K738" s="124"/>
    </row>
    <row r="739" ht="15.75" customHeight="1">
      <c r="B739" s="334"/>
      <c r="E739" s="124"/>
      <c r="F739" s="124"/>
      <c r="G739" s="124"/>
      <c r="H739" s="124"/>
      <c r="I739" s="124"/>
      <c r="J739" s="124"/>
      <c r="K739" s="124"/>
    </row>
    <row r="740" ht="15.75" customHeight="1">
      <c r="B740" s="334"/>
      <c r="E740" s="124"/>
      <c r="F740" s="124"/>
      <c r="G740" s="124"/>
      <c r="H740" s="124"/>
      <c r="I740" s="124"/>
      <c r="J740" s="124"/>
      <c r="K740" s="124"/>
    </row>
    <row r="741" ht="15.75" customHeight="1">
      <c r="B741" s="334"/>
      <c r="E741" s="124"/>
      <c r="F741" s="124"/>
      <c r="G741" s="124"/>
      <c r="H741" s="124"/>
      <c r="I741" s="124"/>
      <c r="J741" s="124"/>
      <c r="K741" s="124"/>
    </row>
    <row r="742" ht="15.75" customHeight="1">
      <c r="B742" s="334"/>
      <c r="E742" s="124"/>
      <c r="F742" s="124"/>
      <c r="G742" s="124"/>
      <c r="H742" s="124"/>
      <c r="I742" s="124"/>
      <c r="J742" s="124"/>
      <c r="K742" s="124"/>
    </row>
    <row r="743" ht="15.75" customHeight="1">
      <c r="B743" s="334"/>
      <c r="E743" s="124"/>
      <c r="F743" s="124"/>
      <c r="G743" s="124"/>
      <c r="H743" s="124"/>
      <c r="I743" s="124"/>
      <c r="J743" s="124"/>
      <c r="K743" s="124"/>
    </row>
    <row r="744" ht="15.75" customHeight="1">
      <c r="B744" s="334"/>
      <c r="E744" s="124"/>
      <c r="F744" s="124"/>
      <c r="G744" s="124"/>
      <c r="H744" s="124"/>
      <c r="I744" s="124"/>
      <c r="J744" s="124"/>
      <c r="K744" s="124"/>
    </row>
    <row r="745" ht="15.75" customHeight="1">
      <c r="B745" s="334"/>
      <c r="E745" s="124"/>
      <c r="F745" s="124"/>
      <c r="G745" s="124"/>
      <c r="H745" s="124"/>
      <c r="I745" s="124"/>
      <c r="J745" s="124"/>
      <c r="K745" s="124"/>
    </row>
    <row r="746" ht="15.75" customHeight="1">
      <c r="B746" s="334"/>
      <c r="E746" s="124"/>
      <c r="F746" s="124"/>
      <c r="G746" s="124"/>
      <c r="H746" s="124"/>
      <c r="I746" s="124"/>
      <c r="J746" s="124"/>
      <c r="K746" s="124"/>
    </row>
    <row r="747" ht="15.75" customHeight="1">
      <c r="B747" s="334"/>
      <c r="E747" s="124"/>
      <c r="F747" s="124"/>
      <c r="G747" s="124"/>
      <c r="H747" s="124"/>
      <c r="I747" s="124"/>
      <c r="J747" s="124"/>
      <c r="K747" s="124"/>
    </row>
    <row r="748" ht="15.75" customHeight="1">
      <c r="B748" s="334"/>
      <c r="E748" s="124"/>
      <c r="F748" s="124"/>
      <c r="G748" s="124"/>
      <c r="H748" s="124"/>
      <c r="I748" s="124"/>
      <c r="J748" s="124"/>
      <c r="K748" s="124"/>
    </row>
    <row r="749" ht="15.75" customHeight="1">
      <c r="B749" s="334"/>
      <c r="E749" s="124"/>
      <c r="F749" s="124"/>
      <c r="G749" s="124"/>
      <c r="H749" s="124"/>
      <c r="I749" s="124"/>
      <c r="J749" s="124"/>
      <c r="K749" s="124"/>
    </row>
    <row r="750" ht="15.75" customHeight="1">
      <c r="B750" s="334"/>
      <c r="E750" s="124"/>
      <c r="F750" s="124"/>
      <c r="G750" s="124"/>
      <c r="H750" s="124"/>
      <c r="I750" s="124"/>
      <c r="J750" s="124"/>
      <c r="K750" s="124"/>
    </row>
    <row r="751" ht="15.75" customHeight="1">
      <c r="B751" s="334"/>
      <c r="E751" s="124"/>
      <c r="F751" s="124"/>
      <c r="G751" s="124"/>
      <c r="H751" s="124"/>
      <c r="I751" s="124"/>
      <c r="J751" s="124"/>
      <c r="K751" s="124"/>
    </row>
    <row r="752" ht="15.75" customHeight="1">
      <c r="B752" s="334"/>
      <c r="E752" s="124"/>
      <c r="F752" s="124"/>
      <c r="G752" s="124"/>
      <c r="H752" s="124"/>
      <c r="I752" s="124"/>
      <c r="J752" s="124"/>
      <c r="K752" s="124"/>
    </row>
    <row r="753" ht="15.75" customHeight="1">
      <c r="B753" s="334"/>
      <c r="E753" s="124"/>
      <c r="F753" s="124"/>
      <c r="G753" s="124"/>
      <c r="H753" s="124"/>
      <c r="I753" s="124"/>
      <c r="J753" s="124"/>
      <c r="K753" s="124"/>
    </row>
    <row r="754" ht="15.75" customHeight="1">
      <c r="B754" s="334"/>
      <c r="E754" s="124"/>
      <c r="F754" s="124"/>
      <c r="G754" s="124"/>
      <c r="H754" s="124"/>
      <c r="I754" s="124"/>
      <c r="J754" s="124"/>
      <c r="K754" s="124"/>
    </row>
    <row r="755" ht="15.75" customHeight="1">
      <c r="B755" s="334"/>
      <c r="E755" s="124"/>
      <c r="F755" s="124"/>
      <c r="G755" s="124"/>
      <c r="H755" s="124"/>
      <c r="I755" s="124"/>
      <c r="J755" s="124"/>
      <c r="K755" s="124"/>
    </row>
    <row r="756" ht="15.75" customHeight="1">
      <c r="B756" s="334"/>
      <c r="E756" s="124"/>
      <c r="F756" s="124"/>
      <c r="G756" s="124"/>
      <c r="H756" s="124"/>
      <c r="I756" s="124"/>
      <c r="J756" s="124"/>
      <c r="K756" s="124"/>
    </row>
    <row r="757" ht="15.75" customHeight="1">
      <c r="B757" s="334"/>
      <c r="E757" s="124"/>
      <c r="F757" s="124"/>
      <c r="G757" s="124"/>
      <c r="H757" s="124"/>
      <c r="I757" s="124"/>
      <c r="J757" s="124"/>
      <c r="K757" s="124"/>
    </row>
    <row r="758" ht="15.75" customHeight="1">
      <c r="B758" s="334"/>
      <c r="E758" s="124"/>
      <c r="F758" s="124"/>
      <c r="G758" s="124"/>
      <c r="H758" s="124"/>
      <c r="I758" s="124"/>
      <c r="J758" s="124"/>
      <c r="K758" s="124"/>
    </row>
    <row r="759" ht="15.75" customHeight="1">
      <c r="B759" s="334"/>
      <c r="E759" s="124"/>
      <c r="F759" s="124"/>
      <c r="G759" s="124"/>
      <c r="H759" s="124"/>
      <c r="I759" s="124"/>
      <c r="J759" s="124"/>
      <c r="K759" s="124"/>
    </row>
    <row r="760" ht="15.75" customHeight="1">
      <c r="B760" s="334"/>
      <c r="E760" s="124"/>
      <c r="F760" s="124"/>
      <c r="G760" s="124"/>
      <c r="H760" s="124"/>
      <c r="I760" s="124"/>
      <c r="J760" s="124"/>
      <c r="K760" s="124"/>
    </row>
    <row r="761" ht="15.75" customHeight="1">
      <c r="B761" s="334"/>
      <c r="E761" s="124"/>
      <c r="F761" s="124"/>
      <c r="G761" s="124"/>
      <c r="H761" s="124"/>
      <c r="I761" s="124"/>
      <c r="J761" s="124"/>
      <c r="K761" s="124"/>
    </row>
    <row r="762" ht="15.75" customHeight="1">
      <c r="B762" s="334"/>
      <c r="E762" s="124"/>
      <c r="F762" s="124"/>
      <c r="G762" s="124"/>
      <c r="H762" s="124"/>
      <c r="I762" s="124"/>
      <c r="J762" s="124"/>
      <c r="K762" s="124"/>
    </row>
    <row r="763" ht="15.75" customHeight="1">
      <c r="B763" s="334"/>
      <c r="E763" s="124"/>
      <c r="F763" s="124"/>
      <c r="G763" s="124"/>
      <c r="H763" s="124"/>
      <c r="I763" s="124"/>
      <c r="J763" s="124"/>
      <c r="K763" s="124"/>
    </row>
    <row r="764" ht="15.75" customHeight="1">
      <c r="B764" s="334"/>
      <c r="E764" s="124"/>
      <c r="F764" s="124"/>
      <c r="G764" s="124"/>
      <c r="H764" s="124"/>
      <c r="I764" s="124"/>
      <c r="J764" s="124"/>
      <c r="K764" s="124"/>
    </row>
    <row r="765" ht="15.75" customHeight="1">
      <c r="B765" s="334"/>
      <c r="E765" s="124"/>
      <c r="F765" s="124"/>
      <c r="G765" s="124"/>
      <c r="H765" s="124"/>
      <c r="I765" s="124"/>
      <c r="J765" s="124"/>
      <c r="K765" s="124"/>
    </row>
    <row r="766" ht="15.75" customHeight="1">
      <c r="B766" s="334"/>
      <c r="E766" s="124"/>
      <c r="F766" s="124"/>
      <c r="G766" s="124"/>
      <c r="H766" s="124"/>
      <c r="I766" s="124"/>
      <c r="J766" s="124"/>
      <c r="K766" s="124"/>
    </row>
    <row r="767" ht="15.75" customHeight="1">
      <c r="B767" s="334"/>
      <c r="E767" s="124"/>
      <c r="F767" s="124"/>
      <c r="G767" s="124"/>
      <c r="H767" s="124"/>
      <c r="I767" s="124"/>
      <c r="J767" s="124"/>
      <c r="K767" s="124"/>
    </row>
    <row r="768" ht="15.75" customHeight="1">
      <c r="B768" s="334"/>
      <c r="E768" s="124"/>
      <c r="F768" s="124"/>
      <c r="G768" s="124"/>
      <c r="H768" s="124"/>
      <c r="I768" s="124"/>
      <c r="J768" s="124"/>
      <c r="K768" s="124"/>
    </row>
    <row r="769" ht="15.75" customHeight="1">
      <c r="B769" s="334"/>
      <c r="E769" s="124"/>
      <c r="F769" s="124"/>
      <c r="G769" s="124"/>
      <c r="H769" s="124"/>
      <c r="I769" s="124"/>
      <c r="J769" s="124"/>
      <c r="K769" s="124"/>
    </row>
    <row r="770" ht="15.75" customHeight="1">
      <c r="B770" s="334"/>
      <c r="E770" s="124"/>
      <c r="F770" s="124"/>
      <c r="G770" s="124"/>
      <c r="H770" s="124"/>
      <c r="I770" s="124"/>
      <c r="J770" s="124"/>
      <c r="K770" s="124"/>
    </row>
    <row r="771" ht="15.75" customHeight="1">
      <c r="B771" s="334"/>
      <c r="E771" s="124"/>
      <c r="F771" s="124"/>
      <c r="G771" s="124"/>
      <c r="H771" s="124"/>
      <c r="I771" s="124"/>
      <c r="J771" s="124"/>
      <c r="K771" s="124"/>
    </row>
    <row r="772" ht="15.75" customHeight="1">
      <c r="B772" s="334"/>
      <c r="E772" s="124"/>
      <c r="F772" s="124"/>
      <c r="G772" s="124"/>
      <c r="H772" s="124"/>
      <c r="I772" s="124"/>
      <c r="J772" s="124"/>
      <c r="K772" s="124"/>
    </row>
    <row r="773" ht="15.75" customHeight="1">
      <c r="B773" s="334"/>
      <c r="E773" s="124"/>
      <c r="F773" s="124"/>
      <c r="G773" s="124"/>
      <c r="H773" s="124"/>
      <c r="I773" s="124"/>
      <c r="J773" s="124"/>
      <c r="K773" s="124"/>
    </row>
    <row r="774" ht="15.75" customHeight="1">
      <c r="B774" s="334"/>
      <c r="E774" s="124"/>
      <c r="F774" s="124"/>
      <c r="G774" s="124"/>
      <c r="H774" s="124"/>
      <c r="I774" s="124"/>
      <c r="J774" s="124"/>
      <c r="K774" s="124"/>
    </row>
    <row r="775" ht="15.75" customHeight="1">
      <c r="B775" s="334"/>
      <c r="E775" s="124"/>
      <c r="F775" s="124"/>
      <c r="G775" s="124"/>
      <c r="H775" s="124"/>
      <c r="I775" s="124"/>
      <c r="J775" s="124"/>
      <c r="K775" s="124"/>
    </row>
    <row r="776" ht="15.75" customHeight="1">
      <c r="B776" s="334"/>
      <c r="E776" s="124"/>
      <c r="F776" s="124"/>
      <c r="G776" s="124"/>
      <c r="H776" s="124"/>
      <c r="I776" s="124"/>
      <c r="J776" s="124"/>
      <c r="K776" s="124"/>
    </row>
    <row r="777" ht="15.75" customHeight="1">
      <c r="B777" s="334"/>
      <c r="E777" s="124"/>
      <c r="F777" s="124"/>
      <c r="G777" s="124"/>
      <c r="H777" s="124"/>
      <c r="I777" s="124"/>
      <c r="J777" s="124"/>
      <c r="K777" s="124"/>
    </row>
    <row r="778" ht="15.75" customHeight="1">
      <c r="B778" s="334"/>
      <c r="E778" s="124"/>
      <c r="F778" s="124"/>
      <c r="G778" s="124"/>
      <c r="H778" s="124"/>
      <c r="I778" s="124"/>
      <c r="J778" s="124"/>
      <c r="K778" s="124"/>
    </row>
    <row r="779" ht="15.75" customHeight="1">
      <c r="B779" s="334"/>
      <c r="E779" s="124"/>
      <c r="F779" s="124"/>
      <c r="G779" s="124"/>
      <c r="H779" s="124"/>
      <c r="I779" s="124"/>
      <c r="J779" s="124"/>
      <c r="K779" s="124"/>
    </row>
    <row r="780" ht="15.75" customHeight="1">
      <c r="B780" s="334"/>
      <c r="E780" s="124"/>
      <c r="F780" s="124"/>
      <c r="G780" s="124"/>
      <c r="H780" s="124"/>
      <c r="I780" s="124"/>
      <c r="J780" s="124"/>
      <c r="K780" s="124"/>
    </row>
    <row r="781" ht="15.75" customHeight="1">
      <c r="B781" s="334"/>
      <c r="E781" s="124"/>
      <c r="F781" s="124"/>
      <c r="G781" s="124"/>
      <c r="H781" s="124"/>
      <c r="I781" s="124"/>
      <c r="J781" s="124"/>
      <c r="K781" s="124"/>
    </row>
    <row r="782" ht="15.75" customHeight="1">
      <c r="B782" s="334"/>
      <c r="E782" s="124"/>
      <c r="F782" s="124"/>
      <c r="G782" s="124"/>
      <c r="H782" s="124"/>
      <c r="I782" s="124"/>
      <c r="J782" s="124"/>
      <c r="K782" s="124"/>
    </row>
    <row r="783" ht="15.75" customHeight="1">
      <c r="B783" s="334"/>
      <c r="E783" s="124"/>
      <c r="F783" s="124"/>
      <c r="G783" s="124"/>
      <c r="H783" s="124"/>
      <c r="I783" s="124"/>
      <c r="J783" s="124"/>
      <c r="K783" s="124"/>
    </row>
    <row r="784" ht="15.75" customHeight="1">
      <c r="B784" s="334"/>
      <c r="E784" s="124"/>
      <c r="F784" s="124"/>
      <c r="G784" s="124"/>
      <c r="H784" s="124"/>
      <c r="I784" s="124"/>
      <c r="J784" s="124"/>
      <c r="K784" s="124"/>
    </row>
    <row r="785" ht="15.75" customHeight="1">
      <c r="B785" s="334"/>
      <c r="E785" s="124"/>
      <c r="F785" s="124"/>
      <c r="G785" s="124"/>
      <c r="H785" s="124"/>
      <c r="I785" s="124"/>
      <c r="J785" s="124"/>
      <c r="K785" s="124"/>
    </row>
    <row r="786" ht="15.75" customHeight="1">
      <c r="B786" s="334"/>
      <c r="E786" s="124"/>
      <c r="F786" s="124"/>
      <c r="G786" s="124"/>
      <c r="H786" s="124"/>
      <c r="I786" s="124"/>
      <c r="J786" s="124"/>
      <c r="K786" s="124"/>
    </row>
    <row r="787" ht="15.75" customHeight="1">
      <c r="B787" s="334"/>
      <c r="E787" s="124"/>
      <c r="F787" s="124"/>
      <c r="G787" s="124"/>
      <c r="H787" s="124"/>
      <c r="I787" s="124"/>
      <c r="J787" s="124"/>
      <c r="K787" s="124"/>
    </row>
    <row r="788" ht="15.75" customHeight="1">
      <c r="B788" s="334"/>
      <c r="E788" s="124"/>
      <c r="F788" s="124"/>
      <c r="G788" s="124"/>
      <c r="H788" s="124"/>
      <c r="I788" s="124"/>
      <c r="J788" s="124"/>
      <c r="K788" s="124"/>
    </row>
    <row r="789" ht="15.75" customHeight="1">
      <c r="B789" s="334"/>
      <c r="E789" s="124"/>
      <c r="F789" s="124"/>
      <c r="G789" s="124"/>
      <c r="H789" s="124"/>
      <c r="I789" s="124"/>
      <c r="J789" s="124"/>
      <c r="K789" s="124"/>
    </row>
    <row r="790" ht="15.75" customHeight="1">
      <c r="B790" s="334"/>
      <c r="E790" s="124"/>
      <c r="F790" s="124"/>
      <c r="G790" s="124"/>
      <c r="H790" s="124"/>
      <c r="I790" s="124"/>
      <c r="J790" s="124"/>
      <c r="K790" s="124"/>
    </row>
    <row r="791" ht="15.75" customHeight="1">
      <c r="B791" s="334"/>
      <c r="E791" s="124"/>
      <c r="F791" s="124"/>
      <c r="G791" s="124"/>
      <c r="H791" s="124"/>
      <c r="I791" s="124"/>
      <c r="J791" s="124"/>
      <c r="K791" s="124"/>
    </row>
    <row r="792" ht="15.75" customHeight="1">
      <c r="B792" s="334"/>
      <c r="E792" s="124"/>
      <c r="F792" s="124"/>
      <c r="G792" s="124"/>
      <c r="H792" s="124"/>
      <c r="I792" s="124"/>
      <c r="J792" s="124"/>
      <c r="K792" s="124"/>
    </row>
    <row r="793" ht="15.75" customHeight="1">
      <c r="B793" s="334"/>
      <c r="E793" s="124"/>
      <c r="F793" s="124"/>
      <c r="G793" s="124"/>
      <c r="H793" s="124"/>
      <c r="I793" s="124"/>
      <c r="J793" s="124"/>
      <c r="K793" s="124"/>
    </row>
    <row r="794" ht="15.75" customHeight="1">
      <c r="B794" s="334"/>
      <c r="E794" s="124"/>
      <c r="F794" s="124"/>
      <c r="G794" s="124"/>
      <c r="H794" s="124"/>
      <c r="I794" s="124"/>
      <c r="J794" s="124"/>
      <c r="K794" s="124"/>
    </row>
    <row r="795" ht="15.75" customHeight="1">
      <c r="B795" s="334"/>
      <c r="E795" s="124"/>
      <c r="F795" s="124"/>
      <c r="G795" s="124"/>
      <c r="H795" s="124"/>
      <c r="I795" s="124"/>
      <c r="J795" s="124"/>
      <c r="K795" s="124"/>
    </row>
    <row r="796" ht="15.75" customHeight="1">
      <c r="B796" s="334"/>
      <c r="E796" s="124"/>
      <c r="F796" s="124"/>
      <c r="G796" s="124"/>
      <c r="H796" s="124"/>
      <c r="I796" s="124"/>
      <c r="J796" s="124"/>
      <c r="K796" s="124"/>
    </row>
    <row r="797" ht="15.75" customHeight="1">
      <c r="B797" s="334"/>
      <c r="E797" s="124"/>
      <c r="F797" s="124"/>
      <c r="G797" s="124"/>
      <c r="H797" s="124"/>
      <c r="I797" s="124"/>
      <c r="J797" s="124"/>
      <c r="K797" s="124"/>
    </row>
    <row r="798" ht="15.75" customHeight="1">
      <c r="B798" s="334"/>
      <c r="E798" s="124"/>
      <c r="F798" s="124"/>
      <c r="G798" s="124"/>
      <c r="H798" s="124"/>
      <c r="I798" s="124"/>
      <c r="J798" s="124"/>
      <c r="K798" s="124"/>
    </row>
    <row r="799" ht="15.75" customHeight="1">
      <c r="B799" s="334"/>
      <c r="E799" s="124"/>
      <c r="F799" s="124"/>
      <c r="G799" s="124"/>
      <c r="H799" s="124"/>
      <c r="I799" s="124"/>
      <c r="J799" s="124"/>
      <c r="K799" s="124"/>
    </row>
    <row r="800" ht="15.75" customHeight="1">
      <c r="B800" s="334"/>
      <c r="E800" s="124"/>
      <c r="F800" s="124"/>
      <c r="G800" s="124"/>
      <c r="H800" s="124"/>
      <c r="I800" s="124"/>
      <c r="J800" s="124"/>
      <c r="K800" s="124"/>
    </row>
    <row r="801" ht="15.75" customHeight="1">
      <c r="B801" s="334"/>
      <c r="E801" s="124"/>
      <c r="F801" s="124"/>
      <c r="G801" s="124"/>
      <c r="H801" s="124"/>
      <c r="I801" s="124"/>
      <c r="J801" s="124"/>
      <c r="K801" s="124"/>
    </row>
    <row r="802" ht="15.75" customHeight="1">
      <c r="B802" s="334"/>
      <c r="E802" s="124"/>
      <c r="F802" s="124"/>
      <c r="G802" s="124"/>
      <c r="H802" s="124"/>
      <c r="I802" s="124"/>
      <c r="J802" s="124"/>
      <c r="K802" s="124"/>
    </row>
    <row r="803" ht="15.75" customHeight="1">
      <c r="B803" s="334"/>
      <c r="E803" s="124"/>
      <c r="F803" s="124"/>
      <c r="G803" s="124"/>
      <c r="H803" s="124"/>
      <c r="I803" s="124"/>
      <c r="J803" s="124"/>
      <c r="K803" s="124"/>
    </row>
    <row r="804" ht="15.75" customHeight="1">
      <c r="B804" s="334"/>
      <c r="E804" s="124"/>
      <c r="F804" s="124"/>
      <c r="G804" s="124"/>
      <c r="H804" s="124"/>
      <c r="I804" s="124"/>
      <c r="J804" s="124"/>
      <c r="K804" s="124"/>
    </row>
    <row r="805" ht="15.75" customHeight="1">
      <c r="B805" s="334"/>
      <c r="E805" s="124"/>
      <c r="F805" s="124"/>
      <c r="G805" s="124"/>
      <c r="H805" s="124"/>
      <c r="I805" s="124"/>
      <c r="J805" s="124"/>
      <c r="K805" s="124"/>
    </row>
    <row r="806" ht="15.75" customHeight="1">
      <c r="B806" s="334"/>
      <c r="E806" s="124"/>
      <c r="F806" s="124"/>
      <c r="G806" s="124"/>
      <c r="H806" s="124"/>
      <c r="I806" s="124"/>
      <c r="J806" s="124"/>
      <c r="K806" s="124"/>
    </row>
    <row r="807" ht="15.75" customHeight="1">
      <c r="B807" s="334"/>
      <c r="E807" s="124"/>
      <c r="F807" s="124"/>
      <c r="G807" s="124"/>
      <c r="H807" s="124"/>
      <c r="I807" s="124"/>
      <c r="J807" s="124"/>
      <c r="K807" s="124"/>
    </row>
    <row r="808" ht="15.75" customHeight="1">
      <c r="B808" s="334"/>
      <c r="E808" s="124"/>
      <c r="F808" s="124"/>
      <c r="G808" s="124"/>
      <c r="H808" s="124"/>
      <c r="I808" s="124"/>
      <c r="J808" s="124"/>
      <c r="K808" s="124"/>
    </row>
    <row r="809" ht="15.75" customHeight="1">
      <c r="B809" s="334"/>
      <c r="E809" s="124"/>
      <c r="F809" s="124"/>
      <c r="G809" s="124"/>
      <c r="H809" s="124"/>
      <c r="I809" s="124"/>
      <c r="J809" s="124"/>
      <c r="K809" s="124"/>
    </row>
    <row r="810" ht="15.75" customHeight="1">
      <c r="B810" s="334"/>
      <c r="E810" s="124"/>
      <c r="F810" s="124"/>
      <c r="G810" s="124"/>
      <c r="H810" s="124"/>
      <c r="I810" s="124"/>
      <c r="J810" s="124"/>
      <c r="K810" s="124"/>
    </row>
    <row r="811" ht="15.75" customHeight="1">
      <c r="B811" s="334"/>
      <c r="E811" s="124"/>
      <c r="F811" s="124"/>
      <c r="G811" s="124"/>
      <c r="H811" s="124"/>
      <c r="I811" s="124"/>
      <c r="J811" s="124"/>
      <c r="K811" s="124"/>
    </row>
    <row r="812" ht="15.75" customHeight="1">
      <c r="B812" s="334"/>
      <c r="E812" s="124"/>
      <c r="F812" s="124"/>
      <c r="G812" s="124"/>
      <c r="H812" s="124"/>
      <c r="I812" s="124"/>
      <c r="J812" s="124"/>
      <c r="K812" s="124"/>
    </row>
    <row r="813" ht="15.75" customHeight="1">
      <c r="B813" s="334"/>
      <c r="E813" s="124"/>
      <c r="F813" s="124"/>
      <c r="G813" s="124"/>
      <c r="H813" s="124"/>
      <c r="I813" s="124"/>
      <c r="J813" s="124"/>
      <c r="K813" s="124"/>
    </row>
    <row r="814" ht="15.75" customHeight="1">
      <c r="B814" s="334"/>
      <c r="E814" s="124"/>
      <c r="F814" s="124"/>
      <c r="G814" s="124"/>
      <c r="H814" s="124"/>
      <c r="I814" s="124"/>
      <c r="J814" s="124"/>
      <c r="K814" s="124"/>
    </row>
    <row r="815" ht="15.75" customHeight="1">
      <c r="B815" s="334"/>
      <c r="E815" s="124"/>
      <c r="F815" s="124"/>
      <c r="G815" s="124"/>
      <c r="H815" s="124"/>
      <c r="I815" s="124"/>
      <c r="J815" s="124"/>
      <c r="K815" s="124"/>
    </row>
    <row r="816" ht="15.75" customHeight="1">
      <c r="B816" s="334"/>
      <c r="E816" s="124"/>
      <c r="F816" s="124"/>
      <c r="G816" s="124"/>
      <c r="H816" s="124"/>
      <c r="I816" s="124"/>
      <c r="J816" s="124"/>
      <c r="K816" s="124"/>
    </row>
    <row r="817" ht="15.75" customHeight="1">
      <c r="B817" s="334"/>
      <c r="E817" s="124"/>
      <c r="F817" s="124"/>
      <c r="G817" s="124"/>
      <c r="H817" s="124"/>
      <c r="I817" s="124"/>
      <c r="J817" s="124"/>
      <c r="K817" s="124"/>
    </row>
    <row r="818" ht="15.75" customHeight="1">
      <c r="B818" s="334"/>
      <c r="E818" s="124"/>
      <c r="F818" s="124"/>
      <c r="G818" s="124"/>
      <c r="H818" s="124"/>
      <c r="I818" s="124"/>
      <c r="J818" s="124"/>
      <c r="K818" s="124"/>
    </row>
    <row r="819" ht="15.75" customHeight="1">
      <c r="B819" s="334"/>
      <c r="E819" s="124"/>
      <c r="F819" s="124"/>
      <c r="G819" s="124"/>
      <c r="H819" s="124"/>
      <c r="I819" s="124"/>
      <c r="J819" s="124"/>
      <c r="K819" s="124"/>
    </row>
    <row r="820" ht="15.75" customHeight="1">
      <c r="B820" s="334"/>
      <c r="E820" s="124"/>
      <c r="F820" s="124"/>
      <c r="G820" s="124"/>
      <c r="H820" s="124"/>
      <c r="I820" s="124"/>
      <c r="J820" s="124"/>
      <c r="K820" s="124"/>
    </row>
    <row r="821" ht="15.75" customHeight="1">
      <c r="B821" s="334"/>
      <c r="E821" s="124"/>
      <c r="F821" s="124"/>
      <c r="G821" s="124"/>
      <c r="H821" s="124"/>
      <c r="I821" s="124"/>
      <c r="J821" s="124"/>
      <c r="K821" s="124"/>
    </row>
    <row r="822" ht="15.75" customHeight="1">
      <c r="B822" s="334"/>
      <c r="E822" s="124"/>
      <c r="F822" s="124"/>
      <c r="G822" s="124"/>
      <c r="H822" s="124"/>
      <c r="I822" s="124"/>
      <c r="J822" s="124"/>
      <c r="K822" s="124"/>
    </row>
    <row r="823" ht="15.75" customHeight="1">
      <c r="B823" s="334"/>
      <c r="E823" s="124"/>
      <c r="F823" s="124"/>
      <c r="G823" s="124"/>
      <c r="H823" s="124"/>
      <c r="I823" s="124"/>
      <c r="J823" s="124"/>
      <c r="K823" s="124"/>
    </row>
    <row r="824" ht="15.75" customHeight="1">
      <c r="B824" s="334"/>
      <c r="E824" s="124"/>
      <c r="F824" s="124"/>
      <c r="G824" s="124"/>
      <c r="H824" s="124"/>
      <c r="I824" s="124"/>
      <c r="J824" s="124"/>
      <c r="K824" s="124"/>
    </row>
    <row r="825" ht="15.75" customHeight="1">
      <c r="B825" s="334"/>
      <c r="E825" s="124"/>
      <c r="F825" s="124"/>
      <c r="G825" s="124"/>
      <c r="H825" s="124"/>
      <c r="I825" s="124"/>
      <c r="J825" s="124"/>
      <c r="K825" s="124"/>
    </row>
    <row r="826" ht="15.75" customHeight="1">
      <c r="B826" s="334"/>
      <c r="E826" s="124"/>
      <c r="F826" s="124"/>
      <c r="G826" s="124"/>
      <c r="H826" s="124"/>
      <c r="I826" s="124"/>
      <c r="J826" s="124"/>
      <c r="K826" s="124"/>
    </row>
    <row r="827" ht="15.75" customHeight="1">
      <c r="B827" s="334"/>
      <c r="E827" s="124"/>
      <c r="F827" s="124"/>
      <c r="G827" s="124"/>
      <c r="H827" s="124"/>
      <c r="I827" s="124"/>
      <c r="J827" s="124"/>
      <c r="K827" s="124"/>
    </row>
    <row r="828" ht="15.75" customHeight="1">
      <c r="B828" s="334"/>
      <c r="E828" s="124"/>
      <c r="F828" s="124"/>
      <c r="G828" s="124"/>
      <c r="H828" s="124"/>
      <c r="I828" s="124"/>
      <c r="J828" s="124"/>
      <c r="K828" s="124"/>
    </row>
    <row r="829" ht="15.75" customHeight="1">
      <c r="B829" s="334"/>
      <c r="E829" s="124"/>
      <c r="F829" s="124"/>
      <c r="G829" s="124"/>
      <c r="H829" s="124"/>
      <c r="I829" s="124"/>
      <c r="J829" s="124"/>
      <c r="K829" s="124"/>
    </row>
    <row r="830" ht="15.75" customHeight="1">
      <c r="B830" s="334"/>
      <c r="E830" s="124"/>
      <c r="F830" s="124"/>
      <c r="G830" s="124"/>
      <c r="H830" s="124"/>
      <c r="I830" s="124"/>
      <c r="J830" s="124"/>
      <c r="K830" s="124"/>
    </row>
    <row r="831" ht="15.75" customHeight="1">
      <c r="B831" s="334"/>
      <c r="E831" s="124"/>
      <c r="F831" s="124"/>
      <c r="G831" s="124"/>
      <c r="H831" s="124"/>
      <c r="I831" s="124"/>
      <c r="J831" s="124"/>
      <c r="K831" s="124"/>
    </row>
    <row r="832" ht="15.75" customHeight="1">
      <c r="B832" s="334"/>
      <c r="E832" s="124"/>
      <c r="F832" s="124"/>
      <c r="G832" s="124"/>
      <c r="H832" s="124"/>
      <c r="I832" s="124"/>
      <c r="J832" s="124"/>
      <c r="K832" s="124"/>
    </row>
    <row r="833" ht="15.75" customHeight="1">
      <c r="B833" s="334"/>
      <c r="E833" s="124"/>
      <c r="F833" s="124"/>
      <c r="G833" s="124"/>
      <c r="H833" s="124"/>
      <c r="I833" s="124"/>
      <c r="J833" s="124"/>
      <c r="K833" s="124"/>
    </row>
    <row r="834" ht="15.75" customHeight="1">
      <c r="B834" s="334"/>
      <c r="E834" s="124"/>
      <c r="F834" s="124"/>
      <c r="G834" s="124"/>
      <c r="H834" s="124"/>
      <c r="I834" s="124"/>
      <c r="J834" s="124"/>
      <c r="K834" s="124"/>
    </row>
    <row r="835" ht="15.75" customHeight="1">
      <c r="B835" s="334"/>
      <c r="E835" s="124"/>
      <c r="F835" s="124"/>
      <c r="G835" s="124"/>
      <c r="H835" s="124"/>
      <c r="I835" s="124"/>
      <c r="J835" s="124"/>
      <c r="K835" s="124"/>
    </row>
    <row r="836" ht="15.75" customHeight="1">
      <c r="B836" s="334"/>
      <c r="E836" s="124"/>
      <c r="F836" s="124"/>
      <c r="G836" s="124"/>
      <c r="H836" s="124"/>
      <c r="I836" s="124"/>
      <c r="J836" s="124"/>
      <c r="K836" s="124"/>
    </row>
    <row r="837" ht="15.75" customHeight="1">
      <c r="B837" s="334"/>
      <c r="E837" s="124"/>
      <c r="F837" s="124"/>
      <c r="G837" s="124"/>
      <c r="H837" s="124"/>
      <c r="I837" s="124"/>
      <c r="J837" s="124"/>
      <c r="K837" s="124"/>
    </row>
    <row r="838" ht="15.75" customHeight="1">
      <c r="B838" s="334"/>
      <c r="E838" s="124"/>
      <c r="F838" s="124"/>
      <c r="G838" s="124"/>
      <c r="H838" s="124"/>
      <c r="I838" s="124"/>
      <c r="J838" s="124"/>
      <c r="K838" s="124"/>
    </row>
    <row r="839" ht="15.75" customHeight="1">
      <c r="B839" s="334"/>
      <c r="E839" s="124"/>
      <c r="F839" s="124"/>
      <c r="G839" s="124"/>
      <c r="H839" s="124"/>
      <c r="I839" s="124"/>
      <c r="J839" s="124"/>
      <c r="K839" s="124"/>
    </row>
    <row r="840" ht="15.75" customHeight="1">
      <c r="B840" s="334"/>
      <c r="E840" s="124"/>
      <c r="F840" s="124"/>
      <c r="G840" s="124"/>
      <c r="H840" s="124"/>
      <c r="I840" s="124"/>
      <c r="J840" s="124"/>
      <c r="K840" s="124"/>
    </row>
    <row r="841" ht="15.75" customHeight="1">
      <c r="B841" s="334"/>
      <c r="E841" s="124"/>
      <c r="F841" s="124"/>
      <c r="G841" s="124"/>
      <c r="H841" s="124"/>
      <c r="I841" s="124"/>
      <c r="J841" s="124"/>
      <c r="K841" s="124"/>
    </row>
    <row r="842" ht="15.75" customHeight="1">
      <c r="B842" s="334"/>
      <c r="E842" s="124"/>
      <c r="F842" s="124"/>
      <c r="G842" s="124"/>
      <c r="H842" s="124"/>
      <c r="I842" s="124"/>
      <c r="J842" s="124"/>
      <c r="K842" s="124"/>
    </row>
    <row r="843" ht="15.75" customHeight="1">
      <c r="B843" s="334"/>
      <c r="E843" s="124"/>
      <c r="F843" s="124"/>
      <c r="G843" s="124"/>
      <c r="H843" s="124"/>
      <c r="I843" s="124"/>
      <c r="J843" s="124"/>
      <c r="K843" s="124"/>
    </row>
    <row r="844" ht="15.75" customHeight="1">
      <c r="B844" s="334"/>
      <c r="E844" s="124"/>
      <c r="F844" s="124"/>
      <c r="G844" s="124"/>
      <c r="H844" s="124"/>
      <c r="I844" s="124"/>
      <c r="J844" s="124"/>
      <c r="K844" s="124"/>
    </row>
    <row r="845" ht="15.75" customHeight="1">
      <c r="B845" s="334"/>
      <c r="E845" s="124"/>
      <c r="F845" s="124"/>
      <c r="G845" s="124"/>
      <c r="H845" s="124"/>
      <c r="I845" s="124"/>
      <c r="J845" s="124"/>
      <c r="K845" s="124"/>
    </row>
    <row r="846" ht="15.75" customHeight="1">
      <c r="B846" s="334"/>
      <c r="E846" s="124"/>
      <c r="F846" s="124"/>
      <c r="G846" s="124"/>
      <c r="H846" s="124"/>
      <c r="I846" s="124"/>
      <c r="J846" s="124"/>
      <c r="K846" s="124"/>
    </row>
    <row r="847" ht="15.75" customHeight="1">
      <c r="B847" s="334"/>
      <c r="E847" s="124"/>
      <c r="F847" s="124"/>
      <c r="G847" s="124"/>
      <c r="H847" s="124"/>
      <c r="I847" s="124"/>
      <c r="J847" s="124"/>
      <c r="K847" s="124"/>
    </row>
    <row r="848" ht="15.75" customHeight="1">
      <c r="B848" s="334"/>
      <c r="E848" s="124"/>
      <c r="F848" s="124"/>
      <c r="G848" s="124"/>
      <c r="H848" s="124"/>
      <c r="I848" s="124"/>
      <c r="J848" s="124"/>
      <c r="K848" s="124"/>
    </row>
    <row r="849" ht="15.75" customHeight="1">
      <c r="B849" s="334"/>
      <c r="E849" s="124"/>
      <c r="F849" s="124"/>
      <c r="G849" s="124"/>
      <c r="H849" s="124"/>
      <c r="I849" s="124"/>
      <c r="J849" s="124"/>
      <c r="K849" s="124"/>
    </row>
    <row r="850" ht="15.75" customHeight="1">
      <c r="B850" s="334"/>
      <c r="E850" s="124"/>
      <c r="F850" s="124"/>
      <c r="G850" s="124"/>
      <c r="H850" s="124"/>
      <c r="I850" s="124"/>
      <c r="J850" s="124"/>
      <c r="K850" s="124"/>
    </row>
    <row r="851" ht="15.75" customHeight="1">
      <c r="B851" s="334"/>
      <c r="E851" s="124"/>
      <c r="F851" s="124"/>
      <c r="G851" s="124"/>
      <c r="H851" s="124"/>
      <c r="I851" s="124"/>
      <c r="J851" s="124"/>
      <c r="K851" s="124"/>
    </row>
    <row r="852" ht="15.75" customHeight="1">
      <c r="B852" s="334"/>
      <c r="E852" s="124"/>
      <c r="F852" s="124"/>
      <c r="G852" s="124"/>
      <c r="H852" s="124"/>
      <c r="I852" s="124"/>
      <c r="J852" s="124"/>
      <c r="K852" s="124"/>
    </row>
    <row r="853" ht="15.75" customHeight="1">
      <c r="B853" s="334"/>
      <c r="E853" s="124"/>
      <c r="F853" s="124"/>
      <c r="G853" s="124"/>
      <c r="H853" s="124"/>
      <c r="I853" s="124"/>
      <c r="J853" s="124"/>
      <c r="K853" s="124"/>
    </row>
    <row r="854" ht="15.75" customHeight="1">
      <c r="B854" s="334"/>
      <c r="E854" s="124"/>
      <c r="F854" s="124"/>
      <c r="G854" s="124"/>
      <c r="H854" s="124"/>
      <c r="I854" s="124"/>
      <c r="J854" s="124"/>
      <c r="K854" s="124"/>
    </row>
    <row r="855" ht="15.75" customHeight="1">
      <c r="B855" s="334"/>
      <c r="E855" s="124"/>
      <c r="F855" s="124"/>
      <c r="G855" s="124"/>
      <c r="H855" s="124"/>
      <c r="I855" s="124"/>
      <c r="J855" s="124"/>
      <c r="K855" s="124"/>
    </row>
    <row r="856" ht="15.75" customHeight="1">
      <c r="B856" s="334"/>
      <c r="E856" s="124"/>
      <c r="F856" s="124"/>
      <c r="G856" s="124"/>
      <c r="H856" s="124"/>
      <c r="I856" s="124"/>
      <c r="J856" s="124"/>
      <c r="K856" s="124"/>
    </row>
    <row r="857" ht="15.75" customHeight="1">
      <c r="B857" s="334"/>
      <c r="E857" s="124"/>
      <c r="F857" s="124"/>
      <c r="G857" s="124"/>
      <c r="H857" s="124"/>
      <c r="I857" s="124"/>
      <c r="J857" s="124"/>
      <c r="K857" s="124"/>
    </row>
    <row r="858" ht="15.75" customHeight="1">
      <c r="B858" s="334"/>
      <c r="E858" s="124"/>
      <c r="F858" s="124"/>
      <c r="G858" s="124"/>
      <c r="H858" s="124"/>
      <c r="I858" s="124"/>
      <c r="J858" s="124"/>
      <c r="K858" s="124"/>
    </row>
    <row r="859" ht="15.75" customHeight="1">
      <c r="B859" s="334"/>
      <c r="E859" s="124"/>
      <c r="F859" s="124"/>
      <c r="G859" s="124"/>
      <c r="H859" s="124"/>
      <c r="I859" s="124"/>
      <c r="J859" s="124"/>
      <c r="K859" s="124"/>
    </row>
    <row r="860" ht="15.75" customHeight="1">
      <c r="B860" s="334"/>
      <c r="E860" s="124"/>
      <c r="F860" s="124"/>
      <c r="G860" s="124"/>
      <c r="H860" s="124"/>
      <c r="I860" s="124"/>
      <c r="J860" s="124"/>
      <c r="K860" s="124"/>
    </row>
    <row r="861" ht="15.75" customHeight="1">
      <c r="B861" s="334"/>
      <c r="E861" s="124"/>
      <c r="F861" s="124"/>
      <c r="G861" s="124"/>
      <c r="H861" s="124"/>
      <c r="I861" s="124"/>
      <c r="J861" s="124"/>
      <c r="K861" s="124"/>
    </row>
    <row r="862" ht="15.75" customHeight="1">
      <c r="B862" s="334"/>
      <c r="E862" s="124"/>
      <c r="F862" s="124"/>
      <c r="G862" s="124"/>
      <c r="H862" s="124"/>
      <c r="I862" s="124"/>
      <c r="J862" s="124"/>
      <c r="K862" s="124"/>
    </row>
    <row r="863" ht="15.75" customHeight="1">
      <c r="B863" s="334"/>
      <c r="E863" s="124"/>
      <c r="F863" s="124"/>
      <c r="G863" s="124"/>
      <c r="H863" s="124"/>
      <c r="I863" s="124"/>
      <c r="J863" s="124"/>
      <c r="K863" s="124"/>
    </row>
    <row r="864" ht="15.75" customHeight="1">
      <c r="B864" s="334"/>
      <c r="E864" s="124"/>
      <c r="F864" s="124"/>
      <c r="G864" s="124"/>
      <c r="H864" s="124"/>
      <c r="I864" s="124"/>
      <c r="J864" s="124"/>
      <c r="K864" s="124"/>
    </row>
    <row r="865" ht="15.75" customHeight="1">
      <c r="B865" s="334"/>
      <c r="E865" s="124"/>
      <c r="F865" s="124"/>
      <c r="G865" s="124"/>
      <c r="H865" s="124"/>
      <c r="I865" s="124"/>
      <c r="J865" s="124"/>
      <c r="K865" s="124"/>
    </row>
    <row r="866" ht="15.75" customHeight="1">
      <c r="B866" s="334"/>
      <c r="E866" s="124"/>
      <c r="F866" s="124"/>
      <c r="G866" s="124"/>
      <c r="H866" s="124"/>
      <c r="I866" s="124"/>
      <c r="J866" s="124"/>
      <c r="K866" s="124"/>
    </row>
    <row r="867" ht="15.75" customHeight="1">
      <c r="B867" s="334"/>
      <c r="E867" s="124"/>
      <c r="F867" s="124"/>
      <c r="G867" s="124"/>
      <c r="H867" s="124"/>
      <c r="I867" s="124"/>
      <c r="J867" s="124"/>
      <c r="K867" s="124"/>
    </row>
    <row r="868" ht="15.75" customHeight="1">
      <c r="B868" s="334"/>
      <c r="E868" s="124"/>
      <c r="F868" s="124"/>
      <c r="G868" s="124"/>
      <c r="H868" s="124"/>
      <c r="I868" s="124"/>
      <c r="J868" s="124"/>
      <c r="K868" s="124"/>
    </row>
    <row r="869" ht="15.75" customHeight="1">
      <c r="B869" s="334"/>
      <c r="E869" s="124"/>
      <c r="F869" s="124"/>
      <c r="G869" s="124"/>
      <c r="H869" s="124"/>
      <c r="I869" s="124"/>
      <c r="J869" s="124"/>
      <c r="K869" s="124"/>
    </row>
    <row r="870" ht="15.75" customHeight="1">
      <c r="B870" s="334"/>
      <c r="E870" s="124"/>
      <c r="F870" s="124"/>
      <c r="G870" s="124"/>
      <c r="H870" s="124"/>
      <c r="I870" s="124"/>
      <c r="J870" s="124"/>
      <c r="K870" s="124"/>
    </row>
    <row r="871" ht="15.75" customHeight="1">
      <c r="B871" s="334"/>
      <c r="E871" s="124"/>
      <c r="F871" s="124"/>
      <c r="G871" s="124"/>
      <c r="H871" s="124"/>
      <c r="I871" s="124"/>
      <c r="J871" s="124"/>
      <c r="K871" s="124"/>
    </row>
    <row r="872" ht="15.75" customHeight="1">
      <c r="B872" s="334"/>
      <c r="E872" s="124"/>
      <c r="F872" s="124"/>
      <c r="G872" s="124"/>
      <c r="H872" s="124"/>
      <c r="I872" s="124"/>
      <c r="J872" s="124"/>
      <c r="K872" s="124"/>
    </row>
    <row r="873" ht="15.75" customHeight="1">
      <c r="B873" s="334"/>
      <c r="E873" s="124"/>
      <c r="F873" s="124"/>
      <c r="G873" s="124"/>
      <c r="H873" s="124"/>
      <c r="I873" s="124"/>
      <c r="J873" s="124"/>
      <c r="K873" s="124"/>
    </row>
    <row r="874" ht="15.75" customHeight="1">
      <c r="B874" s="334"/>
      <c r="E874" s="124"/>
      <c r="F874" s="124"/>
      <c r="G874" s="124"/>
      <c r="H874" s="124"/>
      <c r="I874" s="124"/>
      <c r="J874" s="124"/>
      <c r="K874" s="124"/>
    </row>
    <row r="875" ht="15.75" customHeight="1">
      <c r="B875" s="334"/>
      <c r="E875" s="124"/>
      <c r="F875" s="124"/>
      <c r="G875" s="124"/>
      <c r="H875" s="124"/>
      <c r="I875" s="124"/>
      <c r="J875" s="124"/>
      <c r="K875" s="124"/>
    </row>
    <row r="876" ht="15.75" customHeight="1">
      <c r="B876" s="334"/>
      <c r="E876" s="124"/>
      <c r="F876" s="124"/>
      <c r="G876" s="124"/>
      <c r="H876" s="124"/>
      <c r="I876" s="124"/>
      <c r="J876" s="124"/>
      <c r="K876" s="124"/>
    </row>
    <row r="877" ht="15.75" customHeight="1">
      <c r="B877" s="334"/>
      <c r="E877" s="124"/>
      <c r="F877" s="124"/>
      <c r="G877" s="124"/>
      <c r="H877" s="124"/>
      <c r="I877" s="124"/>
      <c r="J877" s="124"/>
      <c r="K877" s="124"/>
    </row>
    <row r="878" ht="15.75" customHeight="1">
      <c r="B878" s="334"/>
      <c r="E878" s="124"/>
      <c r="F878" s="124"/>
      <c r="G878" s="124"/>
      <c r="H878" s="124"/>
      <c r="I878" s="124"/>
      <c r="J878" s="124"/>
      <c r="K878" s="124"/>
    </row>
    <row r="879" ht="15.75" customHeight="1">
      <c r="B879" s="334"/>
      <c r="E879" s="124"/>
      <c r="F879" s="124"/>
      <c r="G879" s="124"/>
      <c r="H879" s="124"/>
      <c r="I879" s="124"/>
      <c r="J879" s="124"/>
      <c r="K879" s="124"/>
    </row>
    <row r="880" ht="15.75" customHeight="1">
      <c r="B880" s="334"/>
      <c r="E880" s="124"/>
      <c r="F880" s="124"/>
      <c r="G880" s="124"/>
      <c r="H880" s="124"/>
      <c r="I880" s="124"/>
      <c r="J880" s="124"/>
      <c r="K880" s="124"/>
    </row>
    <row r="881" ht="15.75" customHeight="1">
      <c r="B881" s="334"/>
      <c r="E881" s="124"/>
      <c r="F881" s="124"/>
      <c r="G881" s="124"/>
      <c r="H881" s="124"/>
      <c r="I881" s="124"/>
      <c r="J881" s="124"/>
      <c r="K881" s="124"/>
    </row>
    <row r="882" ht="15.75" customHeight="1">
      <c r="B882" s="334"/>
      <c r="E882" s="124"/>
      <c r="F882" s="124"/>
      <c r="G882" s="124"/>
      <c r="H882" s="124"/>
      <c r="I882" s="124"/>
      <c r="J882" s="124"/>
      <c r="K882" s="124"/>
    </row>
    <row r="883" ht="15.75" customHeight="1">
      <c r="B883" s="334"/>
      <c r="E883" s="124"/>
      <c r="F883" s="124"/>
      <c r="G883" s="124"/>
      <c r="H883" s="124"/>
      <c r="I883" s="124"/>
      <c r="J883" s="124"/>
      <c r="K883" s="124"/>
    </row>
    <row r="884" ht="15.75" customHeight="1">
      <c r="B884" s="334"/>
      <c r="E884" s="124"/>
      <c r="F884" s="124"/>
      <c r="G884" s="124"/>
      <c r="H884" s="124"/>
      <c r="I884" s="124"/>
      <c r="J884" s="124"/>
      <c r="K884" s="124"/>
    </row>
    <row r="885" ht="15.75" customHeight="1">
      <c r="B885" s="334"/>
      <c r="E885" s="124"/>
      <c r="F885" s="124"/>
      <c r="G885" s="124"/>
      <c r="H885" s="124"/>
      <c r="I885" s="124"/>
      <c r="J885" s="124"/>
      <c r="K885" s="124"/>
    </row>
    <row r="886" ht="15.75" customHeight="1">
      <c r="B886" s="334"/>
      <c r="E886" s="124"/>
      <c r="F886" s="124"/>
      <c r="G886" s="124"/>
      <c r="H886" s="124"/>
      <c r="I886" s="124"/>
      <c r="J886" s="124"/>
      <c r="K886" s="124"/>
    </row>
    <row r="887" ht="15.75" customHeight="1">
      <c r="B887" s="334"/>
      <c r="E887" s="124"/>
      <c r="F887" s="124"/>
      <c r="G887" s="124"/>
      <c r="H887" s="124"/>
      <c r="I887" s="124"/>
      <c r="J887" s="124"/>
      <c r="K887" s="124"/>
    </row>
    <row r="888" ht="15.75" customHeight="1">
      <c r="B888" s="334"/>
      <c r="E888" s="124"/>
      <c r="F888" s="124"/>
      <c r="G888" s="124"/>
      <c r="H888" s="124"/>
      <c r="I888" s="124"/>
      <c r="J888" s="124"/>
      <c r="K888" s="124"/>
    </row>
    <row r="889" ht="15.75" customHeight="1">
      <c r="B889" s="334"/>
      <c r="E889" s="124"/>
      <c r="F889" s="124"/>
      <c r="G889" s="124"/>
      <c r="H889" s="124"/>
      <c r="I889" s="124"/>
      <c r="J889" s="124"/>
      <c r="K889" s="124"/>
    </row>
    <row r="890" ht="15.75" customHeight="1">
      <c r="B890" s="334"/>
      <c r="E890" s="124"/>
      <c r="F890" s="124"/>
      <c r="G890" s="124"/>
      <c r="H890" s="124"/>
      <c r="I890" s="124"/>
      <c r="J890" s="124"/>
      <c r="K890" s="124"/>
    </row>
    <row r="891" ht="15.75" customHeight="1">
      <c r="B891" s="334"/>
      <c r="E891" s="124"/>
      <c r="F891" s="124"/>
      <c r="G891" s="124"/>
      <c r="H891" s="124"/>
      <c r="I891" s="124"/>
      <c r="J891" s="124"/>
      <c r="K891" s="124"/>
    </row>
    <row r="892" ht="15.75" customHeight="1">
      <c r="B892" s="334"/>
      <c r="E892" s="124"/>
      <c r="F892" s="124"/>
      <c r="G892" s="124"/>
      <c r="H892" s="124"/>
      <c r="I892" s="124"/>
      <c r="J892" s="124"/>
      <c r="K892" s="124"/>
    </row>
    <row r="893" ht="15.75" customHeight="1">
      <c r="B893" s="334"/>
      <c r="E893" s="124"/>
      <c r="F893" s="124"/>
      <c r="G893" s="124"/>
      <c r="H893" s="124"/>
      <c r="I893" s="124"/>
      <c r="J893" s="124"/>
      <c r="K893" s="124"/>
    </row>
    <row r="894" ht="15.75" customHeight="1">
      <c r="B894" s="334"/>
      <c r="E894" s="124"/>
      <c r="F894" s="124"/>
      <c r="G894" s="124"/>
      <c r="H894" s="124"/>
      <c r="I894" s="124"/>
      <c r="J894" s="124"/>
      <c r="K894" s="124"/>
    </row>
    <row r="895" ht="15.75" customHeight="1">
      <c r="B895" s="334"/>
      <c r="E895" s="124"/>
      <c r="F895" s="124"/>
      <c r="G895" s="124"/>
      <c r="H895" s="124"/>
      <c r="I895" s="124"/>
      <c r="J895" s="124"/>
      <c r="K895" s="124"/>
    </row>
    <row r="896" ht="15.75" customHeight="1">
      <c r="B896" s="334"/>
      <c r="E896" s="124"/>
      <c r="F896" s="124"/>
      <c r="G896" s="124"/>
      <c r="H896" s="124"/>
      <c r="I896" s="124"/>
      <c r="J896" s="124"/>
      <c r="K896" s="124"/>
    </row>
    <row r="897" ht="15.75" customHeight="1">
      <c r="B897" s="334"/>
      <c r="E897" s="124"/>
      <c r="F897" s="124"/>
      <c r="G897" s="124"/>
      <c r="H897" s="124"/>
      <c r="I897" s="124"/>
      <c r="J897" s="124"/>
      <c r="K897" s="124"/>
    </row>
    <row r="898" ht="15.75" customHeight="1">
      <c r="B898" s="334"/>
      <c r="E898" s="124"/>
      <c r="F898" s="124"/>
      <c r="G898" s="124"/>
      <c r="H898" s="124"/>
      <c r="I898" s="124"/>
      <c r="J898" s="124"/>
      <c r="K898" s="124"/>
    </row>
    <row r="899" ht="15.75" customHeight="1">
      <c r="B899" s="334"/>
      <c r="E899" s="124"/>
      <c r="F899" s="124"/>
      <c r="G899" s="124"/>
      <c r="H899" s="124"/>
      <c r="I899" s="124"/>
      <c r="J899" s="124"/>
      <c r="K899" s="124"/>
    </row>
    <row r="900" ht="15.75" customHeight="1">
      <c r="B900" s="334"/>
      <c r="E900" s="124"/>
      <c r="F900" s="124"/>
      <c r="G900" s="124"/>
      <c r="H900" s="124"/>
      <c r="I900" s="124"/>
      <c r="J900" s="124"/>
      <c r="K900" s="124"/>
    </row>
    <row r="901" ht="15.75" customHeight="1">
      <c r="B901" s="334"/>
      <c r="E901" s="124"/>
      <c r="F901" s="124"/>
      <c r="G901" s="124"/>
      <c r="H901" s="124"/>
      <c r="I901" s="124"/>
      <c r="J901" s="124"/>
      <c r="K901" s="124"/>
    </row>
    <row r="902" ht="15.75" customHeight="1">
      <c r="B902" s="334"/>
      <c r="E902" s="124"/>
      <c r="F902" s="124"/>
      <c r="G902" s="124"/>
      <c r="H902" s="124"/>
      <c r="I902" s="124"/>
      <c r="J902" s="124"/>
      <c r="K902" s="124"/>
    </row>
    <row r="903" ht="15.75" customHeight="1">
      <c r="B903" s="334"/>
      <c r="E903" s="124"/>
      <c r="F903" s="124"/>
      <c r="G903" s="124"/>
      <c r="H903" s="124"/>
      <c r="I903" s="124"/>
      <c r="J903" s="124"/>
      <c r="K903" s="124"/>
    </row>
    <row r="904" ht="15.75" customHeight="1">
      <c r="B904" s="334"/>
      <c r="E904" s="124"/>
      <c r="F904" s="124"/>
      <c r="G904" s="124"/>
      <c r="H904" s="124"/>
      <c r="I904" s="124"/>
      <c r="J904" s="124"/>
      <c r="K904" s="124"/>
    </row>
    <row r="905" ht="15.75" customHeight="1">
      <c r="B905" s="334"/>
      <c r="E905" s="124"/>
      <c r="F905" s="124"/>
      <c r="G905" s="124"/>
      <c r="H905" s="124"/>
      <c r="I905" s="124"/>
      <c r="J905" s="124"/>
      <c r="K905" s="124"/>
    </row>
    <row r="906" ht="15.75" customHeight="1">
      <c r="B906" s="334"/>
      <c r="E906" s="124"/>
      <c r="F906" s="124"/>
      <c r="G906" s="124"/>
      <c r="H906" s="124"/>
      <c r="I906" s="124"/>
      <c r="J906" s="124"/>
      <c r="K906" s="124"/>
    </row>
    <row r="907" ht="15.75" customHeight="1">
      <c r="B907" s="334"/>
      <c r="E907" s="124"/>
      <c r="F907" s="124"/>
      <c r="G907" s="124"/>
      <c r="H907" s="124"/>
      <c r="I907" s="124"/>
      <c r="J907" s="124"/>
      <c r="K907" s="124"/>
    </row>
    <row r="908" ht="15.75" customHeight="1">
      <c r="B908" s="334"/>
      <c r="E908" s="124"/>
      <c r="F908" s="124"/>
      <c r="G908" s="124"/>
      <c r="H908" s="124"/>
      <c r="I908" s="124"/>
      <c r="J908" s="124"/>
      <c r="K908" s="124"/>
    </row>
    <row r="909" ht="15.75" customHeight="1">
      <c r="B909" s="334"/>
      <c r="E909" s="124"/>
      <c r="F909" s="124"/>
      <c r="G909" s="124"/>
      <c r="H909" s="124"/>
      <c r="I909" s="124"/>
      <c r="J909" s="124"/>
      <c r="K909" s="124"/>
    </row>
    <row r="910" ht="15.75" customHeight="1">
      <c r="B910" s="334"/>
      <c r="E910" s="124"/>
      <c r="F910" s="124"/>
      <c r="G910" s="124"/>
      <c r="H910" s="124"/>
      <c r="I910" s="124"/>
      <c r="J910" s="124"/>
      <c r="K910" s="124"/>
    </row>
    <row r="911" ht="15.75" customHeight="1">
      <c r="B911" s="334"/>
      <c r="E911" s="124"/>
      <c r="F911" s="124"/>
      <c r="G911" s="124"/>
      <c r="H911" s="124"/>
      <c r="I911" s="124"/>
      <c r="J911" s="124"/>
      <c r="K911" s="124"/>
    </row>
    <row r="912" ht="15.75" customHeight="1">
      <c r="B912" s="334"/>
      <c r="E912" s="124"/>
      <c r="F912" s="124"/>
      <c r="G912" s="124"/>
      <c r="H912" s="124"/>
      <c r="I912" s="124"/>
      <c r="J912" s="124"/>
      <c r="K912" s="124"/>
    </row>
    <row r="913" ht="15.75" customHeight="1">
      <c r="B913" s="334"/>
      <c r="E913" s="124"/>
      <c r="F913" s="124"/>
      <c r="G913" s="124"/>
      <c r="H913" s="124"/>
      <c r="I913" s="124"/>
      <c r="J913" s="124"/>
      <c r="K913" s="124"/>
    </row>
    <row r="914" ht="15.75" customHeight="1">
      <c r="B914" s="334"/>
      <c r="E914" s="124"/>
      <c r="F914" s="124"/>
      <c r="G914" s="124"/>
      <c r="H914" s="124"/>
      <c r="I914" s="124"/>
      <c r="J914" s="124"/>
      <c r="K914" s="124"/>
    </row>
    <row r="915" ht="15.75" customHeight="1">
      <c r="B915" s="334"/>
      <c r="E915" s="124"/>
      <c r="F915" s="124"/>
      <c r="G915" s="124"/>
      <c r="H915" s="124"/>
      <c r="I915" s="124"/>
      <c r="J915" s="124"/>
      <c r="K915" s="124"/>
    </row>
    <row r="916" ht="15.75" customHeight="1">
      <c r="B916" s="334"/>
      <c r="E916" s="124"/>
      <c r="F916" s="124"/>
      <c r="G916" s="124"/>
      <c r="H916" s="124"/>
      <c r="I916" s="124"/>
      <c r="J916" s="124"/>
      <c r="K916" s="124"/>
    </row>
    <row r="917" ht="15.75" customHeight="1">
      <c r="B917" s="334"/>
      <c r="E917" s="124"/>
      <c r="F917" s="124"/>
      <c r="G917" s="124"/>
      <c r="H917" s="124"/>
      <c r="I917" s="124"/>
      <c r="J917" s="124"/>
      <c r="K917" s="124"/>
    </row>
    <row r="918" ht="15.75" customHeight="1">
      <c r="B918" s="334"/>
      <c r="E918" s="124"/>
      <c r="F918" s="124"/>
      <c r="G918" s="124"/>
      <c r="H918" s="124"/>
      <c r="I918" s="124"/>
      <c r="J918" s="124"/>
      <c r="K918" s="124"/>
    </row>
    <row r="919" ht="15.75" customHeight="1">
      <c r="B919" s="334"/>
      <c r="E919" s="124"/>
      <c r="F919" s="124"/>
      <c r="G919" s="124"/>
      <c r="H919" s="124"/>
      <c r="I919" s="124"/>
      <c r="J919" s="124"/>
      <c r="K919" s="124"/>
    </row>
    <row r="920" ht="15.75" customHeight="1">
      <c r="B920" s="334"/>
      <c r="E920" s="124"/>
      <c r="F920" s="124"/>
      <c r="G920" s="124"/>
      <c r="H920" s="124"/>
      <c r="I920" s="124"/>
      <c r="J920" s="124"/>
      <c r="K920" s="124"/>
    </row>
    <row r="921" ht="15.75" customHeight="1">
      <c r="B921" s="334"/>
      <c r="E921" s="124"/>
      <c r="F921" s="124"/>
      <c r="G921" s="124"/>
      <c r="H921" s="124"/>
      <c r="I921" s="124"/>
      <c r="J921" s="124"/>
      <c r="K921" s="124"/>
    </row>
    <row r="922" ht="15.75" customHeight="1">
      <c r="B922" s="334"/>
      <c r="E922" s="124"/>
      <c r="F922" s="124"/>
      <c r="G922" s="124"/>
      <c r="H922" s="124"/>
      <c r="I922" s="124"/>
      <c r="J922" s="124"/>
      <c r="K922" s="124"/>
    </row>
    <row r="923" ht="15.75" customHeight="1">
      <c r="B923" s="334"/>
      <c r="E923" s="124"/>
      <c r="F923" s="124"/>
      <c r="G923" s="124"/>
      <c r="H923" s="124"/>
      <c r="I923" s="124"/>
      <c r="J923" s="124"/>
      <c r="K923" s="124"/>
    </row>
    <row r="924" ht="15.75" customHeight="1">
      <c r="B924" s="334"/>
      <c r="E924" s="124"/>
      <c r="F924" s="124"/>
      <c r="G924" s="124"/>
      <c r="H924" s="124"/>
      <c r="I924" s="124"/>
      <c r="J924" s="124"/>
      <c r="K924" s="124"/>
    </row>
    <row r="925" ht="15.75" customHeight="1">
      <c r="B925" s="334"/>
      <c r="E925" s="124"/>
      <c r="F925" s="124"/>
      <c r="G925" s="124"/>
      <c r="H925" s="124"/>
      <c r="I925" s="124"/>
      <c r="J925" s="124"/>
      <c r="K925" s="124"/>
    </row>
    <row r="926" ht="15.75" customHeight="1">
      <c r="B926" s="334"/>
      <c r="E926" s="124"/>
      <c r="F926" s="124"/>
      <c r="G926" s="124"/>
      <c r="H926" s="124"/>
      <c r="I926" s="124"/>
      <c r="J926" s="124"/>
      <c r="K926" s="124"/>
    </row>
    <row r="927" ht="15.75" customHeight="1">
      <c r="B927" s="334"/>
      <c r="E927" s="124"/>
      <c r="F927" s="124"/>
      <c r="G927" s="124"/>
      <c r="H927" s="124"/>
      <c r="I927" s="124"/>
      <c r="J927" s="124"/>
      <c r="K927" s="124"/>
    </row>
    <row r="928" ht="15.75" customHeight="1">
      <c r="B928" s="334"/>
      <c r="E928" s="124"/>
      <c r="F928" s="124"/>
      <c r="G928" s="124"/>
      <c r="H928" s="124"/>
      <c r="I928" s="124"/>
      <c r="J928" s="124"/>
      <c r="K928" s="124"/>
    </row>
    <row r="929" ht="15.75" customHeight="1">
      <c r="B929" s="334"/>
      <c r="E929" s="124"/>
      <c r="F929" s="124"/>
      <c r="G929" s="124"/>
      <c r="H929" s="124"/>
      <c r="I929" s="124"/>
      <c r="J929" s="124"/>
      <c r="K929" s="124"/>
    </row>
    <row r="930" ht="15.75" customHeight="1">
      <c r="B930" s="334"/>
      <c r="E930" s="124"/>
      <c r="F930" s="124"/>
      <c r="G930" s="124"/>
      <c r="H930" s="124"/>
      <c r="I930" s="124"/>
      <c r="J930" s="124"/>
      <c r="K930" s="124"/>
    </row>
    <row r="931" ht="15.75" customHeight="1">
      <c r="B931" s="334"/>
      <c r="E931" s="124"/>
      <c r="F931" s="124"/>
      <c r="G931" s="124"/>
      <c r="H931" s="124"/>
      <c r="I931" s="124"/>
      <c r="J931" s="124"/>
      <c r="K931" s="124"/>
    </row>
    <row r="932" ht="15.75" customHeight="1">
      <c r="B932" s="334"/>
      <c r="E932" s="124"/>
      <c r="F932" s="124"/>
      <c r="G932" s="124"/>
      <c r="H932" s="124"/>
      <c r="I932" s="124"/>
      <c r="J932" s="124"/>
      <c r="K932" s="124"/>
    </row>
    <row r="933" ht="15.75" customHeight="1">
      <c r="B933" s="334"/>
      <c r="E933" s="124"/>
      <c r="F933" s="124"/>
      <c r="G933" s="124"/>
      <c r="H933" s="124"/>
      <c r="I933" s="124"/>
      <c r="J933" s="124"/>
      <c r="K933" s="124"/>
    </row>
    <row r="934" ht="15.75" customHeight="1">
      <c r="B934" s="334"/>
      <c r="E934" s="124"/>
      <c r="F934" s="124"/>
      <c r="G934" s="124"/>
      <c r="H934" s="124"/>
      <c r="I934" s="124"/>
      <c r="J934" s="124"/>
      <c r="K934" s="124"/>
    </row>
    <row r="935" ht="15.75" customHeight="1">
      <c r="B935" s="334"/>
      <c r="E935" s="124"/>
      <c r="F935" s="124"/>
      <c r="G935" s="124"/>
      <c r="H935" s="124"/>
      <c r="I935" s="124"/>
      <c r="J935" s="124"/>
      <c r="K935" s="124"/>
    </row>
    <row r="936" ht="15.75" customHeight="1">
      <c r="B936" s="334"/>
      <c r="E936" s="124"/>
      <c r="F936" s="124"/>
      <c r="G936" s="124"/>
      <c r="H936" s="124"/>
      <c r="I936" s="124"/>
      <c r="J936" s="124"/>
      <c r="K936" s="124"/>
    </row>
    <row r="937" ht="15.75" customHeight="1">
      <c r="B937" s="334"/>
      <c r="E937" s="124"/>
      <c r="F937" s="124"/>
      <c r="G937" s="124"/>
      <c r="H937" s="124"/>
      <c r="I937" s="124"/>
      <c r="J937" s="124"/>
      <c r="K937" s="124"/>
    </row>
    <row r="938" ht="15.75" customHeight="1">
      <c r="B938" s="334"/>
      <c r="E938" s="124"/>
      <c r="F938" s="124"/>
      <c r="G938" s="124"/>
      <c r="H938" s="124"/>
      <c r="I938" s="124"/>
      <c r="J938" s="124"/>
      <c r="K938" s="124"/>
    </row>
    <row r="939" ht="15.75" customHeight="1">
      <c r="B939" s="334"/>
      <c r="E939" s="124"/>
      <c r="F939" s="124"/>
      <c r="G939" s="124"/>
      <c r="H939" s="124"/>
      <c r="I939" s="124"/>
      <c r="J939" s="124"/>
      <c r="K939" s="124"/>
    </row>
    <row r="940" ht="15.75" customHeight="1">
      <c r="B940" s="334"/>
      <c r="E940" s="124"/>
      <c r="F940" s="124"/>
      <c r="G940" s="124"/>
      <c r="H940" s="124"/>
      <c r="I940" s="124"/>
      <c r="J940" s="124"/>
      <c r="K940" s="124"/>
    </row>
    <row r="941" ht="15.75" customHeight="1">
      <c r="B941" s="334"/>
      <c r="E941" s="124"/>
      <c r="F941" s="124"/>
      <c r="G941" s="124"/>
      <c r="H941" s="124"/>
      <c r="I941" s="124"/>
      <c r="J941" s="124"/>
      <c r="K941" s="124"/>
    </row>
    <row r="942" ht="15.75" customHeight="1">
      <c r="B942" s="334"/>
      <c r="E942" s="124"/>
      <c r="F942" s="124"/>
      <c r="G942" s="124"/>
      <c r="H942" s="124"/>
      <c r="I942" s="124"/>
      <c r="J942" s="124"/>
      <c r="K942" s="124"/>
    </row>
    <row r="943" ht="15.75" customHeight="1">
      <c r="B943" s="334"/>
      <c r="E943" s="124"/>
      <c r="F943" s="124"/>
      <c r="G943" s="124"/>
      <c r="H943" s="124"/>
      <c r="I943" s="124"/>
      <c r="J943" s="124"/>
      <c r="K943" s="124"/>
    </row>
    <row r="944" ht="15.75" customHeight="1">
      <c r="B944" s="334"/>
      <c r="E944" s="124"/>
      <c r="F944" s="124"/>
      <c r="G944" s="124"/>
      <c r="H944" s="124"/>
      <c r="I944" s="124"/>
      <c r="J944" s="124"/>
      <c r="K944" s="124"/>
    </row>
    <row r="945" ht="15.75" customHeight="1">
      <c r="B945" s="334"/>
      <c r="E945" s="124"/>
      <c r="F945" s="124"/>
      <c r="G945" s="124"/>
      <c r="H945" s="124"/>
      <c r="I945" s="124"/>
      <c r="J945" s="124"/>
      <c r="K945" s="124"/>
    </row>
    <row r="946" ht="15.75" customHeight="1">
      <c r="B946" s="334"/>
      <c r="E946" s="124"/>
      <c r="F946" s="124"/>
      <c r="G946" s="124"/>
      <c r="H946" s="124"/>
      <c r="I946" s="124"/>
      <c r="J946" s="124"/>
      <c r="K946" s="124"/>
    </row>
    <row r="947" ht="15.75" customHeight="1">
      <c r="B947" s="334"/>
      <c r="E947" s="124"/>
      <c r="F947" s="124"/>
      <c r="G947" s="124"/>
      <c r="H947" s="124"/>
      <c r="I947" s="124"/>
      <c r="J947" s="124"/>
      <c r="K947" s="124"/>
    </row>
    <row r="948" ht="15.75" customHeight="1">
      <c r="B948" s="334"/>
      <c r="E948" s="124"/>
      <c r="F948" s="124"/>
      <c r="G948" s="124"/>
      <c r="H948" s="124"/>
      <c r="I948" s="124"/>
      <c r="J948" s="124"/>
      <c r="K948" s="124"/>
    </row>
    <row r="949" ht="15.75" customHeight="1">
      <c r="B949" s="334"/>
      <c r="E949" s="124"/>
      <c r="F949" s="124"/>
      <c r="G949" s="124"/>
      <c r="H949" s="124"/>
      <c r="I949" s="124"/>
      <c r="J949" s="124"/>
      <c r="K949" s="124"/>
    </row>
    <row r="950" ht="15.75" customHeight="1">
      <c r="B950" s="334"/>
      <c r="E950" s="124"/>
      <c r="F950" s="124"/>
      <c r="G950" s="124"/>
      <c r="H950" s="124"/>
      <c r="I950" s="124"/>
      <c r="J950" s="124"/>
      <c r="K950" s="124"/>
    </row>
    <row r="951" ht="15.75" customHeight="1">
      <c r="B951" s="334"/>
      <c r="E951" s="124"/>
      <c r="F951" s="124"/>
      <c r="G951" s="124"/>
      <c r="H951" s="124"/>
      <c r="I951" s="124"/>
      <c r="J951" s="124"/>
      <c r="K951" s="124"/>
    </row>
    <row r="952" ht="15.75" customHeight="1">
      <c r="B952" s="334"/>
      <c r="E952" s="124"/>
      <c r="F952" s="124"/>
      <c r="G952" s="124"/>
      <c r="H952" s="124"/>
      <c r="I952" s="124"/>
      <c r="J952" s="124"/>
      <c r="K952" s="124"/>
    </row>
    <row r="953" ht="15.75" customHeight="1">
      <c r="B953" s="334"/>
      <c r="E953" s="124"/>
      <c r="F953" s="124"/>
      <c r="G953" s="124"/>
      <c r="H953" s="124"/>
      <c r="I953" s="124"/>
      <c r="J953" s="124"/>
      <c r="K953" s="124"/>
    </row>
    <row r="954" ht="15.75" customHeight="1">
      <c r="B954" s="334"/>
      <c r="E954" s="124"/>
      <c r="F954" s="124"/>
      <c r="G954" s="124"/>
      <c r="H954" s="124"/>
      <c r="I954" s="124"/>
      <c r="J954" s="124"/>
      <c r="K954" s="124"/>
    </row>
    <row r="955" ht="15.75" customHeight="1">
      <c r="B955" s="334"/>
      <c r="E955" s="124"/>
      <c r="F955" s="124"/>
      <c r="G955" s="124"/>
      <c r="H955" s="124"/>
      <c r="I955" s="124"/>
      <c r="J955" s="124"/>
      <c r="K955" s="124"/>
    </row>
    <row r="956" ht="15.75" customHeight="1">
      <c r="B956" s="334"/>
      <c r="E956" s="124"/>
      <c r="F956" s="124"/>
      <c r="G956" s="124"/>
      <c r="H956" s="124"/>
      <c r="I956" s="124"/>
      <c r="J956" s="124"/>
      <c r="K956" s="124"/>
    </row>
    <row r="957" ht="15.75" customHeight="1">
      <c r="B957" s="334"/>
      <c r="E957" s="124"/>
      <c r="F957" s="124"/>
      <c r="G957" s="124"/>
      <c r="H957" s="124"/>
      <c r="I957" s="124"/>
      <c r="J957" s="124"/>
      <c r="K957" s="124"/>
    </row>
    <row r="958" ht="15.75" customHeight="1">
      <c r="B958" s="334"/>
      <c r="E958" s="124"/>
      <c r="F958" s="124"/>
      <c r="G958" s="124"/>
      <c r="H958" s="124"/>
      <c r="I958" s="124"/>
      <c r="J958" s="124"/>
      <c r="K958" s="124"/>
    </row>
    <row r="959" ht="15.75" customHeight="1">
      <c r="B959" s="334"/>
      <c r="E959" s="124"/>
      <c r="F959" s="124"/>
      <c r="G959" s="124"/>
      <c r="H959" s="124"/>
      <c r="I959" s="124"/>
      <c r="J959" s="124"/>
      <c r="K959" s="124"/>
    </row>
    <row r="960" ht="15.75" customHeight="1">
      <c r="B960" s="334"/>
      <c r="E960" s="124"/>
      <c r="F960" s="124"/>
      <c r="G960" s="124"/>
      <c r="H960" s="124"/>
      <c r="I960" s="124"/>
      <c r="J960" s="124"/>
      <c r="K960" s="124"/>
    </row>
    <row r="961" ht="15.75" customHeight="1">
      <c r="B961" s="334"/>
      <c r="E961" s="124"/>
      <c r="F961" s="124"/>
      <c r="G961" s="124"/>
      <c r="H961" s="124"/>
      <c r="I961" s="124"/>
      <c r="J961" s="124"/>
      <c r="K961" s="124"/>
    </row>
    <row r="962" ht="15.75" customHeight="1">
      <c r="B962" s="334"/>
      <c r="E962" s="124"/>
      <c r="F962" s="124"/>
      <c r="G962" s="124"/>
      <c r="H962" s="124"/>
      <c r="I962" s="124"/>
      <c r="J962" s="124"/>
      <c r="K962" s="124"/>
    </row>
    <row r="963" ht="15.75" customHeight="1">
      <c r="B963" s="334"/>
      <c r="E963" s="124"/>
      <c r="F963" s="124"/>
      <c r="G963" s="124"/>
      <c r="H963" s="124"/>
      <c r="I963" s="124"/>
      <c r="J963" s="124"/>
      <c r="K963" s="124"/>
    </row>
    <row r="964" ht="15.75" customHeight="1">
      <c r="B964" s="334"/>
      <c r="E964" s="124"/>
      <c r="F964" s="124"/>
      <c r="G964" s="124"/>
      <c r="H964" s="124"/>
      <c r="I964" s="124"/>
      <c r="J964" s="124"/>
      <c r="K964" s="124"/>
    </row>
    <row r="965" ht="15.75" customHeight="1">
      <c r="B965" s="334"/>
      <c r="E965" s="124"/>
      <c r="F965" s="124"/>
      <c r="G965" s="124"/>
      <c r="H965" s="124"/>
      <c r="I965" s="124"/>
      <c r="J965" s="124"/>
      <c r="K965" s="124"/>
    </row>
    <row r="966" ht="15.75" customHeight="1">
      <c r="B966" s="334"/>
      <c r="E966" s="124"/>
      <c r="F966" s="124"/>
      <c r="G966" s="124"/>
      <c r="H966" s="124"/>
      <c r="I966" s="124"/>
      <c r="J966" s="124"/>
      <c r="K966" s="124"/>
    </row>
    <row r="967" ht="15.75" customHeight="1">
      <c r="B967" s="334"/>
      <c r="E967" s="124"/>
      <c r="F967" s="124"/>
      <c r="G967" s="124"/>
      <c r="H967" s="124"/>
      <c r="I967" s="124"/>
      <c r="J967" s="124"/>
      <c r="K967" s="124"/>
    </row>
    <row r="968" ht="15.75" customHeight="1">
      <c r="B968" s="334"/>
      <c r="E968" s="124"/>
      <c r="F968" s="124"/>
      <c r="G968" s="124"/>
      <c r="H968" s="124"/>
      <c r="I968" s="124"/>
      <c r="J968" s="124"/>
      <c r="K968" s="124"/>
    </row>
    <row r="969" ht="15.75" customHeight="1">
      <c r="B969" s="334"/>
      <c r="E969" s="124"/>
      <c r="F969" s="124"/>
      <c r="G969" s="124"/>
      <c r="H969" s="124"/>
      <c r="I969" s="124"/>
      <c r="J969" s="124"/>
      <c r="K969" s="124"/>
    </row>
    <row r="970" ht="15.75" customHeight="1">
      <c r="B970" s="334"/>
      <c r="E970" s="124"/>
      <c r="F970" s="124"/>
      <c r="G970" s="124"/>
      <c r="H970" s="124"/>
      <c r="I970" s="124"/>
      <c r="J970" s="124"/>
      <c r="K970" s="124"/>
    </row>
    <row r="971" ht="15.75" customHeight="1">
      <c r="B971" s="334"/>
      <c r="E971" s="124"/>
      <c r="F971" s="124"/>
      <c r="G971" s="124"/>
      <c r="H971" s="124"/>
      <c r="I971" s="124"/>
      <c r="J971" s="124"/>
      <c r="K971" s="124"/>
    </row>
    <row r="972" ht="15.75" customHeight="1">
      <c r="B972" s="334"/>
      <c r="E972" s="124"/>
      <c r="F972" s="124"/>
      <c r="G972" s="124"/>
      <c r="H972" s="124"/>
      <c r="I972" s="124"/>
      <c r="J972" s="124"/>
      <c r="K972" s="124"/>
    </row>
    <row r="973" ht="15.75" customHeight="1">
      <c r="B973" s="334"/>
      <c r="E973" s="124"/>
      <c r="F973" s="124"/>
      <c r="G973" s="124"/>
      <c r="H973" s="124"/>
      <c r="I973" s="124"/>
      <c r="J973" s="124"/>
      <c r="K973" s="124"/>
    </row>
    <row r="974" ht="15.75" customHeight="1">
      <c r="B974" s="334"/>
      <c r="E974" s="124"/>
      <c r="F974" s="124"/>
      <c r="G974" s="124"/>
      <c r="H974" s="124"/>
      <c r="I974" s="124"/>
      <c r="J974" s="124"/>
      <c r="K974" s="124"/>
    </row>
    <row r="975" ht="15.75" customHeight="1">
      <c r="B975" s="334"/>
      <c r="E975" s="124"/>
      <c r="F975" s="124"/>
      <c r="G975" s="124"/>
      <c r="H975" s="124"/>
      <c r="I975" s="124"/>
      <c r="J975" s="124"/>
      <c r="K975" s="124"/>
    </row>
    <row r="976" ht="15.75" customHeight="1">
      <c r="B976" s="334"/>
      <c r="E976" s="124"/>
      <c r="F976" s="124"/>
      <c r="G976" s="124"/>
      <c r="H976" s="124"/>
      <c r="I976" s="124"/>
      <c r="J976" s="124"/>
      <c r="K976" s="124"/>
    </row>
    <row r="977" ht="15.75" customHeight="1">
      <c r="B977" s="334"/>
      <c r="E977" s="124"/>
      <c r="F977" s="124"/>
      <c r="G977" s="124"/>
      <c r="H977" s="124"/>
      <c r="I977" s="124"/>
      <c r="J977" s="124"/>
      <c r="K977" s="124"/>
    </row>
    <row r="978" ht="15.75" customHeight="1">
      <c r="B978" s="334"/>
      <c r="E978" s="124"/>
      <c r="F978" s="124"/>
      <c r="G978" s="124"/>
      <c r="H978" s="124"/>
      <c r="I978" s="124"/>
      <c r="J978" s="124"/>
      <c r="K978" s="124"/>
    </row>
    <row r="979" ht="15.75" customHeight="1">
      <c r="B979" s="334"/>
      <c r="E979" s="124"/>
      <c r="F979" s="124"/>
      <c r="G979" s="124"/>
      <c r="H979" s="124"/>
      <c r="I979" s="124"/>
      <c r="J979" s="124"/>
      <c r="K979" s="124"/>
    </row>
    <row r="980" ht="15.75" customHeight="1">
      <c r="B980" s="334"/>
      <c r="E980" s="124"/>
      <c r="F980" s="124"/>
      <c r="G980" s="124"/>
      <c r="H980" s="124"/>
      <c r="I980" s="124"/>
      <c r="J980" s="124"/>
      <c r="K980" s="124"/>
    </row>
    <row r="981" ht="15.75" customHeight="1">
      <c r="B981" s="334"/>
      <c r="E981" s="124"/>
      <c r="F981" s="124"/>
      <c r="G981" s="124"/>
      <c r="H981" s="124"/>
      <c r="I981" s="124"/>
      <c r="J981" s="124"/>
      <c r="K981" s="124"/>
    </row>
    <row r="982" ht="15.75" customHeight="1">
      <c r="B982" s="334"/>
      <c r="E982" s="124"/>
      <c r="F982" s="124"/>
      <c r="G982" s="124"/>
      <c r="H982" s="124"/>
      <c r="I982" s="124"/>
      <c r="J982" s="124"/>
      <c r="K982" s="124"/>
    </row>
    <row r="983" ht="15.75" customHeight="1">
      <c r="B983" s="334"/>
      <c r="E983" s="124"/>
      <c r="F983" s="124"/>
      <c r="G983" s="124"/>
      <c r="H983" s="124"/>
      <c r="I983" s="124"/>
      <c r="J983" s="124"/>
      <c r="K983" s="124"/>
    </row>
    <row r="984" ht="15.75" customHeight="1">
      <c r="B984" s="334"/>
      <c r="E984" s="124"/>
      <c r="F984" s="124"/>
      <c r="G984" s="124"/>
      <c r="H984" s="124"/>
      <c r="I984" s="124"/>
      <c r="J984" s="124"/>
      <c r="K984" s="124"/>
    </row>
    <row r="985" ht="15.75" customHeight="1">
      <c r="B985" s="334"/>
      <c r="E985" s="124"/>
      <c r="F985" s="124"/>
      <c r="G985" s="124"/>
      <c r="H985" s="124"/>
      <c r="I985" s="124"/>
      <c r="J985" s="124"/>
      <c r="K985" s="124"/>
    </row>
    <row r="986" ht="15.75" customHeight="1">
      <c r="B986" s="334"/>
      <c r="E986" s="124"/>
      <c r="F986" s="124"/>
      <c r="G986" s="124"/>
      <c r="H986" s="124"/>
      <c r="I986" s="124"/>
      <c r="J986" s="124"/>
      <c r="K986" s="124"/>
    </row>
    <row r="987" ht="15.75" customHeight="1">
      <c r="B987" s="334"/>
      <c r="E987" s="124"/>
      <c r="F987" s="124"/>
      <c r="G987" s="124"/>
      <c r="H987" s="124"/>
      <c r="I987" s="124"/>
      <c r="J987" s="124"/>
      <c r="K987" s="124"/>
    </row>
    <row r="988" ht="15.75" customHeight="1">
      <c r="B988" s="334"/>
      <c r="E988" s="124"/>
      <c r="F988" s="124"/>
      <c r="G988" s="124"/>
      <c r="H988" s="124"/>
      <c r="I988" s="124"/>
      <c r="J988" s="124"/>
      <c r="K988" s="124"/>
    </row>
    <row r="989" ht="15.75" customHeight="1">
      <c r="B989" s="334"/>
      <c r="E989" s="124"/>
      <c r="F989" s="124"/>
      <c r="G989" s="124"/>
      <c r="H989" s="124"/>
      <c r="I989" s="124"/>
      <c r="J989" s="124"/>
      <c r="K989" s="124"/>
    </row>
    <row r="990" ht="15.75" customHeight="1">
      <c r="B990" s="334"/>
      <c r="E990" s="124"/>
      <c r="F990" s="124"/>
      <c r="G990" s="124"/>
      <c r="H990" s="124"/>
      <c r="I990" s="124"/>
      <c r="J990" s="124"/>
      <c r="K990" s="124"/>
    </row>
    <row r="991" ht="15.75" customHeight="1">
      <c r="B991" s="334"/>
      <c r="E991" s="124"/>
      <c r="F991" s="124"/>
      <c r="G991" s="124"/>
      <c r="H991" s="124"/>
      <c r="I991" s="124"/>
      <c r="J991" s="124"/>
      <c r="K991" s="124"/>
    </row>
    <row r="992" ht="15.75" customHeight="1">
      <c r="B992" s="334"/>
      <c r="E992" s="124"/>
      <c r="F992" s="124"/>
      <c r="G992" s="124"/>
      <c r="H992" s="124"/>
      <c r="I992" s="124"/>
      <c r="J992" s="124"/>
      <c r="K992" s="124"/>
    </row>
    <row r="993" ht="15.75" customHeight="1">
      <c r="B993" s="334"/>
      <c r="E993" s="124"/>
      <c r="F993" s="124"/>
      <c r="G993" s="124"/>
      <c r="H993" s="124"/>
      <c r="I993" s="124"/>
      <c r="J993" s="124"/>
      <c r="K993" s="124"/>
    </row>
    <row r="994" ht="15.75" customHeight="1">
      <c r="B994" s="334"/>
      <c r="E994" s="124"/>
      <c r="F994" s="124"/>
      <c r="G994" s="124"/>
      <c r="H994" s="124"/>
      <c r="I994" s="124"/>
      <c r="J994" s="124"/>
      <c r="K994" s="124"/>
    </row>
    <row r="995" ht="15.75" customHeight="1">
      <c r="B995" s="334"/>
      <c r="E995" s="124"/>
      <c r="F995" s="124"/>
      <c r="G995" s="124"/>
      <c r="H995" s="124"/>
      <c r="I995" s="124"/>
      <c r="J995" s="124"/>
      <c r="K995" s="124"/>
    </row>
    <row r="996" ht="15.75" customHeight="1">
      <c r="B996" s="334"/>
      <c r="E996" s="124"/>
      <c r="F996" s="124"/>
      <c r="G996" s="124"/>
      <c r="H996" s="124"/>
      <c r="I996" s="124"/>
      <c r="J996" s="124"/>
      <c r="K996" s="124"/>
    </row>
    <row r="997" ht="15.75" customHeight="1">
      <c r="B997" s="334"/>
      <c r="E997" s="124"/>
      <c r="F997" s="124"/>
      <c r="G997" s="124"/>
      <c r="H997" s="124"/>
      <c r="I997" s="124"/>
      <c r="J997" s="124"/>
      <c r="K997" s="124"/>
    </row>
    <row r="998" ht="15.75" customHeight="1">
      <c r="B998" s="334"/>
      <c r="E998" s="124"/>
      <c r="F998" s="124"/>
      <c r="G998" s="124"/>
      <c r="H998" s="124"/>
      <c r="I998" s="124"/>
      <c r="J998" s="124"/>
      <c r="K998" s="124"/>
    </row>
    <row r="999" ht="15.75" customHeight="1">
      <c r="B999" s="334"/>
      <c r="E999" s="124"/>
      <c r="F999" s="124"/>
      <c r="G999" s="124"/>
      <c r="H999" s="124"/>
      <c r="I999" s="124"/>
      <c r="J999" s="124"/>
      <c r="K999" s="124"/>
    </row>
    <row r="1000" ht="15.75" customHeight="1">
      <c r="B1000" s="334"/>
      <c r="E1000" s="124"/>
      <c r="F1000" s="124"/>
      <c r="G1000" s="124"/>
      <c r="H1000" s="124"/>
      <c r="I1000" s="124"/>
      <c r="J1000" s="124"/>
      <c r="K1000" s="124"/>
    </row>
    <row r="1001" ht="15.75" customHeight="1">
      <c r="B1001" s="334"/>
      <c r="E1001" s="124"/>
      <c r="F1001" s="124"/>
      <c r="G1001" s="124"/>
      <c r="H1001" s="124"/>
      <c r="I1001" s="124"/>
      <c r="J1001" s="124"/>
      <c r="K1001" s="124"/>
    </row>
  </sheetData>
  <mergeCells count="6">
    <mergeCell ref="A1:K1"/>
    <mergeCell ref="A3:A4"/>
    <mergeCell ref="B3:B4"/>
    <mergeCell ref="C3:E3"/>
    <mergeCell ref="F3:H3"/>
    <mergeCell ref="I3:K3"/>
  </mergeCells>
  <printOptions/>
  <pageMargins bottom="0.75" footer="0.0" header="0.0" left="0.7" right="0.7" top="0.75"/>
  <pageSetup paperSize="9" scale="5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2023-05-10T00:57:01Z</dcterms:created>
  <dc:creator>Microsoft Office User</dc:creator>
</cp:coreProperties>
</file>