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enis &amp; total ikan" sheetId="1" r:id="rId4"/>
    <sheet state="visible" name="Data penjualan " sheetId="2" r:id="rId5"/>
    <sheet state="visible" name="Stok Nagata Tuna" sheetId="3" r:id="rId6"/>
    <sheet state="visible" name="Stok Nagata Tuna (lanjutan)" sheetId="4" r:id="rId7"/>
    <sheet state="visible" name="Stok Yakin Pasifik Tuna" sheetId="5" r:id="rId8"/>
  </sheets>
  <definedNames/>
  <calcPr/>
  <extLst>
    <ext uri="GoogleSheetsCustomDataVersion2">
      <go:sheetsCustomData xmlns:go="http://customooxmlschemas.google.com/" r:id="rId9" roundtripDataChecksum="jgSW+CDBrF8wmIb8w/wHZk9w3gmpCsFE1eUgGEWzwvc="/>
    </ext>
  </extLst>
</workbook>
</file>

<file path=xl/sharedStrings.xml><?xml version="1.0" encoding="utf-8"?>
<sst xmlns="http://schemas.openxmlformats.org/spreadsheetml/2006/main" count="330" uniqueCount="200">
  <si>
    <t>Jenis dan total ikan hasil tangkapan PEMA LAMI KSO (9-12)</t>
  </si>
  <si>
    <t>Tanggal</t>
  </si>
  <si>
    <t>Jumlah Tangkapan menurut Jenis Ikan, ton</t>
  </si>
  <si>
    <t>Cakalang A</t>
  </si>
  <si>
    <t>Cakalang B</t>
  </si>
  <si>
    <t>Cakalang PP</t>
  </si>
  <si>
    <t>Deiho B</t>
  </si>
  <si>
    <t>Deiho PP</t>
  </si>
  <si>
    <t>Baby tuna B</t>
  </si>
  <si>
    <t>Baby tuna PP</t>
  </si>
  <si>
    <t>Batik B / RC</t>
  </si>
  <si>
    <t>PP Campur</t>
  </si>
  <si>
    <t>Total</t>
  </si>
  <si>
    <t>DATA PENJUALAN PEMA LAMI KSO</t>
  </si>
  <si>
    <t>No</t>
  </si>
  <si>
    <t>No. Invoice</t>
  </si>
  <si>
    <t>Penjualan</t>
  </si>
  <si>
    <t>Kuantitas (kg)</t>
  </si>
  <si>
    <t>dari CS</t>
  </si>
  <si>
    <t>HPP</t>
  </si>
  <si>
    <t>EKSPEDISI</t>
  </si>
  <si>
    <t>Pendapatan</t>
  </si>
  <si>
    <t>Proyeksi Laba</t>
  </si>
  <si>
    <t>inv-0109</t>
  </si>
  <si>
    <t>SYUKRI</t>
  </si>
  <si>
    <t>Nagata Tuna</t>
  </si>
  <si>
    <t>inv-01010</t>
  </si>
  <si>
    <t>MINA LANA SENTOSA</t>
  </si>
  <si>
    <t>Yakin Psifik</t>
  </si>
  <si>
    <t>inv-01011</t>
  </si>
  <si>
    <t>ZULFITRAH</t>
  </si>
  <si>
    <t>inv-01012</t>
  </si>
  <si>
    <t>inv-01014</t>
  </si>
  <si>
    <t>kedua CS</t>
  </si>
  <si>
    <t>inv-01013</t>
  </si>
  <si>
    <t>inv-01017</t>
  </si>
  <si>
    <t>inv-01016</t>
  </si>
  <si>
    <t>inv-01015</t>
  </si>
  <si>
    <t>DHARMA</t>
  </si>
  <si>
    <t>inv-01018</t>
  </si>
  <si>
    <t>inv-01019</t>
  </si>
  <si>
    <t>NNS BERKAH JAYA</t>
  </si>
  <si>
    <t>inv-01020</t>
  </si>
  <si>
    <t>inv-01021</t>
  </si>
  <si>
    <t>inv-01022</t>
  </si>
  <si>
    <t>inv-01023</t>
  </si>
  <si>
    <t>inv-01024</t>
  </si>
  <si>
    <t>WILLY</t>
  </si>
  <si>
    <t>inv-01025</t>
  </si>
  <si>
    <t>inv-01026</t>
  </si>
  <si>
    <t>inv-0101</t>
  </si>
  <si>
    <t>KHOMAR</t>
  </si>
  <si>
    <t>inv-0103</t>
  </si>
  <si>
    <t>inv-0104</t>
  </si>
  <si>
    <t>inv-0102</t>
  </si>
  <si>
    <t>inv-0105</t>
  </si>
  <si>
    <t>inv-0106 (L)</t>
  </si>
  <si>
    <t>WIRDANI</t>
  </si>
  <si>
    <t>inv-0107 (L)</t>
  </si>
  <si>
    <t>inv-0208-L</t>
  </si>
  <si>
    <t>D SEA SDN BHD</t>
  </si>
  <si>
    <t>inv-0209</t>
  </si>
  <si>
    <t>PT WARDANI PRIMA</t>
  </si>
  <si>
    <t>PEMA - LAMI</t>
  </si>
  <si>
    <t>SIZE</t>
  </si>
  <si>
    <t>JUNI</t>
  </si>
  <si>
    <t>JULI</t>
  </si>
  <si>
    <t>AGUSTUS</t>
  </si>
  <si>
    <t>SEPTEMBER</t>
  </si>
  <si>
    <t>OKTOBER</t>
  </si>
  <si>
    <t xml:space="preserve">TOTAL       </t>
  </si>
  <si>
    <t>13 (sisa jadi)</t>
  </si>
  <si>
    <t>Muat 20</t>
  </si>
  <si>
    <t>Muat 7</t>
  </si>
  <si>
    <t>12 (sisa jadi)</t>
  </si>
  <si>
    <t>Muat 21</t>
  </si>
  <si>
    <t>Muat 26</t>
  </si>
  <si>
    <t>Muat 4</t>
  </si>
  <si>
    <t>4 (sisa jadi)</t>
  </si>
  <si>
    <t>Muat 18</t>
  </si>
  <si>
    <t>22 (sisa jadi)</t>
  </si>
  <si>
    <t>Muat 27</t>
  </si>
  <si>
    <t>1 (Sisa Jadi</t>
  </si>
  <si>
    <t>Dijual tgl 4</t>
  </si>
  <si>
    <t>29 (sisa jadi)</t>
  </si>
  <si>
    <t>Muat 1</t>
  </si>
  <si>
    <t>Muat 13</t>
  </si>
  <si>
    <t>23 (sisa jadi)</t>
  </si>
  <si>
    <t>CAKALANG A 100-200</t>
  </si>
  <si>
    <t>CAKALANG A 200-300</t>
  </si>
  <si>
    <t>CAKALANG A 300-500</t>
  </si>
  <si>
    <t>TOTAL CKL A</t>
  </si>
  <si>
    <t>CAKALANG A 500-1000</t>
  </si>
  <si>
    <t>CAKALANG B 100-200</t>
  </si>
  <si>
    <t>CAKALANG B 200-300</t>
  </si>
  <si>
    <t>CAKALANG B 300-500</t>
  </si>
  <si>
    <t>CAKALANG B 500-1000</t>
  </si>
  <si>
    <t>TOTAL CKL B</t>
  </si>
  <si>
    <t>CAKALANG B 1000-UP</t>
  </si>
  <si>
    <t>CAKALANG PC 200-300</t>
  </si>
  <si>
    <t>CAKALANG PC 300-500</t>
  </si>
  <si>
    <t>TOTAL CKL PC</t>
  </si>
  <si>
    <t>CAKALANG PC 500-1000</t>
  </si>
  <si>
    <t>CAKALANG PP 100-200</t>
  </si>
  <si>
    <t>CAKALANG PP 200-300</t>
  </si>
  <si>
    <t>CAKALANG PP 300-500</t>
  </si>
  <si>
    <t>CAKALANG PP 500-1000</t>
  </si>
  <si>
    <t>TOTAL CKL PP</t>
  </si>
  <si>
    <t>CAKALANG PP 1000-UP</t>
  </si>
  <si>
    <t>DEIHO A 200-300</t>
  </si>
  <si>
    <t>DEIHO A 300-500</t>
  </si>
  <si>
    <t>TOTAL DH A</t>
  </si>
  <si>
    <t>DEIHO A 500-1000</t>
  </si>
  <si>
    <t>DEIHO B 100-200</t>
  </si>
  <si>
    <t>DEIHO B 200-300</t>
  </si>
  <si>
    <t>DEIHO B 300-500</t>
  </si>
  <si>
    <t>TOTAL DH B</t>
  </si>
  <si>
    <t>DEIHO B 500-1000</t>
  </si>
  <si>
    <t>DEIHO PP 100-200</t>
  </si>
  <si>
    <t>DEIHO PP 200-300</t>
  </si>
  <si>
    <t>DEIHO PP 300-500</t>
  </si>
  <si>
    <t>TOTAL DH PP</t>
  </si>
  <si>
    <t>DEIHO PP 500-1000</t>
  </si>
  <si>
    <t>BABY TUNA A 1000-UP</t>
  </si>
  <si>
    <t>BABY TUNA B 200-300</t>
  </si>
  <si>
    <t>BABY TUNA B 300-500</t>
  </si>
  <si>
    <t>BABY TUNA B 500-1000</t>
  </si>
  <si>
    <t>TOTAL BT B</t>
  </si>
  <si>
    <t>BABY TUNA B 1000-UP</t>
  </si>
  <si>
    <t>BABY TUNA PP 200-300</t>
  </si>
  <si>
    <t>BABY TUNA PP 300-500</t>
  </si>
  <si>
    <t>BABY TUNA PP 500-1000</t>
  </si>
  <si>
    <t>TOTAL BT PP</t>
  </si>
  <si>
    <t>BABY TUNA PP 1000-UP</t>
  </si>
  <si>
    <t>BABY TUNA PC 300-500</t>
  </si>
  <si>
    <t>TOTAL BATIK B</t>
  </si>
  <si>
    <t>BATIK B 300-500</t>
  </si>
  <si>
    <t>BATIK PP 300-500</t>
  </si>
  <si>
    <t>Total PP Campur</t>
  </si>
  <si>
    <t>PP CAMPUR</t>
  </si>
  <si>
    <t>Total Cincang</t>
  </si>
  <si>
    <t>Cincang</t>
  </si>
  <si>
    <t>TOTAL</t>
  </si>
  <si>
    <t>SISA</t>
  </si>
  <si>
    <t>TOTAL BARANG MASUK</t>
  </si>
  <si>
    <t>Baby Tuna B</t>
  </si>
  <si>
    <t>Baby Tuna PP</t>
  </si>
  <si>
    <t>Batik B</t>
  </si>
  <si>
    <t>Campur bagus</t>
  </si>
  <si>
    <t>NOVEMBER</t>
  </si>
  <si>
    <t>DESEMBER</t>
  </si>
  <si>
    <t xml:space="preserve">Stock tgl 2 </t>
  </si>
  <si>
    <t>2 (sisa jadi)</t>
  </si>
  <si>
    <t>Muat 9</t>
  </si>
  <si>
    <t>13 (Sisa Jadi)</t>
  </si>
  <si>
    <t>Muat 17</t>
  </si>
  <si>
    <t>CAKALANG A 1000-UP</t>
  </si>
  <si>
    <t>BATIK A 500-1000</t>
  </si>
  <si>
    <t>AGT</t>
  </si>
  <si>
    <t>SEPT</t>
  </si>
  <si>
    <t>OKT</t>
  </si>
  <si>
    <t>Nov</t>
  </si>
  <si>
    <t xml:space="preserve"> </t>
  </si>
  <si>
    <t>muat 9</t>
  </si>
  <si>
    <t>muat 21</t>
  </si>
  <si>
    <t>13 S</t>
  </si>
  <si>
    <t>13 M</t>
  </si>
  <si>
    <t>CAKALANG A 100-300</t>
  </si>
  <si>
    <t>CAKALANG A 1000-2000</t>
  </si>
  <si>
    <t>CAKALANG B 100-300</t>
  </si>
  <si>
    <t>CAKALANG B 1000-2000</t>
  </si>
  <si>
    <t>CAKALANG PP 100-300</t>
  </si>
  <si>
    <t>CAKALANG PP 1000-2000</t>
  </si>
  <si>
    <t>DEIHO A 200-400</t>
  </si>
  <si>
    <t>DEIHO A 400-600</t>
  </si>
  <si>
    <t>DEIHO A 600-900</t>
  </si>
  <si>
    <t>DEIHO B 200-400</t>
  </si>
  <si>
    <t>DEIHO B 400-600</t>
  </si>
  <si>
    <t>DEIHO B 600-900</t>
  </si>
  <si>
    <t>DEIHO PP 200-400</t>
  </si>
  <si>
    <t>DEIHO PP 400-600</t>
  </si>
  <si>
    <t>DEIHO PP 600-1200</t>
  </si>
  <si>
    <t>BABY TUNA A 100-300</t>
  </si>
  <si>
    <t>BABY TUNA A 300-500</t>
  </si>
  <si>
    <t>BABY TUNA A 500-1000</t>
  </si>
  <si>
    <t>BABY TUNA A 1000-2000</t>
  </si>
  <si>
    <t>BABY TUNA B 100-300</t>
  </si>
  <si>
    <t>BABY TUNA B 1000-2000</t>
  </si>
  <si>
    <t>BABY TUNA PP 100-300</t>
  </si>
  <si>
    <t>BABY TUNA PP 1000-2000</t>
  </si>
  <si>
    <t>BATIK B 100-300</t>
  </si>
  <si>
    <t>BATIK B 500-1000</t>
  </si>
  <si>
    <t>BATIK PP 100-300</t>
  </si>
  <si>
    <t>BATIK PP 500-1000</t>
  </si>
  <si>
    <t>RC</t>
  </si>
  <si>
    <t>Layang PP</t>
  </si>
  <si>
    <t xml:space="preserve">Cakalang </t>
  </si>
  <si>
    <t xml:space="preserve">Deiho </t>
  </si>
  <si>
    <t xml:space="preserve">Baby Tuna </t>
  </si>
  <si>
    <t xml:space="preserve">Batik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</si>
</sst>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_-* #,##0_-;\-* #,##0_-;_-* &quot;-&quot;_-;_-@"/>
    <numFmt numFmtId="165" formatCode="_(* #,##0_);_(* \(#,##0\);_(* &quot;-&quot;_);_(@_)"/>
    <numFmt numFmtId="166" formatCode="d/m/yyyy"/>
    <numFmt numFmtId="167" formatCode="#,##0.0\ &quot;Kg&quot;"/>
    <numFmt numFmtId="168" formatCode="00.0\ &quot;Kg&quot;"/>
    <numFmt numFmtId="169" formatCode="_(* #,##0.0_);_(* \(#,##0.0\);_(* &quot;-&quot;_);_(@_)"/>
    <numFmt numFmtId="170" formatCode="#,000.0\ &quot;Kg&quot;"/>
    <numFmt numFmtId="171" formatCode="#,##0.0"/>
    <numFmt numFmtId="172" formatCode="#.##"/>
    <numFmt numFmtId="173" formatCode="0.0"/>
    <numFmt numFmtId="174" formatCode="#.####"/>
    <numFmt numFmtId="175" formatCode="#.#"/>
    <numFmt numFmtId="176" formatCode="_(&quot;Rp&quot;* #,##0_);_(&quot;Rp&quot;* \(#,##0\);_(&quot;Rp&quot;* &quot;-&quot;_);_(@_)"/>
  </numFmts>
  <fonts count="3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0.0"/>
      <color rgb="FFFFFFFF"/>
      <name val="Calibri"/>
    </font>
    <font/>
    <font>
      <sz val="10.0"/>
      <color theme="1"/>
      <name val="Calibri"/>
    </font>
    <font>
      <sz val="11.0"/>
      <color theme="1"/>
      <name val="Calibri"/>
    </font>
    <font>
      <sz val="10.0"/>
      <color rgb="FF000000"/>
      <name val="Calibri"/>
    </font>
    <font>
      <b/>
      <sz val="10.0"/>
      <color theme="1"/>
      <name val="Calibri"/>
    </font>
    <font>
      <b/>
      <sz val="10.0"/>
      <color rgb="FF000000"/>
      <name val="Calibri"/>
    </font>
    <font>
      <b/>
      <sz val="11.0"/>
      <color theme="1"/>
      <name val="Calibri"/>
    </font>
    <font>
      <b/>
      <sz val="18.0"/>
      <color theme="1"/>
      <name val="Calibri"/>
    </font>
    <font>
      <sz val="11.0"/>
      <color rgb="FF0070C0"/>
      <name val="Calibri"/>
    </font>
    <font>
      <b/>
      <sz val="11.0"/>
      <color rgb="FF0070C0"/>
      <name val="Calibri"/>
    </font>
    <font>
      <b/>
      <sz val="11.0"/>
      <color rgb="FF00B050"/>
      <name val="Calibri"/>
    </font>
    <font>
      <sz val="11.0"/>
      <color rgb="FFFF0000"/>
      <name val="Calibri"/>
    </font>
    <font>
      <sz val="11.0"/>
      <color rgb="FFE36C09"/>
      <name val="Calibri"/>
    </font>
    <font>
      <b/>
      <sz val="11.0"/>
      <color rgb="FFE36C09"/>
      <name val="Calibri"/>
    </font>
    <font>
      <b/>
      <sz val="11.0"/>
      <color rgb="FFFF0000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4.0"/>
      <color theme="1"/>
      <name val="Calibri"/>
    </font>
    <font>
      <sz val="11.0"/>
      <color theme="5"/>
      <name val="Calibri"/>
    </font>
    <font>
      <sz val="11.0"/>
      <color rgb="FF2F5496"/>
      <name val="Calibri"/>
    </font>
    <font>
      <b/>
      <sz val="11.0"/>
      <color rgb="FF2F5496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006699"/>
        <bgColor rgb="FF006699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  <fill>
      <patternFill patternType="solid">
        <fgColor rgb="FFE7E6E6"/>
        <bgColor rgb="FFE7E6E6"/>
      </patternFill>
    </fill>
  </fills>
  <borders count="1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/>
      <right/>
      <top style="double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double">
        <color rgb="FF000000"/>
      </right>
      <bottom style="medium">
        <color rgb="FF000000"/>
      </bottom>
    </border>
    <border>
      <left style="double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/>
    </border>
    <border>
      <left style="medium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</border>
    <border>
      <left style="double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double">
        <color rgb="FF000000"/>
      </right>
      <top style="hair">
        <color rgb="FF000000"/>
      </top>
    </border>
    <border>
      <left style="medium">
        <color rgb="FF000000"/>
      </left>
      <right style="double">
        <color rgb="FF000000"/>
      </right>
      <top style="medium">
        <color rgb="FF000000"/>
      </top>
      <bottom style="hair">
        <color rgb="FF000000"/>
      </bottom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double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double">
        <color rgb="FF000000"/>
      </left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top style="double">
        <color rgb="FF000000"/>
      </top>
    </border>
    <border>
      <left/>
      <right style="medium">
        <color rgb="FF000000"/>
      </right>
      <top style="double">
        <color rgb="FF000000"/>
      </top>
      <bottom style="medium">
        <color rgb="FF000000"/>
      </bottom>
    </border>
    <border>
      <left/>
      <right/>
      <top/>
      <bottom style="double">
        <color rgb="FF000000"/>
      </bottom>
    </border>
    <border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 style="double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top style="double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hair">
        <color rgb="FF000000"/>
      </bottom>
    </border>
    <border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hair">
        <color rgb="FF000000"/>
      </bottom>
    </border>
    <border>
      <right style="double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medium">
        <color rgb="FF000000"/>
      </left>
      <top style="hair">
        <color rgb="FF000000"/>
      </top>
    </border>
    <border>
      <left style="medium">
        <color rgb="FF000000"/>
      </left>
      <right/>
      <top style="hair">
        <color rgb="FF000000"/>
      </top>
      <bottom/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hair">
        <color rgb="FF000000"/>
      </top>
    </border>
    <border>
      <right style="medium">
        <color rgb="FF000000"/>
      </right>
    </border>
    <border>
      <left/>
      <right style="medium">
        <color rgb="FF000000"/>
      </right>
      <top style="hair">
        <color rgb="FF000000"/>
      </top>
      <bottom/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/>
      <top/>
      <bottom style="medium">
        <color rgb="FF000000"/>
      </bottom>
    </border>
    <border>
      <left/>
      <right/>
      <top/>
      <bottom style="hair">
        <color rgb="FF000000"/>
      </bottom>
    </border>
    <border>
      <left style="double">
        <color rgb="FF000000"/>
      </left>
      <right style="thick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/>
      <top/>
      <bottom style="double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hair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164" xfId="0" applyAlignment="1" applyBorder="1" applyFont="1" applyNumberForma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164" xfId="0" applyAlignment="1" applyBorder="1" applyFont="1" applyNumberFormat="1">
      <alignment horizontal="center" shrinkToFit="0" vertical="center" wrapText="1"/>
    </xf>
    <xf borderId="6" fillId="3" fontId="4" numFmtId="14" xfId="0" applyAlignment="1" applyBorder="1" applyFill="1" applyFont="1" applyNumberFormat="1">
      <alignment horizontal="center" shrinkToFit="0" vertical="center" wrapText="1"/>
    </xf>
    <xf borderId="6" fillId="3" fontId="4" numFmtId="164" xfId="0" applyAlignment="1" applyBorder="1" applyFont="1" applyNumberFormat="1">
      <alignment horizontal="center" shrinkToFit="0" vertical="center" wrapText="1"/>
    </xf>
    <xf borderId="6" fillId="4" fontId="4" numFmtId="164" xfId="0" applyAlignment="1" applyBorder="1" applyFill="1" applyFont="1" applyNumberFormat="1">
      <alignment horizontal="center" shrinkToFit="0" vertical="center" wrapText="1"/>
    </xf>
    <xf borderId="7" fillId="3" fontId="5" numFmtId="0" xfId="0" applyBorder="1" applyFont="1"/>
    <xf borderId="6" fillId="3" fontId="4" numFmtId="14" xfId="0" applyAlignment="1" applyBorder="1" applyFont="1" applyNumberFormat="1">
      <alignment horizontal="center" vertical="center"/>
    </xf>
    <xf borderId="6" fillId="5" fontId="6" numFmtId="164" xfId="0" applyAlignment="1" applyBorder="1" applyFill="1" applyFont="1" applyNumberFormat="1">
      <alignment horizontal="center" vertical="center"/>
    </xf>
    <xf borderId="6" fillId="3" fontId="6" numFmtId="164" xfId="0" applyAlignment="1" applyBorder="1" applyFont="1" applyNumberFormat="1">
      <alignment horizontal="center" vertical="center"/>
    </xf>
    <xf borderId="6" fillId="4" fontId="7" numFmtId="14" xfId="0" applyAlignment="1" applyBorder="1" applyFont="1" applyNumberFormat="1">
      <alignment horizontal="center" vertical="center"/>
    </xf>
    <xf borderId="6" fillId="4" fontId="8" numFmtId="164" xfId="0" applyAlignment="1" applyBorder="1" applyFont="1" applyNumberFormat="1">
      <alignment horizontal="center" vertical="center"/>
    </xf>
    <xf borderId="6" fillId="4" fontId="7" numFmtId="164" xfId="0" applyAlignment="1" applyBorder="1" applyFont="1" applyNumberFormat="1">
      <alignment horizontal="center" shrinkToFit="0" vertical="center" wrapText="1"/>
    </xf>
    <xf borderId="0" fillId="0" fontId="9" numFmtId="0" xfId="0" applyFont="1"/>
    <xf borderId="6" fillId="5" fontId="6" numFmtId="14" xfId="0" applyAlignment="1" applyBorder="1" applyFont="1" applyNumberFormat="1">
      <alignment horizontal="right" vertical="center"/>
    </xf>
    <xf borderId="0" fillId="0" fontId="4" numFmtId="0" xfId="0" applyFont="1"/>
    <xf borderId="0" fillId="0" fontId="4" numFmtId="164" xfId="0" applyFont="1" applyNumberFormat="1"/>
    <xf borderId="0" fillId="0" fontId="5" numFmtId="1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164" xfId="0" applyFont="1" applyNumberFormat="1"/>
    <xf borderId="0" fillId="0" fontId="5" numFmtId="0" xfId="0" applyFont="1"/>
    <xf borderId="6" fillId="6" fontId="9" numFmtId="0" xfId="0" applyAlignment="1" applyBorder="1" applyFill="1" applyFont="1">
      <alignment horizontal="center" vertical="center"/>
    </xf>
    <xf borderId="6" fillId="6" fontId="9" numFmtId="14" xfId="0" applyAlignment="1" applyBorder="1" applyFont="1" applyNumberFormat="1">
      <alignment horizontal="center" vertical="center"/>
    </xf>
    <xf borderId="6" fillId="6" fontId="9" numFmtId="164" xfId="0" applyAlignment="1" applyBorder="1" applyFont="1" applyNumberFormat="1">
      <alignment horizontal="center" vertical="center"/>
    </xf>
    <xf borderId="0" fillId="0" fontId="9" numFmtId="164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0" fontId="5" numFmtId="14" xfId="0" applyAlignment="1" applyBorder="1" applyFont="1" applyNumberFormat="1">
      <alignment horizontal="center" vertical="center"/>
    </xf>
    <xf borderId="6" fillId="0" fontId="5" numFmtId="16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left" vertical="center"/>
    </xf>
    <xf borderId="6" fillId="0" fontId="5" numFmtId="165" xfId="0" applyAlignment="1" applyBorder="1" applyFont="1" applyNumberFormat="1">
      <alignment horizontal="center" vertical="center"/>
    </xf>
    <xf borderId="6" fillId="0" fontId="5" numFmtId="164" xfId="0" applyAlignment="1" applyBorder="1" applyFont="1" applyNumberFormat="1">
      <alignment horizontal="center" vertical="center"/>
    </xf>
    <xf borderId="6" fillId="0" fontId="5" numFmtId="164" xfId="0" applyAlignment="1" applyBorder="1" applyFont="1" applyNumberFormat="1">
      <alignment horizontal="center" shrinkToFit="0" vertical="center" wrapText="1"/>
    </xf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6" fillId="0" fontId="5" numFmtId="14" xfId="0" applyAlignment="1" applyBorder="1" applyFont="1" applyNumberFormat="1">
      <alignment horizontal="center"/>
    </xf>
    <xf borderId="6" fillId="0" fontId="5" numFmtId="165" xfId="0" applyAlignment="1" applyBorder="1" applyFont="1" applyNumberFormat="1">
      <alignment horizontal="center"/>
    </xf>
    <xf borderId="6" fillId="0" fontId="5" numFmtId="3" xfId="0" applyAlignment="1" applyBorder="1" applyFont="1" applyNumberFormat="1">
      <alignment horizontal="center"/>
    </xf>
    <xf borderId="6" fillId="0" fontId="5" numFmtId="164" xfId="0" applyAlignment="1" applyBorder="1" applyFont="1" applyNumberFormat="1">
      <alignment horizontal="center"/>
    </xf>
    <xf borderId="6" fillId="0" fontId="5" numFmtId="164" xfId="0" applyAlignment="1" applyBorder="1" applyFont="1" applyNumberFormat="1">
      <alignment shrinkToFit="0" wrapText="1"/>
    </xf>
    <xf borderId="6" fillId="0" fontId="5" numFmtId="164" xfId="0" applyBorder="1" applyFont="1" applyNumberFormat="1"/>
    <xf borderId="6" fillId="0" fontId="5" numFmtId="0" xfId="0" applyAlignment="1" applyBorder="1" applyFont="1">
      <alignment horizontal="center"/>
    </xf>
    <xf borderId="6" fillId="0" fontId="5" numFmtId="165" xfId="0" applyBorder="1" applyFont="1" applyNumberFormat="1"/>
    <xf borderId="1" fillId="0" fontId="5" numFmtId="14" xfId="0" applyAlignment="1" applyBorder="1" applyFont="1" applyNumberFormat="1">
      <alignment horizontal="center"/>
    </xf>
    <xf borderId="1" fillId="0" fontId="5" numFmtId="0" xfId="0" applyBorder="1" applyFont="1"/>
    <xf borderId="1" fillId="0" fontId="5" numFmtId="165" xfId="0" applyAlignment="1" applyBorder="1" applyFont="1" applyNumberFormat="1">
      <alignment horizontal="center"/>
    </xf>
    <xf borderId="1" fillId="0" fontId="5" numFmtId="3" xfId="0" applyAlignment="1" applyBorder="1" applyFont="1" applyNumberFormat="1">
      <alignment horizontal="center"/>
    </xf>
    <xf borderId="1" fillId="0" fontId="5" numFmtId="164" xfId="0" applyBorder="1" applyFont="1" applyNumberFormat="1"/>
    <xf borderId="1" fillId="0" fontId="5" numFmtId="165" xfId="0" applyBorder="1" applyFont="1" applyNumberFormat="1"/>
    <xf borderId="6" fillId="0" fontId="5" numFmtId="166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left" vertical="bottom"/>
    </xf>
    <xf borderId="4" fillId="0" fontId="5" numFmtId="3" xfId="0" applyAlignment="1" applyBorder="1" applyFont="1" applyNumberFormat="1">
      <alignment horizontal="right" vertical="bottom"/>
    </xf>
    <xf borderId="4" fillId="0" fontId="5" numFmtId="3" xfId="0" applyAlignment="1" applyBorder="1" applyFont="1" applyNumberFormat="1">
      <alignment horizontal="center" vertical="bottom"/>
    </xf>
    <xf borderId="6" fillId="0" fontId="5" numFmtId="164" xfId="0" applyAlignment="1" applyBorder="1" applyFont="1" applyNumberFormat="1">
      <alignment readingOrder="0"/>
    </xf>
    <xf borderId="5" fillId="0" fontId="5" numFmtId="14" xfId="0" applyAlignment="1" applyBorder="1" applyFont="1" applyNumberFormat="1">
      <alignment horizontal="center" vertical="bottom"/>
    </xf>
    <xf borderId="8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left" vertical="bottom"/>
    </xf>
    <xf borderId="8" fillId="0" fontId="5" numFmtId="3" xfId="0" applyAlignment="1" applyBorder="1" applyFont="1" applyNumberFormat="1">
      <alignment horizontal="right" vertical="bottom"/>
    </xf>
    <xf borderId="8" fillId="0" fontId="5" numFmtId="3" xfId="0" applyAlignment="1" applyBorder="1" applyFont="1" applyNumberFormat="1">
      <alignment horizontal="center" vertical="bottom"/>
    </xf>
    <xf borderId="6" fillId="0" fontId="9" numFmtId="164" xfId="0" applyBorder="1" applyFont="1" applyNumberFormat="1"/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0" fillId="0" fontId="10" numFmtId="167" xfId="0" applyAlignment="1" applyFont="1" applyNumberFormat="1">
      <alignment horizontal="center" vertical="center"/>
    </xf>
    <xf borderId="0" fillId="0" fontId="5" numFmtId="167" xfId="0" applyAlignment="1" applyFont="1" applyNumberFormat="1">
      <alignment horizontal="center"/>
    </xf>
    <xf borderId="9" fillId="7" fontId="9" numFmtId="0" xfId="0" applyAlignment="1" applyBorder="1" applyFill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0" fillId="8" fontId="9" numFmtId="0" xfId="0" applyAlignment="1" applyBorder="1" applyFill="1" applyFont="1">
      <alignment horizontal="center" vertical="center"/>
    </xf>
    <xf borderId="10" fillId="9" fontId="9" numFmtId="0" xfId="0" applyAlignment="1" applyBorder="1" applyFill="1" applyFont="1">
      <alignment horizontal="center" vertical="center"/>
    </xf>
    <xf borderId="13" fillId="7" fontId="9" numFmtId="0" xfId="0" applyAlignment="1" applyBorder="1" applyFont="1">
      <alignment vertical="center"/>
    </xf>
    <xf borderId="14" fillId="7" fontId="9" numFmtId="0" xfId="0" applyAlignment="1" applyBorder="1" applyFont="1">
      <alignment horizontal="center" shrinkToFit="0" vertical="center" wrapText="1"/>
    </xf>
    <xf borderId="0" fillId="0" fontId="9" numFmtId="167" xfId="0" applyAlignment="1" applyFont="1" applyNumberFormat="1">
      <alignment horizontal="center" shrinkToFit="0" vertical="center" wrapText="1"/>
    </xf>
    <xf borderId="15" fillId="0" fontId="3" numFmtId="0" xfId="0" applyBorder="1" applyFont="1"/>
    <xf borderId="16" fillId="7" fontId="9" numFmtId="0" xfId="0" applyAlignment="1" applyBorder="1" applyFont="1">
      <alignment horizontal="center" vertical="center"/>
    </xf>
    <xf borderId="16" fillId="10" fontId="9" numFmtId="0" xfId="0" applyAlignment="1" applyBorder="1" applyFill="1" applyFont="1">
      <alignment horizontal="center" vertical="center"/>
    </xf>
    <xf borderId="16" fillId="11" fontId="9" numFmtId="0" xfId="0" applyAlignment="1" applyBorder="1" applyFill="1" applyFont="1">
      <alignment horizontal="center" vertical="center"/>
    </xf>
    <xf borderId="16" fillId="8" fontId="9" numFmtId="0" xfId="0" applyAlignment="1" applyBorder="1" applyFont="1">
      <alignment horizontal="center" vertical="center"/>
    </xf>
    <xf borderId="16" fillId="9" fontId="9" numFmtId="0" xfId="0" applyAlignment="1" applyBorder="1" applyFont="1">
      <alignment horizontal="center" vertical="center"/>
    </xf>
    <xf borderId="16" fillId="12" fontId="9" numFmtId="0" xfId="0" applyAlignment="1" applyBorder="1" applyFill="1" applyFont="1">
      <alignment horizontal="center" vertical="center"/>
    </xf>
    <xf borderId="16" fillId="13" fontId="9" numFmtId="0" xfId="0" applyAlignment="1" applyBorder="1" applyFill="1" applyFont="1">
      <alignment horizontal="center" vertical="center"/>
    </xf>
    <xf borderId="17" fillId="0" fontId="3" numFmtId="0" xfId="0" applyBorder="1" applyFont="1"/>
    <xf borderId="18" fillId="0" fontId="11" numFmtId="0" xfId="0" applyBorder="1" applyFont="1"/>
    <xf borderId="19" fillId="0" fontId="11" numFmtId="3" xfId="0" applyAlignment="1" applyBorder="1" applyFont="1" applyNumberFormat="1">
      <alignment horizontal="center" vertical="center"/>
    </xf>
    <xf borderId="20" fillId="10" fontId="11" numFmtId="3" xfId="0" applyAlignment="1" applyBorder="1" applyFont="1" applyNumberFormat="1">
      <alignment horizontal="center" vertical="center"/>
    </xf>
    <xf borderId="20" fillId="11" fontId="11" numFmtId="3" xfId="0" applyAlignment="1" applyBorder="1" applyFont="1" applyNumberFormat="1">
      <alignment horizontal="center" vertical="center"/>
    </xf>
    <xf borderId="20" fillId="12" fontId="11" numFmtId="3" xfId="0" applyAlignment="1" applyBorder="1" applyFont="1" applyNumberFormat="1">
      <alignment horizontal="center" vertical="center"/>
    </xf>
    <xf borderId="20" fillId="13" fontId="11" numFmtId="3" xfId="0" applyAlignment="1" applyBorder="1" applyFont="1" applyNumberFormat="1">
      <alignment horizontal="center" vertical="center"/>
    </xf>
    <xf borderId="21" fillId="0" fontId="12" numFmtId="168" xfId="0" applyAlignment="1" applyBorder="1" applyFont="1" applyNumberFormat="1">
      <alignment horizontal="center" vertical="center"/>
    </xf>
    <xf borderId="0" fillId="0" fontId="13" numFmtId="167" xfId="0" applyAlignment="1" applyFont="1" applyNumberFormat="1">
      <alignment horizontal="center" vertical="center"/>
    </xf>
    <xf borderId="0" fillId="0" fontId="12" numFmtId="167" xfId="0" applyAlignment="1" applyFont="1" applyNumberFormat="1">
      <alignment horizontal="center" vertical="center"/>
    </xf>
    <xf borderId="22" fillId="0" fontId="11" numFmtId="0" xfId="0" applyBorder="1" applyFont="1"/>
    <xf borderId="23" fillId="0" fontId="11" numFmtId="3" xfId="0" applyAlignment="1" applyBorder="1" applyFont="1" applyNumberFormat="1">
      <alignment horizontal="center" vertical="center"/>
    </xf>
    <xf borderId="23" fillId="10" fontId="11" numFmtId="3" xfId="0" applyAlignment="1" applyBorder="1" applyFont="1" applyNumberFormat="1">
      <alignment horizontal="center" vertical="center"/>
    </xf>
    <xf borderId="23" fillId="11" fontId="11" numFmtId="3" xfId="0" applyAlignment="1" applyBorder="1" applyFont="1" applyNumberFormat="1">
      <alignment horizontal="center" vertical="center"/>
    </xf>
    <xf borderId="23" fillId="12" fontId="11" numFmtId="3" xfId="0" applyAlignment="1" applyBorder="1" applyFont="1" applyNumberFormat="1">
      <alignment horizontal="center" vertical="center"/>
    </xf>
    <xf borderId="23" fillId="13" fontId="11" numFmtId="3" xfId="0" applyAlignment="1" applyBorder="1" applyFont="1" applyNumberFormat="1">
      <alignment horizontal="center" vertical="center"/>
    </xf>
    <xf borderId="24" fillId="0" fontId="12" numFmtId="168" xfId="0" applyAlignment="1" applyBorder="1" applyFont="1" applyNumberFormat="1">
      <alignment horizontal="center" vertical="center"/>
    </xf>
    <xf borderId="25" fillId="0" fontId="11" numFmtId="0" xfId="0" applyBorder="1" applyFont="1"/>
    <xf borderId="26" fillId="0" fontId="11" numFmtId="3" xfId="0" applyAlignment="1" applyBorder="1" applyFont="1" applyNumberFormat="1">
      <alignment horizontal="center" vertical="center"/>
    </xf>
    <xf borderId="26" fillId="10" fontId="11" numFmtId="3" xfId="0" applyAlignment="1" applyBorder="1" applyFont="1" applyNumberFormat="1">
      <alignment horizontal="center" vertical="center"/>
    </xf>
    <xf borderId="26" fillId="11" fontId="11" numFmtId="3" xfId="0" applyAlignment="1" applyBorder="1" applyFont="1" applyNumberFormat="1">
      <alignment horizontal="center" vertical="center"/>
    </xf>
    <xf borderId="26" fillId="12" fontId="11" numFmtId="3" xfId="0" applyAlignment="1" applyBorder="1" applyFont="1" applyNumberFormat="1">
      <alignment horizontal="center" vertical="center"/>
    </xf>
    <xf borderId="27" fillId="10" fontId="11" numFmtId="3" xfId="0" applyAlignment="1" applyBorder="1" applyFont="1" applyNumberFormat="1">
      <alignment horizontal="center" vertical="center"/>
    </xf>
    <xf borderId="26" fillId="13" fontId="11" numFmtId="3" xfId="0" applyAlignment="1" applyBorder="1" applyFont="1" applyNumberFormat="1">
      <alignment horizontal="center" vertical="center"/>
    </xf>
    <xf borderId="28" fillId="0" fontId="12" numFmtId="168" xfId="0" applyAlignment="1" applyBorder="1" applyFont="1" applyNumberFormat="1">
      <alignment horizontal="center" vertical="center"/>
    </xf>
    <xf borderId="29" fillId="0" fontId="5" numFmtId="0" xfId="0" applyBorder="1" applyFont="1"/>
    <xf borderId="30" fillId="0" fontId="5" numFmtId="3" xfId="0" applyAlignment="1" applyBorder="1" applyFont="1" applyNumberFormat="1">
      <alignment horizontal="center" vertical="center"/>
    </xf>
    <xf borderId="30" fillId="10" fontId="5" numFmtId="3" xfId="0" applyAlignment="1" applyBorder="1" applyFont="1" applyNumberFormat="1">
      <alignment horizontal="center" vertical="center"/>
    </xf>
    <xf borderId="30" fillId="11" fontId="5" numFmtId="3" xfId="0" applyAlignment="1" applyBorder="1" applyFont="1" applyNumberFormat="1">
      <alignment horizontal="center" vertical="center"/>
    </xf>
    <xf borderId="30" fillId="0" fontId="5" numFmtId="0" xfId="0" applyAlignment="1" applyBorder="1" applyFont="1">
      <alignment horizontal="center"/>
    </xf>
    <xf borderId="30" fillId="11" fontId="5" numFmtId="0" xfId="0" applyAlignment="1" applyBorder="1" applyFont="1">
      <alignment horizontal="center"/>
    </xf>
    <xf borderId="30" fillId="10" fontId="5" numFmtId="0" xfId="0" applyAlignment="1" applyBorder="1" applyFont="1">
      <alignment horizontal="center"/>
    </xf>
    <xf borderId="30" fillId="12" fontId="5" numFmtId="0" xfId="0" applyAlignment="1" applyBorder="1" applyFont="1">
      <alignment horizontal="center"/>
    </xf>
    <xf borderId="30" fillId="13" fontId="5" numFmtId="0" xfId="0" applyAlignment="1" applyBorder="1" applyFont="1">
      <alignment horizontal="center"/>
    </xf>
    <xf borderId="21" fillId="0" fontId="9" numFmtId="168" xfId="0" applyAlignment="1" applyBorder="1" applyFont="1" applyNumberFormat="1">
      <alignment horizontal="center" vertical="center"/>
    </xf>
    <xf borderId="0" fillId="0" fontId="9" numFmtId="167" xfId="0" applyAlignment="1" applyFont="1" applyNumberFormat="1">
      <alignment horizontal="center" vertical="center"/>
    </xf>
    <xf borderId="0" fillId="0" fontId="14" numFmtId="0" xfId="0" applyFont="1"/>
    <xf borderId="22" fillId="0" fontId="5" numFmtId="0" xfId="0" applyBorder="1" applyFont="1"/>
    <xf borderId="23" fillId="0" fontId="5" numFmtId="3" xfId="0" applyAlignment="1" applyBorder="1" applyFont="1" applyNumberFormat="1">
      <alignment horizontal="center" vertical="center"/>
    </xf>
    <xf borderId="23" fillId="10" fontId="5" numFmtId="3" xfId="0" applyAlignment="1" applyBorder="1" applyFont="1" applyNumberFormat="1">
      <alignment horizontal="center" vertical="center"/>
    </xf>
    <xf borderId="23" fillId="11" fontId="5" numFmtId="3" xfId="0" applyAlignment="1" applyBorder="1" applyFont="1" applyNumberFormat="1">
      <alignment horizontal="center" vertical="center"/>
    </xf>
    <xf borderId="23" fillId="12" fontId="5" numFmtId="3" xfId="0" applyAlignment="1" applyBorder="1" applyFont="1" applyNumberFormat="1">
      <alignment horizontal="center" vertical="center"/>
    </xf>
    <xf borderId="23" fillId="13" fontId="5" numFmtId="3" xfId="0" applyAlignment="1" applyBorder="1" applyFont="1" applyNumberFormat="1">
      <alignment horizontal="center" vertical="center"/>
    </xf>
    <xf borderId="24" fillId="0" fontId="9" numFmtId="168" xfId="0" applyAlignment="1" applyBorder="1" applyFont="1" applyNumberFormat="1">
      <alignment horizontal="center" vertical="center"/>
    </xf>
    <xf borderId="25" fillId="0" fontId="5" numFmtId="0" xfId="0" applyBorder="1" applyFont="1"/>
    <xf borderId="26" fillId="0" fontId="5" numFmtId="3" xfId="0" applyAlignment="1" applyBorder="1" applyFont="1" applyNumberFormat="1">
      <alignment horizontal="center" vertical="center"/>
    </xf>
    <xf borderId="26" fillId="10" fontId="5" numFmtId="3" xfId="0" applyAlignment="1" applyBorder="1" applyFont="1" applyNumberFormat="1">
      <alignment horizontal="center" vertical="center"/>
    </xf>
    <xf borderId="26" fillId="11" fontId="5" numFmtId="3" xfId="0" applyAlignment="1" applyBorder="1" applyFont="1" applyNumberFormat="1">
      <alignment horizontal="center" vertical="center"/>
    </xf>
    <xf borderId="26" fillId="12" fontId="5" numFmtId="3" xfId="0" applyAlignment="1" applyBorder="1" applyFont="1" applyNumberFormat="1">
      <alignment horizontal="center" vertical="center"/>
    </xf>
    <xf borderId="26" fillId="13" fontId="5" numFmtId="3" xfId="0" applyAlignment="1" applyBorder="1" applyFont="1" applyNumberFormat="1">
      <alignment horizontal="center" vertical="center"/>
    </xf>
    <xf borderId="28" fillId="0" fontId="9" numFmtId="168" xfId="0" applyAlignment="1" applyBorder="1" applyFont="1" applyNumberFormat="1">
      <alignment horizontal="center" vertical="center"/>
    </xf>
    <xf borderId="0" fillId="0" fontId="15" numFmtId="0" xfId="0" applyFont="1"/>
    <xf borderId="18" fillId="0" fontId="15" numFmtId="0" xfId="0" applyBorder="1" applyFont="1"/>
    <xf borderId="19" fillId="0" fontId="15" numFmtId="3" xfId="0" applyAlignment="1" applyBorder="1" applyFont="1" applyNumberFormat="1">
      <alignment horizontal="center" vertical="center"/>
    </xf>
    <xf borderId="20" fillId="10" fontId="15" numFmtId="3" xfId="0" applyAlignment="1" applyBorder="1" applyFont="1" applyNumberFormat="1">
      <alignment horizontal="center" vertical="center"/>
    </xf>
    <xf borderId="20" fillId="11" fontId="15" numFmtId="3" xfId="0" applyAlignment="1" applyBorder="1" applyFont="1" applyNumberFormat="1">
      <alignment horizontal="center" vertical="center"/>
    </xf>
    <xf borderId="20" fillId="12" fontId="15" numFmtId="3" xfId="0" applyAlignment="1" applyBorder="1" applyFont="1" applyNumberFormat="1">
      <alignment horizontal="center" vertical="center"/>
    </xf>
    <xf borderId="20" fillId="13" fontId="15" numFmtId="3" xfId="0" applyAlignment="1" applyBorder="1" applyFont="1" applyNumberFormat="1">
      <alignment horizontal="center" vertical="center"/>
    </xf>
    <xf borderId="21" fillId="0" fontId="16" numFmtId="168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/>
    </xf>
    <xf borderId="22" fillId="0" fontId="15" numFmtId="0" xfId="0" applyBorder="1" applyFont="1"/>
    <xf borderId="23" fillId="0" fontId="15" numFmtId="3" xfId="0" applyAlignment="1" applyBorder="1" applyFont="1" applyNumberFormat="1">
      <alignment horizontal="center" vertical="center"/>
    </xf>
    <xf borderId="23" fillId="10" fontId="15" numFmtId="3" xfId="0" applyAlignment="1" applyBorder="1" applyFont="1" applyNumberFormat="1">
      <alignment horizontal="center" vertical="center"/>
    </xf>
    <xf borderId="23" fillId="11" fontId="15" numFmtId="3" xfId="0" applyAlignment="1" applyBorder="1" applyFont="1" applyNumberFormat="1">
      <alignment horizontal="center" vertical="center"/>
    </xf>
    <xf borderId="23" fillId="12" fontId="15" numFmtId="3" xfId="0" applyAlignment="1" applyBorder="1" applyFont="1" applyNumberFormat="1">
      <alignment horizontal="center" vertical="center"/>
    </xf>
    <xf borderId="23" fillId="13" fontId="15" numFmtId="3" xfId="0" applyAlignment="1" applyBorder="1" applyFont="1" applyNumberFormat="1">
      <alignment horizontal="center" vertical="center"/>
    </xf>
    <xf borderId="24" fillId="0" fontId="16" numFmtId="168" xfId="0" applyAlignment="1" applyBorder="1" applyFont="1" applyNumberFormat="1">
      <alignment horizontal="center" vertical="center"/>
    </xf>
    <xf borderId="0" fillId="0" fontId="16" numFmtId="167" xfId="0" applyAlignment="1" applyFont="1" applyNumberFormat="1">
      <alignment horizontal="center" vertical="center"/>
    </xf>
    <xf borderId="25" fillId="0" fontId="15" numFmtId="0" xfId="0" applyBorder="1" applyFont="1"/>
    <xf borderId="26" fillId="0" fontId="15" numFmtId="3" xfId="0" applyAlignment="1" applyBorder="1" applyFont="1" applyNumberFormat="1">
      <alignment horizontal="center" vertical="center"/>
    </xf>
    <xf borderId="26" fillId="10" fontId="15" numFmtId="3" xfId="0" applyAlignment="1" applyBorder="1" applyFont="1" applyNumberFormat="1">
      <alignment horizontal="center" vertical="center"/>
    </xf>
    <xf borderId="26" fillId="11" fontId="15" numFmtId="3" xfId="0" applyAlignment="1" applyBorder="1" applyFont="1" applyNumberFormat="1">
      <alignment horizontal="center" vertical="center"/>
    </xf>
    <xf borderId="26" fillId="12" fontId="15" numFmtId="3" xfId="0" applyAlignment="1" applyBorder="1" applyFont="1" applyNumberFormat="1">
      <alignment horizontal="center" vertical="center"/>
    </xf>
    <xf borderId="26" fillId="13" fontId="15" numFmtId="3" xfId="0" applyAlignment="1" applyBorder="1" applyFont="1" applyNumberFormat="1">
      <alignment horizontal="center" vertical="center"/>
    </xf>
    <xf borderId="28" fillId="0" fontId="16" numFmtId="168" xfId="0" applyAlignment="1" applyBorder="1" applyFont="1" applyNumberFormat="1">
      <alignment horizontal="center" vertical="center"/>
    </xf>
    <xf borderId="18" fillId="0" fontId="14" numFmtId="0" xfId="0" applyBorder="1" applyFont="1"/>
    <xf borderId="19" fillId="0" fontId="14" numFmtId="3" xfId="0" applyAlignment="1" applyBorder="1" applyFont="1" applyNumberFormat="1">
      <alignment horizontal="center" vertical="center"/>
    </xf>
    <xf borderId="20" fillId="10" fontId="14" numFmtId="3" xfId="0" applyAlignment="1" applyBorder="1" applyFont="1" applyNumberFormat="1">
      <alignment horizontal="center" vertical="center"/>
    </xf>
    <xf borderId="31" fillId="0" fontId="15" numFmtId="3" xfId="0" applyAlignment="1" applyBorder="1" applyFont="1" applyNumberFormat="1">
      <alignment horizontal="center" vertical="center"/>
    </xf>
    <xf borderId="23" fillId="11" fontId="14" numFmtId="3" xfId="0" applyAlignment="1" applyBorder="1" applyFont="1" applyNumberFormat="1">
      <alignment horizontal="center" vertical="center"/>
    </xf>
    <xf borderId="20" fillId="11" fontId="14" numFmtId="3" xfId="0" applyAlignment="1" applyBorder="1" applyFont="1" applyNumberFormat="1">
      <alignment horizontal="center" vertical="center"/>
    </xf>
    <xf borderId="20" fillId="12" fontId="14" numFmtId="3" xfId="0" applyAlignment="1" applyBorder="1" applyFont="1" applyNumberFormat="1">
      <alignment horizontal="center" vertical="center"/>
    </xf>
    <xf borderId="20" fillId="13" fontId="14" numFmtId="3" xfId="0" applyAlignment="1" applyBorder="1" applyFont="1" applyNumberFormat="1">
      <alignment horizontal="center" vertical="center"/>
    </xf>
    <xf borderId="21" fillId="0" fontId="17" numFmtId="168" xfId="0" applyAlignment="1" applyBorder="1" applyFont="1" applyNumberFormat="1">
      <alignment horizontal="center" vertical="center"/>
    </xf>
    <xf borderId="0" fillId="0" fontId="17" numFmtId="167" xfId="0" applyAlignment="1" applyFont="1" applyNumberFormat="1">
      <alignment horizontal="center" vertical="center"/>
    </xf>
    <xf borderId="22" fillId="0" fontId="14" numFmtId="0" xfId="0" applyBorder="1" applyFont="1"/>
    <xf borderId="23" fillId="0" fontId="14" numFmtId="3" xfId="0" applyAlignment="1" applyBorder="1" applyFont="1" applyNumberFormat="1">
      <alignment horizontal="center" vertical="center"/>
    </xf>
    <xf borderId="23" fillId="10" fontId="14" numFmtId="3" xfId="0" applyAlignment="1" applyBorder="1" applyFont="1" applyNumberFormat="1">
      <alignment horizontal="center" vertical="center"/>
    </xf>
    <xf borderId="23" fillId="12" fontId="14" numFmtId="3" xfId="0" applyAlignment="1" applyBorder="1" applyFont="1" applyNumberFormat="1">
      <alignment horizontal="center" vertical="center"/>
    </xf>
    <xf borderId="23" fillId="13" fontId="14" numFmtId="3" xfId="0" applyAlignment="1" applyBorder="1" applyFont="1" applyNumberFormat="1">
      <alignment horizontal="center" vertical="center"/>
    </xf>
    <xf borderId="24" fillId="0" fontId="17" numFmtId="168" xfId="0" applyAlignment="1" applyBorder="1" applyFont="1" applyNumberFormat="1">
      <alignment horizontal="center" vertical="center"/>
    </xf>
    <xf borderId="32" fillId="0" fontId="14" numFmtId="0" xfId="0" applyBorder="1" applyFont="1"/>
    <xf borderId="33" fillId="0" fontId="14" numFmtId="3" xfId="0" applyAlignment="1" applyBorder="1" applyFont="1" applyNumberFormat="1">
      <alignment horizontal="center" vertical="center"/>
    </xf>
    <xf borderId="27" fillId="10" fontId="14" numFmtId="3" xfId="0" applyAlignment="1" applyBorder="1" applyFont="1" applyNumberFormat="1">
      <alignment horizontal="center" vertical="center"/>
    </xf>
    <xf borderId="27" fillId="11" fontId="14" numFmtId="3" xfId="0" applyAlignment="1" applyBorder="1" applyFont="1" applyNumberFormat="1">
      <alignment horizontal="center" vertical="center"/>
    </xf>
    <xf borderId="27" fillId="12" fontId="14" numFmtId="3" xfId="0" applyAlignment="1" applyBorder="1" applyFont="1" applyNumberFormat="1">
      <alignment horizontal="center" vertical="center"/>
    </xf>
    <xf borderId="27" fillId="13" fontId="14" numFmtId="3" xfId="0" applyAlignment="1" applyBorder="1" applyFont="1" applyNumberFormat="1">
      <alignment horizontal="center" vertical="center"/>
    </xf>
    <xf borderId="34" fillId="0" fontId="17" numFmtId="168" xfId="0" applyAlignment="1" applyBorder="1" applyFont="1" applyNumberFormat="1">
      <alignment horizontal="center" vertical="center"/>
    </xf>
    <xf borderId="25" fillId="0" fontId="14" numFmtId="0" xfId="0" applyBorder="1" applyFont="1"/>
    <xf borderId="26" fillId="0" fontId="14" numFmtId="3" xfId="0" applyAlignment="1" applyBorder="1" applyFont="1" applyNumberFormat="1">
      <alignment horizontal="center" vertical="center"/>
    </xf>
    <xf borderId="26" fillId="10" fontId="14" numFmtId="3" xfId="0" applyAlignment="1" applyBorder="1" applyFont="1" applyNumberFormat="1">
      <alignment horizontal="center" vertical="center"/>
    </xf>
    <xf borderId="26" fillId="11" fontId="14" numFmtId="3" xfId="0" applyAlignment="1" applyBorder="1" applyFont="1" applyNumberFormat="1">
      <alignment horizontal="center" vertical="center"/>
    </xf>
    <xf borderId="26" fillId="12" fontId="14" numFmtId="3" xfId="0" applyAlignment="1" applyBorder="1" applyFont="1" applyNumberFormat="1">
      <alignment horizontal="center" vertical="center"/>
    </xf>
    <xf borderId="26" fillId="13" fontId="14" numFmtId="3" xfId="0" applyAlignment="1" applyBorder="1" applyFont="1" applyNumberFormat="1">
      <alignment horizontal="center" vertical="center"/>
    </xf>
    <xf borderId="28" fillId="0" fontId="17" numFmtId="168" xfId="0" applyAlignment="1" applyBorder="1" applyFont="1" applyNumberFormat="1">
      <alignment horizontal="center" vertical="center"/>
    </xf>
    <xf borderId="0" fillId="0" fontId="11" numFmtId="0" xfId="0" applyFont="1"/>
    <xf borderId="30" fillId="12" fontId="5" numFmtId="3" xfId="0" applyAlignment="1" applyBorder="1" applyFont="1" applyNumberFormat="1">
      <alignment horizontal="center" vertical="center"/>
    </xf>
    <xf borderId="30" fillId="13" fontId="5" numFmtId="3" xfId="0" applyAlignment="1" applyBorder="1" applyFont="1" applyNumberFormat="1">
      <alignment horizontal="center" vertical="center"/>
    </xf>
    <xf borderId="35" fillId="0" fontId="9" numFmtId="168" xfId="0" applyAlignment="1" applyBorder="1" applyFont="1" applyNumberFormat="1">
      <alignment horizontal="center" vertical="center"/>
    </xf>
    <xf borderId="18" fillId="0" fontId="5" numFmtId="0" xfId="0" applyBorder="1" applyFont="1"/>
    <xf borderId="19" fillId="0" fontId="5" numFmtId="3" xfId="0" applyAlignment="1" applyBorder="1" applyFont="1" applyNumberFormat="1">
      <alignment horizontal="center" vertical="center"/>
    </xf>
    <xf borderId="20" fillId="10" fontId="5" numFmtId="3" xfId="0" applyAlignment="1" applyBorder="1" applyFont="1" applyNumberFormat="1">
      <alignment horizontal="center" vertical="center"/>
    </xf>
    <xf borderId="20" fillId="11" fontId="5" numFmtId="3" xfId="0" applyAlignment="1" applyBorder="1" applyFont="1" applyNumberFormat="1">
      <alignment horizontal="center" vertical="center"/>
    </xf>
    <xf borderId="20" fillId="12" fontId="5" numFmtId="3" xfId="0" applyAlignment="1" applyBorder="1" applyFont="1" applyNumberFormat="1">
      <alignment horizontal="center" vertical="center"/>
    </xf>
    <xf borderId="20" fillId="13" fontId="5" numFmtId="3" xfId="0" applyAlignment="1" applyBorder="1" applyFont="1" applyNumberFormat="1">
      <alignment horizontal="center" vertical="center"/>
    </xf>
    <xf borderId="29" fillId="0" fontId="14" numFmtId="0" xfId="0" applyBorder="1" applyFont="1"/>
    <xf borderId="30" fillId="0" fontId="14" numFmtId="3" xfId="0" applyAlignment="1" applyBorder="1" applyFont="1" applyNumberFormat="1">
      <alignment horizontal="center" vertical="center"/>
    </xf>
    <xf borderId="30" fillId="10" fontId="14" numFmtId="3" xfId="0" applyAlignment="1" applyBorder="1" applyFont="1" applyNumberFormat="1">
      <alignment horizontal="center" vertical="center"/>
    </xf>
    <xf borderId="30" fillId="11" fontId="14" numFmtId="3" xfId="0" applyAlignment="1" applyBorder="1" applyFont="1" applyNumberFormat="1">
      <alignment horizontal="center" vertical="center"/>
    </xf>
    <xf borderId="30" fillId="12" fontId="14" numFmtId="3" xfId="0" applyAlignment="1" applyBorder="1" applyFont="1" applyNumberFormat="1">
      <alignment horizontal="center" vertical="center"/>
    </xf>
    <xf borderId="30" fillId="13" fontId="14" numFmtId="3" xfId="0" applyAlignment="1" applyBorder="1" applyFont="1" applyNumberFormat="1">
      <alignment horizontal="center" vertical="center"/>
    </xf>
    <xf borderId="36" fillId="0" fontId="11" numFmtId="0" xfId="0" applyBorder="1" applyFont="1"/>
    <xf borderId="37" fillId="0" fontId="11" numFmtId="3" xfId="0" applyAlignment="1" applyBorder="1" applyFont="1" applyNumberFormat="1">
      <alignment horizontal="center" vertical="center"/>
    </xf>
    <xf borderId="37" fillId="10" fontId="11" numFmtId="3" xfId="0" applyAlignment="1" applyBorder="1" applyFont="1" applyNumberFormat="1">
      <alignment horizontal="center" vertical="center"/>
    </xf>
    <xf borderId="37" fillId="11" fontId="11" numFmtId="3" xfId="0" applyAlignment="1" applyBorder="1" applyFont="1" applyNumberFormat="1">
      <alignment horizontal="center" vertical="center"/>
    </xf>
    <xf borderId="37" fillId="12" fontId="11" numFmtId="3" xfId="0" applyAlignment="1" applyBorder="1" applyFont="1" applyNumberFormat="1">
      <alignment horizontal="center" vertical="center"/>
    </xf>
    <xf borderId="37" fillId="13" fontId="11" numFmtId="3" xfId="0" applyAlignment="1" applyBorder="1" applyFont="1" applyNumberFormat="1">
      <alignment horizontal="center" vertical="center"/>
    </xf>
    <xf borderId="38" fillId="0" fontId="12" numFmtId="168" xfId="0" applyAlignment="1" applyBorder="1" applyFont="1" applyNumberFormat="1">
      <alignment horizontal="center" vertical="center"/>
    </xf>
    <xf borderId="39" fillId="0" fontId="5" numFmtId="0" xfId="0" applyBorder="1" applyFont="1"/>
    <xf borderId="31" fillId="0" fontId="5" numFmtId="3" xfId="0" applyAlignment="1" applyBorder="1" applyFont="1" applyNumberFormat="1">
      <alignment horizontal="center" vertical="center"/>
    </xf>
    <xf borderId="40" fillId="10" fontId="5" numFmtId="3" xfId="0" applyAlignment="1" applyBorder="1" applyFont="1" applyNumberFormat="1">
      <alignment horizontal="center" vertical="center"/>
    </xf>
    <xf borderId="40" fillId="11" fontId="5" numFmtId="3" xfId="0" applyAlignment="1" applyBorder="1" applyFont="1" applyNumberFormat="1">
      <alignment horizontal="center" vertical="center"/>
    </xf>
    <xf borderId="40" fillId="12" fontId="5" numFmtId="3" xfId="0" applyAlignment="1" applyBorder="1" applyFont="1" applyNumberFormat="1">
      <alignment horizontal="center" vertical="center"/>
    </xf>
    <xf borderId="40" fillId="13" fontId="5" numFmtId="3" xfId="0" applyAlignment="1" applyBorder="1" applyFont="1" applyNumberFormat="1">
      <alignment horizontal="center" vertical="center"/>
    </xf>
    <xf borderId="41" fillId="0" fontId="9" numFmtId="168" xfId="0" applyAlignment="1" applyBorder="1" applyFont="1" applyNumberFormat="1">
      <alignment horizontal="center" vertical="center"/>
    </xf>
    <xf borderId="35" fillId="0" fontId="17" numFmtId="168" xfId="0" applyAlignment="1" applyBorder="1" applyFont="1" applyNumberFormat="1">
      <alignment horizontal="center" vertical="center"/>
    </xf>
    <xf borderId="31" fillId="0" fontId="14" numFmtId="3" xfId="0" applyAlignment="1" applyBorder="1" applyFont="1" applyNumberFormat="1">
      <alignment horizontal="center" vertical="center"/>
    </xf>
    <xf borderId="40" fillId="10" fontId="14" numFmtId="3" xfId="0" applyAlignment="1" applyBorder="1" applyFont="1" applyNumberFormat="1">
      <alignment horizontal="center" vertical="center"/>
    </xf>
    <xf borderId="40" fillId="11" fontId="14" numFmtId="3" xfId="0" applyAlignment="1" applyBorder="1" applyFont="1" applyNumberFormat="1">
      <alignment horizontal="center" vertical="center"/>
    </xf>
    <xf borderId="40" fillId="12" fontId="14" numFmtId="3" xfId="0" applyAlignment="1" applyBorder="1" applyFont="1" applyNumberFormat="1">
      <alignment horizontal="center" vertical="center"/>
    </xf>
    <xf borderId="40" fillId="13" fontId="14" numFmtId="3" xfId="0" applyAlignment="1" applyBorder="1" applyFont="1" applyNumberFormat="1">
      <alignment horizontal="center" vertical="center"/>
    </xf>
    <xf borderId="15" fillId="0" fontId="15" numFmtId="0" xfId="0" applyBorder="1" applyFont="1"/>
    <xf borderId="42" fillId="0" fontId="15" numFmtId="3" xfId="0" applyAlignment="1" applyBorder="1" applyFont="1" applyNumberFormat="1">
      <alignment horizontal="center" vertical="center"/>
    </xf>
    <xf borderId="16" fillId="10" fontId="15" numFmtId="3" xfId="0" applyAlignment="1" applyBorder="1" applyFont="1" applyNumberFormat="1">
      <alignment horizontal="center" vertical="center"/>
    </xf>
    <xf borderId="16" fillId="11" fontId="15" numFmtId="3" xfId="0" applyAlignment="1" applyBorder="1" applyFont="1" applyNumberFormat="1">
      <alignment horizontal="center" vertical="center"/>
    </xf>
    <xf borderId="16" fillId="12" fontId="15" numFmtId="3" xfId="0" applyAlignment="1" applyBorder="1" applyFont="1" applyNumberFormat="1">
      <alignment horizontal="center" vertical="center"/>
    </xf>
    <xf borderId="16" fillId="13" fontId="15" numFmtId="3" xfId="0" applyAlignment="1" applyBorder="1" applyFont="1" applyNumberFormat="1">
      <alignment horizontal="center" vertical="center"/>
    </xf>
    <xf borderId="17" fillId="0" fontId="16" numFmtId="168" xfId="0" applyAlignment="1" applyBorder="1" applyFont="1" applyNumberFormat="1">
      <alignment horizontal="center" vertical="center"/>
    </xf>
    <xf borderId="43" fillId="7" fontId="9" numFmtId="0" xfId="0" applyAlignment="1" applyBorder="1" applyFont="1">
      <alignment horizontal="center" vertical="center"/>
    </xf>
    <xf borderId="44" fillId="7" fontId="9" numFmtId="169" xfId="0" applyAlignment="1" applyBorder="1" applyFont="1" applyNumberFormat="1">
      <alignment horizontal="center" vertical="center"/>
    </xf>
    <xf borderId="44" fillId="10" fontId="9" numFmtId="169" xfId="0" applyAlignment="1" applyBorder="1" applyFont="1" applyNumberFormat="1">
      <alignment horizontal="center" vertical="center"/>
    </xf>
    <xf borderId="44" fillId="11" fontId="9" numFmtId="169" xfId="0" applyAlignment="1" applyBorder="1" applyFont="1" applyNumberFormat="1">
      <alignment horizontal="center" vertical="center"/>
    </xf>
    <xf borderId="44" fillId="8" fontId="9" numFmtId="169" xfId="0" applyAlignment="1" applyBorder="1" applyFont="1" applyNumberFormat="1">
      <alignment horizontal="center" vertical="center"/>
    </xf>
    <xf borderId="44" fillId="9" fontId="9" numFmtId="169" xfId="0" applyAlignment="1" applyBorder="1" applyFont="1" applyNumberFormat="1">
      <alignment horizontal="center" vertical="center"/>
    </xf>
    <xf borderId="44" fillId="12" fontId="9" numFmtId="169" xfId="0" applyAlignment="1" applyBorder="1" applyFont="1" applyNumberFormat="1">
      <alignment horizontal="center" vertical="center"/>
    </xf>
    <xf borderId="44" fillId="13" fontId="9" numFmtId="169" xfId="0" applyAlignment="1" applyBorder="1" applyFont="1" applyNumberFormat="1">
      <alignment horizontal="center" vertical="center"/>
    </xf>
    <xf borderId="45" fillId="7" fontId="9" numFmtId="170" xfId="0" applyAlignment="1" applyBorder="1" applyFont="1" applyNumberFormat="1">
      <alignment horizontal="center" vertical="center"/>
    </xf>
    <xf borderId="7" fillId="10" fontId="9" numFmtId="167" xfId="0" applyAlignment="1" applyBorder="1" applyFont="1" applyNumberFormat="1">
      <alignment horizontal="center" vertical="center"/>
    </xf>
    <xf borderId="46" fillId="0" fontId="5" numFmtId="0" xfId="0" applyAlignment="1" applyBorder="1" applyFont="1">
      <alignment horizontal="center" vertical="center"/>
    </xf>
    <xf borderId="46" fillId="0" fontId="5" numFmtId="169" xfId="0" applyAlignment="1" applyBorder="1" applyFont="1" applyNumberFormat="1">
      <alignment horizontal="center"/>
    </xf>
    <xf borderId="46" fillId="0" fontId="9" numFmtId="168" xfId="0" applyAlignment="1" applyBorder="1" applyFont="1" applyNumberFormat="1">
      <alignment horizontal="center" vertical="center"/>
    </xf>
    <xf borderId="0" fillId="0" fontId="5" numFmtId="169" xfId="0" applyAlignment="1" applyFont="1" applyNumberFormat="1">
      <alignment horizontal="center"/>
    </xf>
    <xf borderId="0" fillId="0" fontId="18" numFmtId="0" xfId="0" applyFont="1"/>
    <xf borderId="0" fillId="0" fontId="19" numFmtId="0" xfId="0" applyAlignment="1" applyFont="1">
      <alignment horizontal="center"/>
    </xf>
    <xf borderId="47" fillId="7" fontId="9" numFmtId="0" xfId="0" applyAlignment="1" applyBorder="1" applyFont="1">
      <alignment vertical="center"/>
    </xf>
    <xf borderId="16" fillId="14" fontId="9" numFmtId="0" xfId="0" applyAlignment="1" applyBorder="1" applyFill="1" applyFont="1">
      <alignment horizontal="center" vertical="center"/>
    </xf>
    <xf borderId="16" fillId="15" fontId="9" numFmtId="0" xfId="0" applyAlignment="1" applyBorder="1" applyFill="1" applyFont="1">
      <alignment horizontal="center" vertical="center"/>
    </xf>
    <xf borderId="20" fillId="14" fontId="11" numFmtId="3" xfId="0" applyAlignment="1" applyBorder="1" applyFont="1" applyNumberFormat="1">
      <alignment horizontal="center" vertical="center"/>
    </xf>
    <xf borderId="20" fillId="15" fontId="11" numFmtId="3" xfId="0" applyAlignment="1" applyBorder="1" applyFont="1" applyNumberFormat="1">
      <alignment horizontal="center" vertical="center"/>
    </xf>
    <xf borderId="23" fillId="14" fontId="11" numFmtId="3" xfId="0" applyAlignment="1" applyBorder="1" applyFont="1" applyNumberFormat="1">
      <alignment horizontal="center" vertical="center"/>
    </xf>
    <xf borderId="23" fillId="15" fontId="11" numFmtId="3" xfId="0" applyAlignment="1" applyBorder="1" applyFont="1" applyNumberFormat="1">
      <alignment horizontal="center" vertical="center"/>
    </xf>
    <xf borderId="32" fillId="0" fontId="11" numFmtId="0" xfId="0" applyBorder="1" applyFont="1"/>
    <xf borderId="27" fillId="14" fontId="11" numFmtId="3" xfId="0" applyAlignment="1" applyBorder="1" applyFont="1" applyNumberFormat="1">
      <alignment horizontal="center" vertical="center"/>
    </xf>
    <xf borderId="33" fillId="0" fontId="11" numFmtId="3" xfId="0" applyAlignment="1" applyBorder="1" applyFont="1" applyNumberFormat="1">
      <alignment horizontal="center" vertical="center"/>
    </xf>
    <xf borderId="27" fillId="15" fontId="11" numFmtId="3" xfId="0" applyAlignment="1" applyBorder="1" applyFont="1" applyNumberFormat="1">
      <alignment horizontal="center" vertical="center"/>
    </xf>
    <xf borderId="34" fillId="0" fontId="12" numFmtId="168" xfId="0" applyAlignment="1" applyBorder="1" applyFont="1" applyNumberFormat="1">
      <alignment horizontal="center" vertical="center"/>
    </xf>
    <xf borderId="26" fillId="14" fontId="11" numFmtId="3" xfId="0" applyAlignment="1" applyBorder="1" applyFont="1" applyNumberFormat="1">
      <alignment horizontal="center" vertical="center"/>
    </xf>
    <xf borderId="26" fillId="15" fontId="11" numFmtId="3" xfId="0" applyAlignment="1" applyBorder="1" applyFont="1" applyNumberFormat="1">
      <alignment horizontal="center" vertical="center"/>
    </xf>
    <xf borderId="20" fillId="14" fontId="5" numFmtId="3" xfId="0" applyAlignment="1" applyBorder="1" applyFont="1" applyNumberFormat="1">
      <alignment horizontal="center" vertical="center"/>
    </xf>
    <xf borderId="20" fillId="15" fontId="5" numFmtId="3" xfId="0" applyAlignment="1" applyBorder="1" applyFont="1" applyNumberFormat="1">
      <alignment horizontal="center" vertical="center"/>
    </xf>
    <xf borderId="23" fillId="14" fontId="5" numFmtId="3" xfId="0" applyAlignment="1" applyBorder="1" applyFont="1" applyNumberFormat="1">
      <alignment horizontal="center" vertical="center"/>
    </xf>
    <xf borderId="23" fillId="15" fontId="5" numFmtId="3" xfId="0" applyAlignment="1" applyBorder="1" applyFont="1" applyNumberFormat="1">
      <alignment horizontal="center" vertical="center"/>
    </xf>
    <xf borderId="26" fillId="14" fontId="5" numFmtId="3" xfId="0" applyAlignment="1" applyBorder="1" applyFont="1" applyNumberFormat="1">
      <alignment horizontal="center" vertical="center"/>
    </xf>
    <xf borderId="26" fillId="15" fontId="5" numFmtId="3" xfId="0" applyAlignment="1" applyBorder="1" applyFont="1" applyNumberFormat="1">
      <alignment horizontal="center" vertical="center"/>
    </xf>
    <xf borderId="20" fillId="14" fontId="14" numFmtId="3" xfId="0" applyAlignment="1" applyBorder="1" applyFont="1" applyNumberFormat="1">
      <alignment horizontal="center" vertical="center"/>
    </xf>
    <xf borderId="20" fillId="15" fontId="14" numFmtId="3" xfId="0" applyAlignment="1" applyBorder="1" applyFont="1" applyNumberFormat="1">
      <alignment horizontal="center" vertical="center"/>
    </xf>
    <xf borderId="23" fillId="14" fontId="14" numFmtId="3" xfId="0" applyAlignment="1" applyBorder="1" applyFont="1" applyNumberFormat="1">
      <alignment horizontal="center" vertical="center"/>
    </xf>
    <xf borderId="23" fillId="15" fontId="14" numFmtId="3" xfId="0" applyAlignment="1" applyBorder="1" applyFont="1" applyNumberFormat="1">
      <alignment horizontal="center" vertical="center"/>
    </xf>
    <xf borderId="27" fillId="14" fontId="14" numFmtId="3" xfId="0" applyAlignment="1" applyBorder="1" applyFont="1" applyNumberFormat="1">
      <alignment horizontal="center" vertical="center"/>
    </xf>
    <xf borderId="27" fillId="15" fontId="14" numFmtId="3" xfId="0" applyAlignment="1" applyBorder="1" applyFont="1" applyNumberFormat="1">
      <alignment horizontal="center" vertical="center"/>
    </xf>
    <xf borderId="26" fillId="14" fontId="14" numFmtId="3" xfId="0" applyAlignment="1" applyBorder="1" applyFont="1" applyNumberFormat="1">
      <alignment horizontal="center" vertical="center"/>
    </xf>
    <xf borderId="26" fillId="15" fontId="14" numFmtId="3" xfId="0" applyAlignment="1" applyBorder="1" applyFont="1" applyNumberFormat="1">
      <alignment horizontal="center" vertical="center"/>
    </xf>
    <xf borderId="30" fillId="14" fontId="5" numFmtId="3" xfId="0" applyAlignment="1" applyBorder="1" applyFont="1" applyNumberFormat="1">
      <alignment horizontal="center" vertical="center"/>
    </xf>
    <xf borderId="30" fillId="15" fontId="5" numFmtId="3" xfId="0" applyAlignment="1" applyBorder="1" applyFont="1" applyNumberFormat="1">
      <alignment horizontal="center" vertical="center"/>
    </xf>
    <xf borderId="30" fillId="14" fontId="14" numFmtId="3" xfId="0" applyAlignment="1" applyBorder="1" applyFont="1" applyNumberFormat="1">
      <alignment horizontal="center" vertical="center"/>
    </xf>
    <xf borderId="30" fillId="15" fontId="14" numFmtId="3" xfId="0" applyAlignment="1" applyBorder="1" applyFont="1" applyNumberFormat="1">
      <alignment horizontal="center" vertical="center"/>
    </xf>
    <xf borderId="40" fillId="14" fontId="5" numFmtId="3" xfId="0" applyAlignment="1" applyBorder="1" applyFont="1" applyNumberFormat="1">
      <alignment horizontal="center" vertical="center"/>
    </xf>
    <xf borderId="40" fillId="15" fontId="5" numFmtId="3" xfId="0" applyAlignment="1" applyBorder="1" applyFont="1" applyNumberFormat="1">
      <alignment horizontal="center" vertical="center"/>
    </xf>
    <xf borderId="40" fillId="14" fontId="14" numFmtId="3" xfId="0" applyAlignment="1" applyBorder="1" applyFont="1" applyNumberFormat="1">
      <alignment horizontal="center" vertical="center"/>
    </xf>
    <xf borderId="40" fillId="15" fontId="14" numFmtId="3" xfId="0" applyAlignment="1" applyBorder="1" applyFont="1" applyNumberFormat="1">
      <alignment horizontal="center" vertical="center"/>
    </xf>
    <xf borderId="16" fillId="14" fontId="15" numFmtId="3" xfId="0" applyAlignment="1" applyBorder="1" applyFont="1" applyNumberFormat="1">
      <alignment horizontal="center" vertical="center"/>
    </xf>
    <xf borderId="16" fillId="15" fontId="15" numFmtId="3" xfId="0" applyAlignment="1" applyBorder="1" applyFont="1" applyNumberFormat="1">
      <alignment horizontal="center" vertical="center"/>
    </xf>
    <xf borderId="44" fillId="14" fontId="9" numFmtId="169" xfId="0" applyAlignment="1" applyBorder="1" applyFont="1" applyNumberFormat="1">
      <alignment horizontal="center" vertical="center"/>
    </xf>
    <xf borderId="44" fillId="15" fontId="9" numFmtId="169" xfId="0" applyAlignment="1" applyBorder="1" applyFont="1" applyNumberFormat="1">
      <alignment horizontal="center" vertical="center"/>
    </xf>
    <xf borderId="7" fillId="14" fontId="5" numFmtId="0" xfId="0" applyBorder="1" applyFont="1"/>
    <xf borderId="7" fillId="3" fontId="10" numFmtId="0" xfId="0" applyAlignment="1" applyBorder="1" applyFont="1">
      <alignment vertical="center"/>
    </xf>
    <xf borderId="48" fillId="3" fontId="5" numFmtId="0" xfId="0" applyBorder="1" applyFont="1"/>
    <xf borderId="49" fillId="0" fontId="5" numFmtId="0" xfId="0" applyBorder="1" applyFont="1"/>
    <xf borderId="9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vertical="center"/>
    </xf>
    <xf borderId="11" fillId="0" fontId="9" numFmtId="0" xfId="0" applyAlignment="1" applyBorder="1" applyFont="1">
      <alignment vertical="center"/>
    </xf>
    <xf borderId="50" fillId="0" fontId="9" numFmtId="0" xfId="0" applyAlignment="1" applyBorder="1" applyFont="1">
      <alignment vertical="center"/>
    </xf>
    <xf borderId="46" fillId="0" fontId="9" numFmtId="0" xfId="0" applyAlignment="1" applyBorder="1" applyFont="1">
      <alignment vertical="center"/>
    </xf>
    <xf borderId="51" fillId="3" fontId="9" numFmtId="0" xfId="0" applyAlignment="1" applyBorder="1" applyFont="1">
      <alignment vertical="center"/>
    </xf>
    <xf borderId="52" fillId="3" fontId="9" numFmtId="0" xfId="0" applyAlignment="1" applyBorder="1" applyFont="1">
      <alignment vertical="center"/>
    </xf>
    <xf borderId="7" fillId="3" fontId="9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53" fillId="0" fontId="9" numFmtId="0" xfId="0" applyAlignment="1" applyBorder="1" applyFont="1">
      <alignment vertical="center"/>
    </xf>
    <xf borderId="54" fillId="0" fontId="9" numFmtId="0" xfId="0" applyAlignment="1" applyBorder="1" applyFont="1">
      <alignment horizontal="center" shrinkToFit="0" vertical="center" wrapText="1"/>
    </xf>
    <xf borderId="0" fillId="0" fontId="20" numFmtId="0" xfId="0" applyFont="1"/>
    <xf borderId="42" fillId="0" fontId="9" numFmtId="0" xfId="0" applyAlignment="1" applyBorder="1" applyFont="1">
      <alignment horizontal="center" vertical="center"/>
    </xf>
    <xf borderId="55" fillId="0" fontId="9" numFmtId="0" xfId="0" applyAlignment="1" applyBorder="1" applyFont="1">
      <alignment horizontal="center" vertical="center"/>
    </xf>
    <xf borderId="56" fillId="16" fontId="9" numFmtId="0" xfId="0" applyAlignment="1" applyBorder="1" applyFill="1" applyFont="1">
      <alignment horizontal="center" vertical="center"/>
    </xf>
    <xf borderId="37" fillId="0" fontId="9" numFmtId="0" xfId="0" applyAlignment="1" applyBorder="1" applyFont="1">
      <alignment horizontal="center" vertical="center"/>
    </xf>
    <xf borderId="50" fillId="0" fontId="9" numFmtId="0" xfId="0" applyAlignment="1" applyBorder="1" applyFont="1">
      <alignment horizontal="center" vertical="center"/>
    </xf>
    <xf borderId="37" fillId="16" fontId="9" numFmtId="0" xfId="0" applyAlignment="1" applyBorder="1" applyFont="1">
      <alignment horizontal="center" vertical="center"/>
    </xf>
    <xf borderId="37" fillId="3" fontId="9" numFmtId="0" xfId="0" applyAlignment="1" applyBorder="1" applyFont="1">
      <alignment horizontal="center" vertical="center"/>
    </xf>
    <xf borderId="37" fillId="17" fontId="9" numFmtId="0" xfId="0" applyAlignment="1" applyBorder="1" applyFill="1" applyFont="1">
      <alignment horizontal="center" vertical="center"/>
    </xf>
    <xf borderId="57" fillId="16" fontId="9" numFmtId="0" xfId="0" applyAlignment="1" applyBorder="1" applyFont="1">
      <alignment horizontal="center" vertical="center"/>
    </xf>
    <xf borderId="58" fillId="0" fontId="3" numFmtId="0" xfId="0" applyBorder="1" applyFont="1"/>
    <xf borderId="0" fillId="0" fontId="5" numFmtId="170" xfId="0" applyFont="1" applyNumberFormat="1"/>
    <xf borderId="19" fillId="0" fontId="11" numFmtId="171" xfId="0" applyAlignment="1" applyBorder="1" applyFont="1" applyNumberFormat="1">
      <alignment horizontal="center" vertical="center"/>
    </xf>
    <xf borderId="59" fillId="0" fontId="11" numFmtId="171" xfId="0" applyAlignment="1" applyBorder="1" applyFont="1" applyNumberFormat="1">
      <alignment horizontal="center" vertical="center"/>
    </xf>
    <xf borderId="60" fillId="16" fontId="5" numFmtId="0" xfId="0" applyAlignment="1" applyBorder="1" applyFont="1">
      <alignment horizontal="center" vertical="center"/>
    </xf>
    <xf borderId="61" fillId="0" fontId="11" numFmtId="172" xfId="0" applyAlignment="1" applyBorder="1" applyFont="1" applyNumberFormat="1">
      <alignment horizontal="center" vertical="center"/>
    </xf>
    <xf borderId="62" fillId="0" fontId="11" numFmtId="172" xfId="0" applyAlignment="1" applyBorder="1" applyFont="1" applyNumberFormat="1">
      <alignment horizontal="center" vertical="center"/>
    </xf>
    <xf borderId="19" fillId="0" fontId="11" numFmtId="172" xfId="0" applyAlignment="1" applyBorder="1" applyFont="1" applyNumberFormat="1">
      <alignment horizontal="center" vertical="center"/>
    </xf>
    <xf borderId="30" fillId="0" fontId="11" numFmtId="172" xfId="0" applyAlignment="1" applyBorder="1" applyFont="1" applyNumberFormat="1">
      <alignment horizontal="center" vertical="center"/>
    </xf>
    <xf borderId="20" fillId="16" fontId="11" numFmtId="172" xfId="0" applyAlignment="1" applyBorder="1" applyFont="1" applyNumberFormat="1">
      <alignment horizontal="center" vertical="center"/>
    </xf>
    <xf borderId="20" fillId="3" fontId="11" numFmtId="172" xfId="0" applyAlignment="1" applyBorder="1" applyFont="1" applyNumberFormat="1">
      <alignment horizontal="center" vertical="center"/>
    </xf>
    <xf borderId="63" fillId="0" fontId="11" numFmtId="172" xfId="0" applyAlignment="1" applyBorder="1" applyFont="1" applyNumberFormat="1">
      <alignment horizontal="center" vertical="center"/>
    </xf>
    <xf borderId="59" fillId="0" fontId="11" numFmtId="172" xfId="0" applyAlignment="1" applyBorder="1" applyFont="1" applyNumberFormat="1">
      <alignment horizontal="center" vertical="center"/>
    </xf>
    <xf borderId="64" fillId="16" fontId="11" numFmtId="172" xfId="0" applyAlignment="1" applyBorder="1" applyFont="1" applyNumberFormat="1">
      <alignment horizontal="center" vertical="center"/>
    </xf>
    <xf borderId="65" fillId="0" fontId="9" numFmtId="168" xfId="0" applyAlignment="1" applyBorder="1" applyFont="1" applyNumberFormat="1">
      <alignment horizontal="center" vertical="center"/>
    </xf>
    <xf borderId="0" fillId="0" fontId="12" numFmtId="173" xfId="0" applyAlignment="1" applyFont="1" applyNumberFormat="1">
      <alignment horizontal="center" vertical="center"/>
    </xf>
    <xf borderId="0" fillId="0" fontId="5" numFmtId="173" xfId="0" applyFont="1" applyNumberFormat="1"/>
    <xf borderId="23" fillId="0" fontId="11" numFmtId="171" xfId="0" applyAlignment="1" applyBorder="1" applyFont="1" applyNumberFormat="1">
      <alignment horizontal="center" vertical="center"/>
    </xf>
    <xf borderId="66" fillId="0" fontId="11" numFmtId="171" xfId="0" applyAlignment="1" applyBorder="1" applyFont="1" applyNumberFormat="1">
      <alignment horizontal="center" vertical="center"/>
    </xf>
    <xf borderId="40" fillId="16" fontId="5" numFmtId="0" xfId="0" applyAlignment="1" applyBorder="1" applyFont="1">
      <alignment horizontal="center" vertical="center"/>
    </xf>
    <xf borderId="67" fillId="0" fontId="11" numFmtId="172" xfId="0" applyAlignment="1" applyBorder="1" applyFont="1" applyNumberFormat="1">
      <alignment horizontal="center" vertical="center"/>
    </xf>
    <xf borderId="68" fillId="0" fontId="11" numFmtId="172" xfId="0" applyAlignment="1" applyBorder="1" applyFont="1" applyNumberFormat="1">
      <alignment horizontal="center" vertical="center"/>
    </xf>
    <xf borderId="23" fillId="0" fontId="11" numFmtId="172" xfId="0" applyAlignment="1" applyBorder="1" applyFont="1" applyNumberFormat="1">
      <alignment horizontal="center" vertical="center"/>
    </xf>
    <xf borderId="23" fillId="16" fontId="11" numFmtId="172" xfId="0" applyAlignment="1" applyBorder="1" applyFont="1" applyNumberFormat="1">
      <alignment horizontal="center" vertical="center"/>
    </xf>
    <xf borderId="23" fillId="3" fontId="11" numFmtId="172" xfId="0" applyAlignment="1" applyBorder="1" applyFont="1" applyNumberFormat="1">
      <alignment horizontal="center" vertical="center"/>
    </xf>
    <xf borderId="66" fillId="0" fontId="11" numFmtId="172" xfId="0" applyAlignment="1" applyBorder="1" applyFont="1" applyNumberFormat="1">
      <alignment horizontal="center" vertical="center"/>
    </xf>
    <xf borderId="69" fillId="16" fontId="11" numFmtId="172" xfId="0" applyAlignment="1" applyBorder="1" applyFont="1" applyNumberFormat="1">
      <alignment horizontal="center" vertical="center"/>
    </xf>
    <xf borderId="26" fillId="0" fontId="11" numFmtId="171" xfId="0" applyAlignment="1" applyBorder="1" applyFont="1" applyNumberFormat="1">
      <alignment horizontal="center" vertical="center"/>
    </xf>
    <xf borderId="70" fillId="0" fontId="11" numFmtId="171" xfId="0" applyAlignment="1" applyBorder="1" applyFont="1" applyNumberFormat="1">
      <alignment horizontal="center" vertical="center"/>
    </xf>
    <xf borderId="16" fillId="16" fontId="5" numFmtId="0" xfId="0" applyAlignment="1" applyBorder="1" applyFont="1">
      <alignment horizontal="center" vertical="center"/>
    </xf>
    <xf borderId="71" fillId="0" fontId="11" numFmtId="172" xfId="0" applyAlignment="1" applyBorder="1" applyFont="1" applyNumberFormat="1">
      <alignment horizontal="center" vertical="center"/>
    </xf>
    <xf borderId="72" fillId="0" fontId="11" numFmtId="172" xfId="0" applyAlignment="1" applyBorder="1" applyFont="1" applyNumberFormat="1">
      <alignment horizontal="center" vertical="center"/>
    </xf>
    <xf borderId="26" fillId="0" fontId="11" numFmtId="172" xfId="0" applyAlignment="1" applyBorder="1" applyFont="1" applyNumberFormat="1">
      <alignment horizontal="center" vertical="center"/>
    </xf>
    <xf borderId="26" fillId="16" fontId="11" numFmtId="172" xfId="0" applyAlignment="1" applyBorder="1" applyFont="1" applyNumberFormat="1">
      <alignment horizontal="center" vertical="center"/>
    </xf>
    <xf borderId="26" fillId="3" fontId="11" numFmtId="172" xfId="0" applyAlignment="1" applyBorder="1" applyFont="1" applyNumberFormat="1">
      <alignment horizontal="center" vertical="center"/>
    </xf>
    <xf borderId="70" fillId="0" fontId="11" numFmtId="172" xfId="0" applyAlignment="1" applyBorder="1" applyFont="1" applyNumberFormat="1">
      <alignment horizontal="center" vertical="center"/>
    </xf>
    <xf borderId="33" fillId="0" fontId="11" numFmtId="172" xfId="0" applyAlignment="1" applyBorder="1" applyFont="1" applyNumberFormat="1">
      <alignment horizontal="center" vertical="center"/>
    </xf>
    <xf borderId="73" fillId="0" fontId="11" numFmtId="172" xfId="0" applyAlignment="1" applyBorder="1" applyFont="1" applyNumberFormat="1">
      <alignment horizontal="center" vertical="center"/>
    </xf>
    <xf borderId="74" fillId="16" fontId="11" numFmtId="172" xfId="0" applyAlignment="1" applyBorder="1" applyFont="1" applyNumberFormat="1">
      <alignment horizontal="center" vertical="center"/>
    </xf>
    <xf borderId="75" fillId="0" fontId="11" numFmtId="172" xfId="0" applyAlignment="1" applyBorder="1" applyFont="1" applyNumberFormat="1">
      <alignment horizontal="center" vertical="center"/>
    </xf>
    <xf borderId="31" fillId="0" fontId="11" numFmtId="172" xfId="0" applyAlignment="1" applyBorder="1" applyFont="1" applyNumberFormat="1">
      <alignment horizontal="center" vertical="center"/>
    </xf>
    <xf borderId="31" fillId="0" fontId="11" numFmtId="171" xfId="0" applyAlignment="1" applyBorder="1" applyFont="1" applyNumberFormat="1">
      <alignment horizontal="center" vertical="center"/>
    </xf>
    <xf borderId="40" fillId="16" fontId="11" numFmtId="171" xfId="0" applyAlignment="1" applyBorder="1" applyFont="1" applyNumberFormat="1">
      <alignment horizontal="center" vertical="center"/>
    </xf>
    <xf borderId="31" fillId="0" fontId="11" numFmtId="3" xfId="0" applyAlignment="1" applyBorder="1" applyFont="1" applyNumberFormat="1">
      <alignment horizontal="center" vertical="center"/>
    </xf>
    <xf borderId="75" fillId="0" fontId="11" numFmtId="3" xfId="0" applyAlignment="1" applyBorder="1" applyFont="1" applyNumberFormat="1">
      <alignment horizontal="center" vertical="center"/>
    </xf>
    <xf borderId="76" fillId="0" fontId="11" numFmtId="173" xfId="0" applyAlignment="1" applyBorder="1" applyFont="1" applyNumberFormat="1">
      <alignment horizontal="center" vertical="center"/>
    </xf>
    <xf borderId="0" fillId="0" fontId="11" numFmtId="173" xfId="0" applyAlignment="1" applyFont="1" applyNumberFormat="1">
      <alignment horizontal="center" vertical="center"/>
    </xf>
    <xf borderId="56" fillId="16" fontId="11" numFmtId="3" xfId="0" applyAlignment="1" applyBorder="1" applyFont="1" applyNumberFormat="1">
      <alignment horizontal="center" vertical="center"/>
    </xf>
    <xf borderId="56" fillId="3" fontId="11" numFmtId="3" xfId="0" applyAlignment="1" applyBorder="1" applyFont="1" applyNumberFormat="1">
      <alignment horizontal="center" vertical="center"/>
    </xf>
    <xf borderId="76" fillId="0" fontId="11" numFmtId="3" xfId="0" applyAlignment="1" applyBorder="1" applyFont="1" applyNumberFormat="1">
      <alignment horizontal="center" vertical="center"/>
    </xf>
    <xf borderId="77" fillId="0" fontId="11" numFmtId="3" xfId="0" applyAlignment="1" applyBorder="1" applyFont="1" applyNumberFormat="1">
      <alignment horizontal="center" vertical="center"/>
    </xf>
    <xf borderId="78" fillId="16" fontId="11" numFmtId="3" xfId="0" applyAlignment="1" applyBorder="1" applyFont="1" applyNumberFormat="1">
      <alignment horizontal="center" vertical="center"/>
    </xf>
    <xf borderId="19" fillId="0" fontId="5" numFmtId="171" xfId="0" applyAlignment="1" applyBorder="1" applyFont="1" applyNumberFormat="1">
      <alignment horizontal="center" vertical="center"/>
    </xf>
    <xf borderId="56" fillId="16" fontId="5" numFmtId="0" xfId="0" applyAlignment="1" applyBorder="1" applyFont="1">
      <alignment horizontal="center" vertical="center"/>
    </xf>
    <xf borderId="19" fillId="0" fontId="5" numFmtId="172" xfId="0" applyAlignment="1" applyBorder="1" applyFont="1" applyNumberFormat="1">
      <alignment horizontal="center" vertical="center"/>
    </xf>
    <xf borderId="59" fillId="0" fontId="5" numFmtId="172" xfId="0" applyAlignment="1" applyBorder="1" applyFont="1" applyNumberFormat="1">
      <alignment horizontal="center" vertical="center"/>
    </xf>
    <xf borderId="64" fillId="16" fontId="5" numFmtId="172" xfId="0" applyAlignment="1" applyBorder="1" applyFont="1" applyNumberFormat="1">
      <alignment horizontal="center" vertical="center"/>
    </xf>
    <xf borderId="64" fillId="3" fontId="5" numFmtId="172" xfId="0" applyAlignment="1" applyBorder="1" applyFont="1" applyNumberFormat="1">
      <alignment horizontal="center" vertical="center"/>
    </xf>
    <xf borderId="19" fillId="0" fontId="5" numFmtId="174" xfId="0" applyAlignment="1" applyBorder="1" applyFont="1" applyNumberFormat="1">
      <alignment horizontal="center" vertical="center"/>
    </xf>
    <xf borderId="23" fillId="0" fontId="5" numFmtId="171" xfId="0" applyAlignment="1" applyBorder="1" applyFont="1" applyNumberFormat="1">
      <alignment horizontal="center" vertical="center"/>
    </xf>
    <xf borderId="23" fillId="0" fontId="5" numFmtId="175" xfId="0" applyAlignment="1" applyBorder="1" applyFont="1" applyNumberFormat="1">
      <alignment horizontal="center" vertical="center"/>
    </xf>
    <xf borderId="66" fillId="0" fontId="5" numFmtId="175" xfId="0" applyAlignment="1" applyBorder="1" applyFont="1" applyNumberFormat="1">
      <alignment horizontal="center" vertical="center"/>
    </xf>
    <xf borderId="69" fillId="16" fontId="5" numFmtId="175" xfId="0" applyAlignment="1" applyBorder="1" applyFont="1" applyNumberFormat="1">
      <alignment horizontal="center" vertical="center"/>
    </xf>
    <xf borderId="69" fillId="3" fontId="5" numFmtId="175" xfId="0" applyAlignment="1" applyBorder="1" applyFont="1" applyNumberFormat="1">
      <alignment horizontal="center" vertical="center"/>
    </xf>
    <xf borderId="23" fillId="0" fontId="5" numFmtId="174" xfId="0" applyAlignment="1" applyBorder="1" applyFont="1" applyNumberFormat="1">
      <alignment horizontal="center" vertical="center"/>
    </xf>
    <xf borderId="59" fillId="0" fontId="5" numFmtId="175" xfId="0" applyAlignment="1" applyBorder="1" applyFont="1" applyNumberFormat="1">
      <alignment horizontal="center" vertical="center"/>
    </xf>
    <xf borderId="19" fillId="0" fontId="5" numFmtId="175" xfId="0" applyAlignment="1" applyBorder="1" applyFont="1" applyNumberFormat="1">
      <alignment horizontal="center" vertical="center"/>
    </xf>
    <xf borderId="32" fillId="0" fontId="5" numFmtId="0" xfId="0" applyBorder="1" applyFont="1"/>
    <xf borderId="33" fillId="0" fontId="5" numFmtId="3" xfId="0" applyAlignment="1" applyBorder="1" applyFont="1" applyNumberFormat="1">
      <alignment horizontal="center" vertical="center"/>
    </xf>
    <xf borderId="33" fillId="0" fontId="5" numFmtId="171" xfId="0" applyAlignment="1" applyBorder="1" applyFont="1" applyNumberFormat="1">
      <alignment horizontal="center" vertical="center"/>
    </xf>
    <xf borderId="73" fillId="0" fontId="5" numFmtId="173" xfId="0" applyAlignment="1" applyBorder="1" applyFont="1" applyNumberFormat="1">
      <alignment horizontal="center" vertical="center"/>
    </xf>
    <xf borderId="33" fillId="0" fontId="5" numFmtId="173" xfId="0" applyAlignment="1" applyBorder="1" applyFont="1" applyNumberFormat="1">
      <alignment horizontal="center" vertical="center"/>
    </xf>
    <xf borderId="79" fillId="0" fontId="11" numFmtId="172" xfId="0" applyAlignment="1" applyBorder="1" applyFont="1" applyNumberFormat="1">
      <alignment horizontal="center" vertical="center"/>
    </xf>
    <xf borderId="74" fillId="16" fontId="5" numFmtId="173" xfId="0" applyAlignment="1" applyBorder="1" applyFont="1" applyNumberFormat="1">
      <alignment horizontal="center" vertical="center"/>
    </xf>
    <xf borderId="74" fillId="3" fontId="5" numFmtId="173" xfId="0" applyAlignment="1" applyBorder="1" applyFont="1" applyNumberFormat="1">
      <alignment horizontal="center" vertical="center"/>
    </xf>
    <xf borderId="33" fillId="0" fontId="5" numFmtId="174" xfId="0" applyAlignment="1" applyBorder="1" applyFont="1" applyNumberFormat="1">
      <alignment horizontal="center" vertical="center"/>
    </xf>
    <xf borderId="75" fillId="0" fontId="5" numFmtId="173" xfId="0" applyAlignment="1" applyBorder="1" applyFont="1" applyNumberFormat="1">
      <alignment horizontal="center" vertical="center"/>
    </xf>
    <xf borderId="31" fillId="0" fontId="5" numFmtId="173" xfId="0" applyAlignment="1" applyBorder="1" applyFont="1" applyNumberFormat="1">
      <alignment horizontal="center" vertical="center"/>
    </xf>
    <xf borderId="42" fillId="0" fontId="5" numFmtId="3" xfId="0" applyAlignment="1" applyBorder="1" applyFont="1" applyNumberFormat="1">
      <alignment horizontal="center" vertical="center"/>
    </xf>
    <xf borderId="42" fillId="0" fontId="5" numFmtId="171" xfId="0" applyAlignment="1" applyBorder="1" applyFont="1" applyNumberFormat="1">
      <alignment horizontal="center" vertical="center"/>
    </xf>
    <xf borderId="16" fillId="16" fontId="5" numFmtId="171" xfId="0" applyAlignment="1" applyBorder="1" applyFont="1" applyNumberFormat="1">
      <alignment horizontal="center" vertical="center"/>
    </xf>
    <xf borderId="55" fillId="0" fontId="5" numFmtId="173" xfId="0" applyAlignment="1" applyBorder="1" applyFont="1" applyNumberFormat="1">
      <alignment horizontal="center" vertical="center"/>
    </xf>
    <xf borderId="42" fillId="0" fontId="5" numFmtId="173" xfId="0" applyAlignment="1" applyBorder="1" applyFont="1" applyNumberFormat="1">
      <alignment horizontal="center" vertical="center"/>
    </xf>
    <xf borderId="80" fillId="0" fontId="11" numFmtId="173" xfId="0" applyAlignment="1" applyBorder="1" applyFont="1" applyNumberFormat="1">
      <alignment horizontal="center" vertical="center"/>
    </xf>
    <xf borderId="52" fillId="16" fontId="5" numFmtId="173" xfId="0" applyAlignment="1" applyBorder="1" applyFont="1" applyNumberFormat="1">
      <alignment horizontal="center" vertical="center"/>
    </xf>
    <xf borderId="52" fillId="3" fontId="5" numFmtId="173" xfId="0" applyAlignment="1" applyBorder="1" applyFont="1" applyNumberFormat="1">
      <alignment horizontal="center" vertical="center"/>
    </xf>
    <xf borderId="42" fillId="0" fontId="5" numFmtId="174" xfId="0" applyAlignment="1" applyBorder="1" applyFont="1" applyNumberFormat="1">
      <alignment horizontal="center" vertical="center"/>
    </xf>
    <xf borderId="19" fillId="0" fontId="14" numFmtId="171" xfId="0" applyAlignment="1" applyBorder="1" applyFont="1" applyNumberFormat="1">
      <alignment horizontal="center" vertical="center"/>
    </xf>
    <xf borderId="59" fillId="0" fontId="14" numFmtId="171" xfId="0" applyAlignment="1" applyBorder="1" applyFont="1" applyNumberFormat="1">
      <alignment horizontal="center" vertical="center"/>
    </xf>
    <xf borderId="61" fillId="0" fontId="14" numFmtId="172" xfId="0" applyAlignment="1" applyBorder="1" applyFont="1" applyNumberFormat="1">
      <alignment horizontal="center" vertical="center"/>
    </xf>
    <xf borderId="62" fillId="0" fontId="14" numFmtId="172" xfId="0" applyAlignment="1" applyBorder="1" applyFont="1" applyNumberFormat="1">
      <alignment horizontal="center" vertical="center"/>
    </xf>
    <xf borderId="30" fillId="0" fontId="14" numFmtId="172" xfId="0" applyAlignment="1" applyBorder="1" applyFont="1" applyNumberFormat="1">
      <alignment horizontal="center" vertical="center"/>
    </xf>
    <xf borderId="30" fillId="16" fontId="14" numFmtId="172" xfId="0" applyAlignment="1" applyBorder="1" applyFont="1" applyNumberFormat="1">
      <alignment horizontal="center" vertical="center"/>
    </xf>
    <xf borderId="30" fillId="3" fontId="14" numFmtId="172" xfId="0" applyAlignment="1" applyBorder="1" applyFont="1" applyNumberFormat="1">
      <alignment horizontal="center" vertical="center"/>
    </xf>
    <xf borderId="63" fillId="0" fontId="14" numFmtId="172" xfId="0" applyAlignment="1" applyBorder="1" applyFont="1" applyNumberFormat="1">
      <alignment horizontal="center" vertical="center"/>
    </xf>
    <xf borderId="31" fillId="0" fontId="14" numFmtId="172" xfId="0" applyAlignment="1" applyBorder="1" applyFont="1" applyNumberFormat="1">
      <alignment horizontal="center" vertical="center"/>
    </xf>
    <xf borderId="31" fillId="0" fontId="14" numFmtId="174" xfId="0" applyAlignment="1" applyBorder="1" applyFont="1" applyNumberFormat="1">
      <alignment horizontal="center" vertical="center"/>
    </xf>
    <xf borderId="75" fillId="0" fontId="14" numFmtId="172" xfId="0" applyAlignment="1" applyBorder="1" applyFont="1" applyNumberFormat="1">
      <alignment horizontal="center" vertical="center"/>
    </xf>
    <xf borderId="56" fillId="16" fontId="14" numFmtId="172" xfId="0" applyAlignment="1" applyBorder="1" applyFont="1" applyNumberFormat="1">
      <alignment horizontal="center" vertical="center"/>
    </xf>
    <xf borderId="23" fillId="0" fontId="14" numFmtId="171" xfId="0" applyAlignment="1" applyBorder="1" applyFont="1" applyNumberFormat="1">
      <alignment horizontal="center" vertical="center"/>
    </xf>
    <xf borderId="66" fillId="0" fontId="14" numFmtId="171" xfId="0" applyAlignment="1" applyBorder="1" applyFont="1" applyNumberFormat="1">
      <alignment horizontal="center" vertical="center"/>
    </xf>
    <xf borderId="67" fillId="0" fontId="14" numFmtId="172" xfId="0" applyAlignment="1" applyBorder="1" applyFont="1" applyNumberFormat="1">
      <alignment horizontal="center" vertical="center"/>
    </xf>
    <xf borderId="68" fillId="0" fontId="14" numFmtId="172" xfId="0" applyAlignment="1" applyBorder="1" applyFont="1" applyNumberFormat="1">
      <alignment horizontal="center" vertical="center"/>
    </xf>
    <xf borderId="23" fillId="0" fontId="14" numFmtId="172" xfId="0" applyAlignment="1" applyBorder="1" applyFont="1" applyNumberFormat="1">
      <alignment horizontal="center" vertical="center"/>
    </xf>
    <xf borderId="23" fillId="16" fontId="14" numFmtId="172" xfId="0" applyAlignment="1" applyBorder="1" applyFont="1" applyNumberFormat="1">
      <alignment horizontal="center" vertical="center"/>
    </xf>
    <xf borderId="23" fillId="3" fontId="14" numFmtId="172" xfId="0" applyAlignment="1" applyBorder="1" applyFont="1" applyNumberFormat="1">
      <alignment horizontal="center" vertical="center"/>
    </xf>
    <xf borderId="66" fillId="0" fontId="14" numFmtId="172" xfId="0" applyAlignment="1" applyBorder="1" applyFont="1" applyNumberFormat="1">
      <alignment horizontal="center" vertical="center"/>
    </xf>
    <xf borderId="33" fillId="0" fontId="14" numFmtId="172" xfId="0" applyAlignment="1" applyBorder="1" applyFont="1" applyNumberFormat="1">
      <alignment horizontal="center" vertical="center"/>
    </xf>
    <xf borderId="33" fillId="0" fontId="14" numFmtId="174" xfId="0" applyAlignment="1" applyBorder="1" applyFont="1" applyNumberFormat="1">
      <alignment horizontal="center" vertical="center"/>
    </xf>
    <xf borderId="73" fillId="0" fontId="14" numFmtId="172" xfId="0" applyAlignment="1" applyBorder="1" applyFont="1" applyNumberFormat="1">
      <alignment horizontal="center" vertical="center"/>
    </xf>
    <xf borderId="74" fillId="16" fontId="14" numFmtId="172" xfId="0" applyAlignment="1" applyBorder="1" applyFont="1" applyNumberFormat="1">
      <alignment horizontal="center" vertical="center"/>
    </xf>
    <xf borderId="26" fillId="0" fontId="14" numFmtId="171" xfId="0" applyAlignment="1" applyBorder="1" applyFont="1" applyNumberFormat="1">
      <alignment horizontal="center" vertical="center"/>
    </xf>
    <xf borderId="70" fillId="0" fontId="14" numFmtId="171" xfId="0" applyAlignment="1" applyBorder="1" applyFont="1" applyNumberFormat="1">
      <alignment horizontal="center" vertical="center"/>
    </xf>
    <xf borderId="71" fillId="0" fontId="14" numFmtId="172" xfId="0" applyAlignment="1" applyBorder="1" applyFont="1" applyNumberFormat="1">
      <alignment horizontal="center" vertical="center"/>
    </xf>
    <xf borderId="72" fillId="0" fontId="14" numFmtId="172" xfId="0" applyAlignment="1" applyBorder="1" applyFont="1" applyNumberFormat="1">
      <alignment horizontal="center" vertical="center"/>
    </xf>
    <xf borderId="26" fillId="0" fontId="14" numFmtId="172" xfId="0" applyAlignment="1" applyBorder="1" applyFont="1" applyNumberFormat="1">
      <alignment horizontal="center" vertical="center"/>
    </xf>
    <xf borderId="26" fillId="16" fontId="14" numFmtId="172" xfId="0" applyAlignment="1" applyBorder="1" applyFont="1" applyNumberFormat="1">
      <alignment horizontal="center" vertical="center"/>
    </xf>
    <xf borderId="26" fillId="3" fontId="14" numFmtId="172" xfId="0" applyAlignment="1" applyBorder="1" applyFont="1" applyNumberFormat="1">
      <alignment horizontal="center" vertical="center"/>
    </xf>
    <xf borderId="70" fillId="0" fontId="14" numFmtId="172" xfId="0" applyAlignment="1" applyBorder="1" applyFont="1" applyNumberFormat="1">
      <alignment horizontal="center" vertical="center"/>
    </xf>
    <xf borderId="31" fillId="0" fontId="14" numFmtId="171" xfId="0" applyAlignment="1" applyBorder="1" applyFont="1" applyNumberFormat="1">
      <alignment horizontal="center" vertical="center"/>
    </xf>
    <xf borderId="40" fillId="16" fontId="14" numFmtId="171" xfId="0" applyAlignment="1" applyBorder="1" applyFont="1" applyNumberFormat="1">
      <alignment horizontal="center" vertical="center"/>
    </xf>
    <xf borderId="75" fillId="0" fontId="14" numFmtId="3" xfId="0" applyAlignment="1" applyBorder="1" applyFont="1" applyNumberFormat="1">
      <alignment horizontal="center" vertical="center"/>
    </xf>
    <xf borderId="75" fillId="0" fontId="14" numFmtId="173" xfId="0" applyAlignment="1" applyBorder="1" applyFont="1" applyNumberFormat="1">
      <alignment horizontal="center" vertical="center"/>
    </xf>
    <xf borderId="56" fillId="16" fontId="14" numFmtId="3" xfId="0" applyAlignment="1" applyBorder="1" applyFont="1" applyNumberFormat="1">
      <alignment horizontal="center" vertical="center"/>
    </xf>
    <xf borderId="60" fillId="16" fontId="14" numFmtId="3" xfId="0" applyAlignment="1" applyBorder="1" applyFont="1" applyNumberFormat="1">
      <alignment horizontal="center" vertical="center"/>
    </xf>
    <xf borderId="81" fillId="3" fontId="14" numFmtId="172" xfId="0" applyAlignment="1" applyBorder="1" applyFont="1" applyNumberFormat="1">
      <alignment horizontal="center" vertical="center"/>
    </xf>
    <xf borderId="56" fillId="3" fontId="14" numFmtId="3" xfId="0" applyAlignment="1" applyBorder="1" applyFont="1" applyNumberFormat="1">
      <alignment horizontal="center" vertical="center"/>
    </xf>
    <xf borderId="76" fillId="0" fontId="14" numFmtId="3" xfId="0" applyAlignment="1" applyBorder="1" applyFont="1" applyNumberFormat="1">
      <alignment horizontal="center" vertical="center"/>
    </xf>
    <xf borderId="76" fillId="0" fontId="14" numFmtId="174" xfId="0" applyAlignment="1" applyBorder="1" applyFont="1" applyNumberFormat="1">
      <alignment horizontal="center" vertical="center"/>
    </xf>
    <xf borderId="77" fillId="0" fontId="14" numFmtId="172" xfId="0" applyAlignment="1" applyBorder="1" applyFont="1" applyNumberFormat="1">
      <alignment horizontal="center" vertical="center"/>
    </xf>
    <xf borderId="78" fillId="16" fontId="14" numFmtId="172" xfId="0" applyAlignment="1" applyBorder="1" applyFont="1" applyNumberFormat="1">
      <alignment horizontal="center" vertical="center"/>
    </xf>
    <xf borderId="76" fillId="0" fontId="14" numFmtId="172" xfId="0" applyAlignment="1" applyBorder="1" applyFont="1" applyNumberFormat="1">
      <alignment horizontal="center" vertical="center"/>
    </xf>
    <xf borderId="20" fillId="16" fontId="11" numFmtId="171" xfId="0" applyAlignment="1" applyBorder="1" applyFont="1" applyNumberFormat="1">
      <alignment horizontal="center" vertical="center"/>
    </xf>
    <xf borderId="82" fillId="3" fontId="11" numFmtId="172" xfId="0" applyAlignment="1" applyBorder="1" applyFont="1" applyNumberFormat="1">
      <alignment horizontal="center" vertical="center"/>
    </xf>
    <xf borderId="64" fillId="3" fontId="11" numFmtId="172" xfId="0" applyAlignment="1" applyBorder="1" applyFont="1" applyNumberFormat="1">
      <alignment horizontal="center" vertical="center"/>
    </xf>
    <xf borderId="31" fillId="0" fontId="11" numFmtId="174" xfId="0" applyAlignment="1" applyBorder="1" applyFont="1" applyNumberFormat="1">
      <alignment horizontal="center" vertical="center"/>
    </xf>
    <xf borderId="56" fillId="16" fontId="11" numFmtId="172" xfId="0" applyAlignment="1" applyBorder="1" applyFont="1" applyNumberFormat="1">
      <alignment horizontal="center" vertical="center"/>
    </xf>
    <xf borderId="0" fillId="0" fontId="5" numFmtId="176" xfId="0" applyFont="1" applyNumberFormat="1"/>
    <xf borderId="23" fillId="16" fontId="11" numFmtId="171" xfId="0" applyAlignment="1" applyBorder="1" applyFont="1" applyNumberFormat="1">
      <alignment horizontal="center" vertical="center"/>
    </xf>
    <xf borderId="66" fillId="0" fontId="11" numFmtId="173" xfId="0" applyAlignment="1" applyBorder="1" applyFont="1" applyNumberFormat="1">
      <alignment horizontal="center" vertical="center"/>
    </xf>
    <xf borderId="69" fillId="16" fontId="11" numFmtId="173" xfId="0" applyAlignment="1" applyBorder="1" applyFont="1" applyNumberFormat="1">
      <alignment horizontal="center" vertical="center"/>
    </xf>
    <xf borderId="23" fillId="16" fontId="11" numFmtId="173" xfId="0" applyAlignment="1" applyBorder="1" applyFont="1" applyNumberFormat="1">
      <alignment horizontal="center" vertical="center"/>
    </xf>
    <xf borderId="83" fillId="3" fontId="11" numFmtId="173" xfId="0" applyAlignment="1" applyBorder="1" applyFont="1" applyNumberFormat="1">
      <alignment horizontal="center" vertical="center"/>
    </xf>
    <xf borderId="69" fillId="3" fontId="11" numFmtId="173" xfId="0" applyAlignment="1" applyBorder="1" applyFont="1" applyNumberFormat="1">
      <alignment horizontal="center" vertical="center"/>
    </xf>
    <xf borderId="33" fillId="0" fontId="11" numFmtId="173" xfId="0" applyAlignment="1" applyBorder="1" applyFont="1" applyNumberFormat="1">
      <alignment horizontal="center" vertical="center"/>
    </xf>
    <xf borderId="33" fillId="0" fontId="11" numFmtId="174" xfId="0" applyAlignment="1" applyBorder="1" applyFont="1" applyNumberFormat="1">
      <alignment horizontal="center" vertical="center"/>
    </xf>
    <xf borderId="73" fillId="0" fontId="11" numFmtId="173" xfId="0" applyAlignment="1" applyBorder="1" applyFont="1" applyNumberFormat="1">
      <alignment horizontal="center" vertical="center"/>
    </xf>
    <xf borderId="74" fillId="16" fontId="11" numFmtId="173" xfId="0" applyAlignment="1" applyBorder="1" applyFont="1" applyNumberFormat="1">
      <alignment horizontal="center" vertical="center"/>
    </xf>
    <xf borderId="75" fillId="0" fontId="11" numFmtId="173" xfId="0" applyAlignment="1" applyBorder="1" applyFont="1" applyNumberFormat="1">
      <alignment horizontal="center" vertical="center"/>
    </xf>
    <xf borderId="31" fillId="0" fontId="11" numFmtId="173" xfId="0" applyAlignment="1" applyBorder="1" applyFont="1" applyNumberFormat="1">
      <alignment horizontal="center" vertical="center"/>
    </xf>
    <xf borderId="26" fillId="16" fontId="11" numFmtId="171" xfId="0" applyAlignment="1" applyBorder="1" applyFont="1" applyNumberFormat="1">
      <alignment horizontal="center" vertical="center"/>
    </xf>
    <xf borderId="70" fillId="0" fontId="11" numFmtId="3" xfId="0" applyAlignment="1" applyBorder="1" applyFont="1" applyNumberFormat="1">
      <alignment horizontal="center" vertical="center"/>
    </xf>
    <xf borderId="84" fillId="16" fontId="11" numFmtId="3" xfId="0" applyAlignment="1" applyBorder="1" applyFont="1" applyNumberFormat="1">
      <alignment horizontal="center" vertical="center"/>
    </xf>
    <xf borderId="26" fillId="16" fontId="11" numFmtId="3" xfId="0" applyAlignment="1" applyBorder="1" applyFont="1" applyNumberFormat="1">
      <alignment horizontal="center" vertical="center"/>
    </xf>
    <xf borderId="85" fillId="3" fontId="11" numFmtId="3" xfId="0" applyAlignment="1" applyBorder="1" applyFont="1" applyNumberFormat="1">
      <alignment horizontal="center" vertical="center"/>
    </xf>
    <xf borderId="84" fillId="3" fontId="11" numFmtId="3" xfId="0" applyAlignment="1" applyBorder="1" applyFont="1" applyNumberFormat="1">
      <alignment horizontal="center" vertical="center"/>
    </xf>
    <xf borderId="26" fillId="0" fontId="11" numFmtId="174" xfId="0" applyAlignment="1" applyBorder="1" applyFont="1" applyNumberFormat="1">
      <alignment horizontal="center" vertical="center"/>
    </xf>
    <xf borderId="55" fillId="0" fontId="11" numFmtId="3" xfId="0" applyAlignment="1" applyBorder="1" applyFont="1" applyNumberFormat="1">
      <alignment horizontal="center" vertical="center"/>
    </xf>
    <xf borderId="42" fillId="0" fontId="11" numFmtId="3" xfId="0" applyAlignment="1" applyBorder="1" applyFont="1" applyNumberFormat="1">
      <alignment horizontal="center" vertical="center"/>
    </xf>
    <xf borderId="31" fillId="0" fontId="5" numFmtId="171" xfId="0" applyAlignment="1" applyBorder="1" applyFont="1" applyNumberFormat="1">
      <alignment horizontal="center" vertical="center"/>
    </xf>
    <xf borderId="40" fillId="16" fontId="5" numFmtId="171" xfId="0" applyAlignment="1" applyBorder="1" applyFont="1" applyNumberFormat="1">
      <alignment horizontal="center" vertical="center"/>
    </xf>
    <xf borderId="75" fillId="0" fontId="5" numFmtId="3" xfId="0" applyAlignment="1" applyBorder="1" applyFont="1" applyNumberFormat="1">
      <alignment horizontal="center" vertical="center"/>
    </xf>
    <xf borderId="56" fillId="16" fontId="5" numFmtId="3" xfId="0" applyAlignment="1" applyBorder="1" applyFont="1" applyNumberFormat="1">
      <alignment horizontal="center" vertical="center"/>
    </xf>
    <xf borderId="56" fillId="3" fontId="5" numFmtId="3" xfId="0" applyAlignment="1" applyBorder="1" applyFont="1" applyNumberFormat="1">
      <alignment horizontal="center" vertical="center"/>
    </xf>
    <xf borderId="31" fillId="0" fontId="5" numFmtId="174" xfId="0" applyAlignment="1" applyBorder="1" applyFont="1" applyNumberFormat="1">
      <alignment horizontal="center" vertical="center"/>
    </xf>
    <xf borderId="20" fillId="16" fontId="5" numFmtId="171" xfId="0" applyAlignment="1" applyBorder="1" applyFont="1" applyNumberFormat="1">
      <alignment horizontal="center" vertical="center"/>
    </xf>
    <xf borderId="59" fillId="0" fontId="5" numFmtId="3" xfId="0" applyAlignment="1" applyBorder="1" applyFont="1" applyNumberFormat="1">
      <alignment horizontal="center" vertical="center"/>
    </xf>
    <xf borderId="59" fillId="0" fontId="5" numFmtId="173" xfId="0" applyAlignment="1" applyBorder="1" applyFont="1" applyNumberFormat="1">
      <alignment horizontal="center" vertical="center"/>
    </xf>
    <xf borderId="64" fillId="16" fontId="5" numFmtId="3" xfId="0" applyAlignment="1" applyBorder="1" applyFont="1" applyNumberFormat="1">
      <alignment horizontal="center" vertical="center"/>
    </xf>
    <xf borderId="64" fillId="3" fontId="5" numFmtId="3" xfId="0" applyAlignment="1" applyBorder="1" applyFont="1" applyNumberFormat="1">
      <alignment horizontal="center" vertical="center"/>
    </xf>
    <xf borderId="31" fillId="0" fontId="5" numFmtId="172" xfId="0" applyAlignment="1" applyBorder="1" applyFont="1" applyNumberFormat="1">
      <alignment horizontal="center" vertical="center"/>
    </xf>
    <xf borderId="75" fillId="0" fontId="5" numFmtId="172" xfId="0" applyAlignment="1" applyBorder="1" applyFont="1" applyNumberFormat="1">
      <alignment horizontal="center" vertical="center"/>
    </xf>
    <xf borderId="56" fillId="16" fontId="5" numFmtId="172" xfId="0" applyAlignment="1" applyBorder="1" applyFont="1" applyNumberFormat="1">
      <alignment horizontal="center" vertical="center"/>
    </xf>
    <xf borderId="23" fillId="16" fontId="5" numFmtId="171" xfId="0" applyAlignment="1" applyBorder="1" applyFont="1" applyNumberFormat="1">
      <alignment horizontal="center" vertical="center"/>
    </xf>
    <xf borderId="23" fillId="0" fontId="5" numFmtId="172" xfId="0" applyAlignment="1" applyBorder="1" applyFont="1" applyNumberFormat="1">
      <alignment horizontal="center" vertical="center"/>
    </xf>
    <xf borderId="66" fillId="0" fontId="5" numFmtId="172" xfId="0" applyAlignment="1" applyBorder="1" applyFont="1" applyNumberFormat="1">
      <alignment horizontal="center" vertical="center"/>
    </xf>
    <xf borderId="69" fillId="16" fontId="5" numFmtId="172" xfId="0" applyAlignment="1" applyBorder="1" applyFont="1" applyNumberFormat="1">
      <alignment horizontal="center" vertical="center"/>
    </xf>
    <xf borderId="69" fillId="3" fontId="5" numFmtId="172" xfId="0" applyAlignment="1" applyBorder="1" applyFont="1" applyNumberFormat="1">
      <alignment horizontal="center" vertical="center"/>
    </xf>
    <xf borderId="33" fillId="0" fontId="5" numFmtId="172" xfId="0" applyAlignment="1" applyBorder="1" applyFont="1" applyNumberFormat="1">
      <alignment horizontal="center" vertical="center"/>
    </xf>
    <xf borderId="73" fillId="0" fontId="5" numFmtId="172" xfId="0" applyAlignment="1" applyBorder="1" applyFont="1" applyNumberFormat="1">
      <alignment horizontal="center" vertical="center"/>
    </xf>
    <xf borderId="74" fillId="16" fontId="5" numFmtId="172" xfId="0" applyAlignment="1" applyBorder="1" applyFont="1" applyNumberFormat="1">
      <alignment horizontal="center" vertical="center"/>
    </xf>
    <xf borderId="64" fillId="3" fontId="5" numFmtId="175" xfId="0" applyAlignment="1" applyBorder="1" applyFont="1" applyNumberFormat="1">
      <alignment horizontal="center" vertical="center"/>
    </xf>
    <xf borderId="0" fillId="0" fontId="21" numFmtId="0" xfId="0" applyFont="1"/>
    <xf borderId="22" fillId="0" fontId="21" numFmtId="0" xfId="0" applyBorder="1" applyFont="1"/>
    <xf borderId="23" fillId="0" fontId="21" numFmtId="3" xfId="0" applyAlignment="1" applyBorder="1" applyFont="1" applyNumberFormat="1">
      <alignment horizontal="center" vertical="center"/>
    </xf>
    <xf borderId="23" fillId="0" fontId="21" numFmtId="171" xfId="0" applyAlignment="1" applyBorder="1" applyFont="1" applyNumberFormat="1">
      <alignment horizontal="center" vertical="center"/>
    </xf>
    <xf borderId="23" fillId="16" fontId="21" numFmtId="171" xfId="0" applyAlignment="1" applyBorder="1" applyFont="1" applyNumberFormat="1">
      <alignment horizontal="center" vertical="center"/>
    </xf>
    <xf borderId="23" fillId="0" fontId="21" numFmtId="172" xfId="0" applyAlignment="1" applyBorder="1" applyFont="1" applyNumberFormat="1">
      <alignment horizontal="center" vertical="center"/>
    </xf>
    <xf borderId="66" fillId="0" fontId="21" numFmtId="172" xfId="0" applyAlignment="1" applyBorder="1" applyFont="1" applyNumberFormat="1">
      <alignment horizontal="center" vertical="center"/>
    </xf>
    <xf borderId="69" fillId="16" fontId="21" numFmtId="172" xfId="0" applyAlignment="1" applyBorder="1" applyFont="1" applyNumberFormat="1">
      <alignment horizontal="center" vertical="center"/>
    </xf>
    <xf borderId="69" fillId="3" fontId="21" numFmtId="172" xfId="0" applyAlignment="1" applyBorder="1" applyFont="1" applyNumberFormat="1">
      <alignment horizontal="center" vertical="center"/>
    </xf>
    <xf borderId="33" fillId="0" fontId="21" numFmtId="172" xfId="0" applyAlignment="1" applyBorder="1" applyFont="1" applyNumberFormat="1">
      <alignment horizontal="center" vertical="center"/>
    </xf>
    <xf borderId="33" fillId="0" fontId="21" numFmtId="174" xfId="0" applyAlignment="1" applyBorder="1" applyFont="1" applyNumberFormat="1">
      <alignment horizontal="center" vertical="center"/>
    </xf>
    <xf borderId="73" fillId="0" fontId="21" numFmtId="172" xfId="0" applyAlignment="1" applyBorder="1" applyFont="1" applyNumberFormat="1">
      <alignment horizontal="center" vertical="center"/>
    </xf>
    <xf borderId="74" fillId="16" fontId="21" numFmtId="172" xfId="0" applyAlignment="1" applyBorder="1" applyFont="1" applyNumberFormat="1">
      <alignment horizontal="center" vertical="center"/>
    </xf>
    <xf borderId="75" fillId="0" fontId="21" numFmtId="172" xfId="0" applyAlignment="1" applyBorder="1" applyFont="1" applyNumberFormat="1">
      <alignment horizontal="center" vertical="center"/>
    </xf>
    <xf borderId="31" fillId="0" fontId="21" numFmtId="172" xfId="0" applyAlignment="1" applyBorder="1" applyFont="1" applyNumberFormat="1">
      <alignment horizontal="center" vertical="center"/>
    </xf>
    <xf borderId="0" fillId="0" fontId="21" numFmtId="176" xfId="0" applyFont="1" applyNumberFormat="1"/>
    <xf borderId="33" fillId="0" fontId="21" numFmtId="3" xfId="0" applyAlignment="1" applyBorder="1" applyFont="1" applyNumberFormat="1">
      <alignment horizontal="center" vertical="center"/>
    </xf>
    <xf borderId="33" fillId="0" fontId="21" numFmtId="171" xfId="0" applyAlignment="1" applyBorder="1" applyFont="1" applyNumberFormat="1">
      <alignment horizontal="center" vertical="center"/>
    </xf>
    <xf borderId="27" fillId="16" fontId="21" numFmtId="171" xfId="0" applyAlignment="1" applyBorder="1" applyFont="1" applyNumberFormat="1">
      <alignment horizontal="center" vertical="center"/>
    </xf>
    <xf borderId="74" fillId="3" fontId="21" numFmtId="172" xfId="0" applyAlignment="1" applyBorder="1" applyFont="1" applyNumberFormat="1">
      <alignment horizontal="center" vertical="center"/>
    </xf>
    <xf borderId="25" fillId="0" fontId="21" numFmtId="0" xfId="0" applyBorder="1" applyFont="1"/>
    <xf borderId="26" fillId="0" fontId="21" numFmtId="3" xfId="0" applyAlignment="1" applyBorder="1" applyFont="1" applyNumberFormat="1">
      <alignment horizontal="center" vertical="center"/>
    </xf>
    <xf borderId="26" fillId="0" fontId="21" numFmtId="171" xfId="0" applyAlignment="1" applyBorder="1" applyFont="1" applyNumberFormat="1">
      <alignment horizontal="center" vertical="center"/>
    </xf>
    <xf borderId="26" fillId="16" fontId="21" numFmtId="171" xfId="0" applyAlignment="1" applyBorder="1" applyFont="1" applyNumberFormat="1">
      <alignment horizontal="center" vertical="center"/>
    </xf>
    <xf borderId="70" fillId="0" fontId="21" numFmtId="3" xfId="0" applyAlignment="1" applyBorder="1" applyFont="1" applyNumberFormat="1">
      <alignment horizontal="center" vertical="center"/>
    </xf>
    <xf borderId="70" fillId="0" fontId="21" numFmtId="173" xfId="0" applyAlignment="1" applyBorder="1" applyFont="1" applyNumberFormat="1">
      <alignment horizontal="center" vertical="center"/>
    </xf>
    <xf borderId="84" fillId="16" fontId="21" numFmtId="3" xfId="0" applyAlignment="1" applyBorder="1" applyFont="1" applyNumberFormat="1">
      <alignment horizontal="center" vertical="center"/>
    </xf>
    <xf borderId="84" fillId="16" fontId="21" numFmtId="172" xfId="0" applyAlignment="1" applyBorder="1" applyFont="1" applyNumberFormat="1">
      <alignment horizontal="center" vertical="center"/>
    </xf>
    <xf borderId="84" fillId="3" fontId="21" numFmtId="3" xfId="0" applyAlignment="1" applyBorder="1" applyFont="1" applyNumberFormat="1">
      <alignment horizontal="center" vertical="center"/>
    </xf>
    <xf borderId="84" fillId="3" fontId="21" numFmtId="172" xfId="0" applyAlignment="1" applyBorder="1" applyFont="1" applyNumberFormat="1">
      <alignment horizontal="center" vertical="center"/>
    </xf>
    <xf borderId="70" fillId="0" fontId="21" numFmtId="172" xfId="0" applyAlignment="1" applyBorder="1" applyFont="1" applyNumberFormat="1">
      <alignment horizontal="center" vertical="center"/>
    </xf>
    <xf borderId="0" fillId="0" fontId="22" numFmtId="0" xfId="0" applyFont="1"/>
    <xf borderId="39" fillId="0" fontId="22" numFmtId="0" xfId="0" applyBorder="1" applyFont="1"/>
    <xf borderId="31" fillId="0" fontId="22" numFmtId="3" xfId="0" applyAlignment="1" applyBorder="1" applyFont="1" applyNumberFormat="1">
      <alignment horizontal="center" vertical="center"/>
    </xf>
    <xf borderId="31" fillId="0" fontId="22" numFmtId="171" xfId="0" applyAlignment="1" applyBorder="1" applyFont="1" applyNumberFormat="1">
      <alignment horizontal="center" vertical="center"/>
    </xf>
    <xf borderId="75" fillId="0" fontId="22" numFmtId="3" xfId="0" applyAlignment="1" applyBorder="1" applyFont="1" applyNumberFormat="1">
      <alignment horizontal="center" vertical="center"/>
    </xf>
    <xf borderId="56" fillId="16" fontId="22" numFmtId="3" xfId="0" applyAlignment="1" applyBorder="1" applyFont="1" applyNumberFormat="1">
      <alignment horizontal="center" vertical="center"/>
    </xf>
    <xf borderId="56" fillId="3" fontId="22" numFmtId="3" xfId="0" applyAlignment="1" applyBorder="1" applyFont="1" applyNumberFormat="1">
      <alignment horizontal="center" vertical="center"/>
    </xf>
    <xf borderId="76" fillId="0" fontId="22" numFmtId="3" xfId="0" applyAlignment="1" applyBorder="1" applyFont="1" applyNumberFormat="1">
      <alignment horizontal="center" vertical="center"/>
    </xf>
    <xf borderId="76" fillId="0" fontId="22" numFmtId="174" xfId="0" applyAlignment="1" applyBorder="1" applyFont="1" applyNumberFormat="1">
      <alignment horizontal="center" vertical="center"/>
    </xf>
    <xf borderId="77" fillId="0" fontId="22" numFmtId="3" xfId="0" applyAlignment="1" applyBorder="1" applyFont="1" applyNumberFormat="1">
      <alignment horizontal="center" vertical="center"/>
    </xf>
    <xf borderId="78" fillId="16" fontId="22" numFmtId="3" xfId="0" applyAlignment="1" applyBorder="1" applyFont="1" applyNumberFormat="1">
      <alignment horizontal="center" vertical="center"/>
    </xf>
    <xf borderId="0" fillId="0" fontId="22" numFmtId="176" xfId="0" applyFont="1" applyNumberFormat="1"/>
    <xf borderId="31" fillId="0" fontId="22" numFmtId="174" xfId="0" applyAlignment="1" applyBorder="1" applyFont="1" applyNumberFormat="1">
      <alignment horizontal="center" vertical="center"/>
    </xf>
    <xf borderId="56" fillId="16" fontId="22" numFmtId="172" xfId="0" applyAlignment="1" applyBorder="1" applyFont="1" applyNumberFormat="1">
      <alignment horizontal="center" vertical="center"/>
    </xf>
    <xf borderId="0" fillId="0" fontId="23" numFmtId="176" xfId="0" applyAlignment="1" applyFont="1" applyNumberFormat="1">
      <alignment horizontal="center" vertical="center"/>
    </xf>
    <xf borderId="40" fillId="16" fontId="22" numFmtId="171" xfId="0" applyAlignment="1" applyBorder="1" applyFont="1" applyNumberFormat="1">
      <alignment horizontal="center" vertical="center"/>
    </xf>
    <xf borderId="56" fillId="3" fontId="5" numFmtId="172" xfId="0" applyAlignment="1" applyBorder="1" applyFont="1" applyNumberFormat="1">
      <alignment horizontal="center" vertical="center"/>
    </xf>
    <xf borderId="0" fillId="0" fontId="9" numFmtId="176" xfId="0" applyAlignment="1" applyFont="1" applyNumberFormat="1">
      <alignment horizontal="center" vertical="center"/>
    </xf>
    <xf borderId="55" fillId="0" fontId="5" numFmtId="3" xfId="0" applyAlignment="1" applyBorder="1" applyFont="1" applyNumberFormat="1">
      <alignment horizontal="center" vertical="center"/>
    </xf>
    <xf borderId="52" fillId="16" fontId="5" numFmtId="3" xfId="0" applyAlignment="1" applyBorder="1" applyFont="1" applyNumberFormat="1">
      <alignment horizontal="center" vertical="center"/>
    </xf>
    <xf borderId="86" fillId="0" fontId="14" numFmtId="0" xfId="0" applyBorder="1" applyFont="1"/>
    <xf borderId="30" fillId="0" fontId="14" numFmtId="171" xfId="0" applyAlignment="1" applyBorder="1" applyFont="1" applyNumberFormat="1">
      <alignment horizontal="center" vertical="center"/>
    </xf>
    <xf borderId="30" fillId="16" fontId="14" numFmtId="171" xfId="0" applyAlignment="1" applyBorder="1" applyFont="1" applyNumberFormat="1">
      <alignment horizontal="center" vertical="center"/>
    </xf>
    <xf borderId="87" fillId="16" fontId="14" numFmtId="172" xfId="0" applyAlignment="1" applyBorder="1" applyFont="1" applyNumberFormat="1">
      <alignment horizontal="center" vertical="center"/>
    </xf>
    <xf borderId="88" fillId="3" fontId="14" numFmtId="172" xfId="0" applyAlignment="1" applyBorder="1" applyFont="1" applyNumberFormat="1">
      <alignment horizontal="center" vertical="center"/>
    </xf>
    <xf borderId="89" fillId="3" fontId="14" numFmtId="172" xfId="0" applyAlignment="1" applyBorder="1" applyFont="1" applyNumberFormat="1">
      <alignment horizontal="center" vertical="center"/>
    </xf>
    <xf borderId="78" fillId="3" fontId="14" numFmtId="172" xfId="0" applyAlignment="1" applyBorder="1" applyFont="1" applyNumberFormat="1">
      <alignment horizontal="center" vertical="center"/>
    </xf>
    <xf borderId="87" fillId="3" fontId="14" numFmtId="172" xfId="0" applyAlignment="1" applyBorder="1" applyFont="1" applyNumberFormat="1">
      <alignment horizontal="center" vertical="center"/>
    </xf>
    <xf borderId="39" fillId="0" fontId="14" numFmtId="0" xfId="0" applyBorder="1" applyFont="1"/>
    <xf borderId="31" fillId="0" fontId="14" numFmtId="175" xfId="0" applyAlignment="1" applyBorder="1" applyFont="1" applyNumberFormat="1">
      <alignment horizontal="center" vertical="center"/>
    </xf>
    <xf borderId="75" fillId="0" fontId="14" numFmtId="175" xfId="0" applyAlignment="1" applyBorder="1" applyFont="1" applyNumberFormat="1">
      <alignment horizontal="center" vertical="center"/>
    </xf>
    <xf borderId="56" fillId="16" fontId="14" numFmtId="175" xfId="0" applyAlignment="1" applyBorder="1" applyFont="1" applyNumberFormat="1">
      <alignment horizontal="center" vertical="center"/>
    </xf>
    <xf borderId="40" fillId="16" fontId="14" numFmtId="175" xfId="0" applyAlignment="1" applyBorder="1" applyFont="1" applyNumberFormat="1">
      <alignment horizontal="center" vertical="center"/>
    </xf>
    <xf borderId="40" fillId="3" fontId="14" numFmtId="175" xfId="0" applyAlignment="1" applyBorder="1" applyFont="1" applyNumberFormat="1">
      <alignment horizontal="center" vertical="center"/>
    </xf>
    <xf borderId="7" fillId="3" fontId="14" numFmtId="175" xfId="0" applyAlignment="1" applyBorder="1" applyFont="1" applyNumberFormat="1">
      <alignment horizontal="center" vertical="center"/>
    </xf>
    <xf borderId="20" fillId="3" fontId="14" numFmtId="172" xfId="0" applyAlignment="1" applyBorder="1" applyFont="1" applyNumberFormat="1">
      <alignment horizontal="center" vertical="center"/>
    </xf>
    <xf borderId="75" fillId="0" fontId="14" numFmtId="1" xfId="0" applyAlignment="1" applyBorder="1" applyFont="1" applyNumberFormat="1">
      <alignment horizontal="center" vertical="center"/>
    </xf>
    <xf borderId="40" fillId="16" fontId="14" numFmtId="172" xfId="0" applyAlignment="1" applyBorder="1" applyFont="1" applyNumberFormat="1">
      <alignment horizontal="center" vertical="center"/>
    </xf>
    <xf borderId="7" fillId="3" fontId="14" numFmtId="3" xfId="0" applyAlignment="1" applyBorder="1" applyFont="1" applyNumberFormat="1">
      <alignment horizontal="center" vertical="center"/>
    </xf>
    <xf borderId="40" fillId="3" fontId="14" numFmtId="3" xfId="0" applyAlignment="1" applyBorder="1" applyFont="1" applyNumberFormat="1">
      <alignment horizontal="center" vertical="center"/>
    </xf>
    <xf borderId="42" fillId="0" fontId="14" numFmtId="3" xfId="0" applyAlignment="1" applyBorder="1" applyFont="1" applyNumberFormat="1">
      <alignment horizontal="center" vertical="center"/>
    </xf>
    <xf borderId="42" fillId="0" fontId="14" numFmtId="171" xfId="0" applyAlignment="1" applyBorder="1" applyFont="1" applyNumberFormat="1">
      <alignment horizontal="center" vertical="center"/>
    </xf>
    <xf borderId="16" fillId="16" fontId="14" numFmtId="171" xfId="0" applyAlignment="1" applyBorder="1" applyFont="1" applyNumberFormat="1">
      <alignment horizontal="center" vertical="center"/>
    </xf>
    <xf borderId="55" fillId="0" fontId="14" numFmtId="3" xfId="0" applyAlignment="1" applyBorder="1" applyFont="1" applyNumberFormat="1">
      <alignment horizontal="center" vertical="center"/>
    </xf>
    <xf borderId="55" fillId="0" fontId="14" numFmtId="173" xfId="0" applyAlignment="1" applyBorder="1" applyFont="1" applyNumberFormat="1">
      <alignment horizontal="center" vertical="center"/>
    </xf>
    <xf borderId="52" fillId="16" fontId="14" numFmtId="3" xfId="0" applyAlignment="1" applyBorder="1" applyFont="1" applyNumberFormat="1">
      <alignment horizontal="center" vertical="center"/>
    </xf>
    <xf borderId="16" fillId="16" fontId="14" numFmtId="172" xfId="0" applyAlignment="1" applyBorder="1" applyFont="1" applyNumberFormat="1">
      <alignment horizontal="center" vertical="center"/>
    </xf>
    <xf borderId="16" fillId="3" fontId="14" numFmtId="175" xfId="0" applyAlignment="1" applyBorder="1" applyFont="1" applyNumberFormat="1">
      <alignment horizontal="center" vertical="center"/>
    </xf>
    <xf borderId="56" fillId="3" fontId="14" numFmtId="175" xfId="0" applyAlignment="1" applyBorder="1" applyFont="1" applyNumberFormat="1">
      <alignment horizontal="center" vertical="center"/>
    </xf>
    <xf borderId="90" fillId="3" fontId="14" numFmtId="172" xfId="0" applyAlignment="1" applyBorder="1" applyFont="1" applyNumberFormat="1">
      <alignment horizontal="center" vertical="center"/>
    </xf>
    <xf borderId="52" fillId="3" fontId="14" numFmtId="3" xfId="0" applyAlignment="1" applyBorder="1" applyFont="1" applyNumberFormat="1">
      <alignment horizontal="center" vertical="center"/>
    </xf>
    <xf borderId="0" fillId="0" fontId="17" numFmtId="176" xfId="0" applyAlignment="1" applyFont="1" applyNumberFormat="1">
      <alignment horizontal="center" vertical="center"/>
    </xf>
    <xf borderId="86" fillId="0" fontId="5" numFmtId="0" xfId="0" applyBorder="1" applyFont="1"/>
    <xf borderId="60" fillId="3" fontId="14" numFmtId="175" xfId="0" applyAlignment="1" applyBorder="1" applyFont="1" applyNumberFormat="1">
      <alignment horizontal="center" vertical="center"/>
    </xf>
    <xf borderId="56" fillId="3" fontId="5" numFmtId="175" xfId="0" applyAlignment="1" applyBorder="1" applyFont="1" applyNumberFormat="1">
      <alignment horizontal="center" vertical="center"/>
    </xf>
    <xf borderId="76" fillId="0" fontId="5" numFmtId="3" xfId="0" applyAlignment="1" applyBorder="1" applyFont="1" applyNumberFormat="1">
      <alignment horizontal="center" vertical="center"/>
    </xf>
    <xf borderId="76" fillId="0" fontId="5" numFmtId="174" xfId="0" applyAlignment="1" applyBorder="1" applyFont="1" applyNumberFormat="1">
      <alignment horizontal="center" vertical="center"/>
    </xf>
    <xf borderId="77" fillId="0" fontId="5" numFmtId="172" xfId="0" applyAlignment="1" applyBorder="1" applyFont="1" applyNumberFormat="1">
      <alignment horizontal="center" vertical="center"/>
    </xf>
    <xf borderId="78" fillId="16" fontId="5" numFmtId="172" xfId="0" applyAlignment="1" applyBorder="1" applyFont="1" applyNumberFormat="1">
      <alignment horizontal="center" vertical="center"/>
    </xf>
    <xf borderId="76" fillId="0" fontId="5" numFmtId="172" xfId="0" applyAlignment="1" applyBorder="1" applyFont="1" applyNumberFormat="1">
      <alignment horizontal="center" vertical="center"/>
    </xf>
    <xf borderId="40" fillId="3" fontId="5" numFmtId="175" xfId="0" applyAlignment="1" applyBorder="1" applyFont="1" applyNumberFormat="1">
      <alignment horizontal="center" vertical="center"/>
    </xf>
    <xf borderId="7" fillId="3" fontId="5" numFmtId="175" xfId="0" applyAlignment="1" applyBorder="1" applyFont="1" applyNumberFormat="1">
      <alignment horizontal="center" vertical="center"/>
    </xf>
    <xf borderId="20" fillId="3" fontId="5" numFmtId="3" xfId="0" applyAlignment="1" applyBorder="1" applyFont="1" applyNumberFormat="1">
      <alignment horizontal="center" vertical="center"/>
    </xf>
    <xf borderId="91" fillId="3" fontId="5" numFmtId="3" xfId="0" applyAlignment="1" applyBorder="1" applyFont="1" applyNumberFormat="1">
      <alignment horizontal="center" vertical="center"/>
    </xf>
    <xf borderId="20" fillId="3" fontId="5" numFmtId="172" xfId="0" applyAlignment="1" applyBorder="1" applyFont="1" applyNumberFormat="1">
      <alignment horizontal="center" vertical="center"/>
    </xf>
    <xf borderId="91" fillId="3" fontId="5" numFmtId="172" xfId="0" applyAlignment="1" applyBorder="1" applyFont="1" applyNumberFormat="1">
      <alignment horizontal="center" vertical="center"/>
    </xf>
    <xf borderId="23" fillId="16" fontId="14" numFmtId="171" xfId="0" applyAlignment="1" applyBorder="1" applyFont="1" applyNumberFormat="1">
      <alignment horizontal="center" vertical="center"/>
    </xf>
    <xf borderId="59" fillId="0" fontId="14" numFmtId="3" xfId="0" applyAlignment="1" applyBorder="1" applyFont="1" applyNumberFormat="1">
      <alignment horizontal="center" vertical="center"/>
    </xf>
    <xf borderId="64" fillId="16" fontId="14" numFmtId="3" xfId="0" applyAlignment="1" applyBorder="1" applyFont="1" applyNumberFormat="1">
      <alignment horizontal="center" vertical="center"/>
    </xf>
    <xf borderId="64" fillId="16" fontId="14" numFmtId="172" xfId="0" applyAlignment="1" applyBorder="1" applyFont="1" applyNumberFormat="1">
      <alignment horizontal="center" vertical="center"/>
    </xf>
    <xf borderId="64" fillId="3" fontId="14" numFmtId="3" xfId="0" applyAlignment="1" applyBorder="1" applyFont="1" applyNumberFormat="1">
      <alignment horizontal="center" vertical="center"/>
    </xf>
    <xf borderId="20" fillId="3" fontId="14" numFmtId="3" xfId="0" applyAlignment="1" applyBorder="1" applyFont="1" applyNumberFormat="1">
      <alignment horizontal="center" vertical="center"/>
    </xf>
    <xf borderId="91" fillId="3" fontId="14" numFmtId="3" xfId="0" applyAlignment="1" applyBorder="1" applyFont="1" applyNumberFormat="1">
      <alignment horizontal="center" vertical="center"/>
    </xf>
    <xf borderId="33" fillId="0" fontId="14" numFmtId="171" xfId="0" applyAlignment="1" applyBorder="1" applyFont="1" applyNumberFormat="1">
      <alignment horizontal="center" vertical="center"/>
    </xf>
    <xf borderId="27" fillId="16" fontId="14" numFmtId="171" xfId="0" applyAlignment="1" applyBorder="1" applyFont="1" applyNumberFormat="1">
      <alignment horizontal="center" vertical="center"/>
    </xf>
    <xf borderId="26" fillId="16" fontId="14" numFmtId="171" xfId="0" applyAlignment="1" applyBorder="1" applyFont="1" applyNumberFormat="1">
      <alignment horizontal="center" vertical="center"/>
    </xf>
    <xf borderId="70" fillId="0" fontId="14" numFmtId="3" xfId="0" applyAlignment="1" applyBorder="1" applyFont="1" applyNumberFormat="1">
      <alignment horizontal="center" vertical="center"/>
    </xf>
    <xf borderId="84" fillId="16" fontId="14" numFmtId="3" xfId="0" applyAlignment="1" applyBorder="1" applyFont="1" applyNumberFormat="1">
      <alignment horizontal="center" vertical="center"/>
    </xf>
    <xf borderId="84" fillId="3" fontId="14" numFmtId="3" xfId="0" applyAlignment="1" applyBorder="1" applyFont="1" applyNumberFormat="1">
      <alignment horizontal="center" vertical="center"/>
    </xf>
    <xf borderId="26" fillId="3" fontId="14" numFmtId="3" xfId="0" applyAlignment="1" applyBorder="1" applyFont="1" applyNumberFormat="1">
      <alignment horizontal="center" vertical="center"/>
    </xf>
    <xf borderId="85" fillId="3" fontId="14" numFmtId="3" xfId="0" applyAlignment="1" applyBorder="1" applyFont="1" applyNumberFormat="1">
      <alignment horizontal="center" vertical="center"/>
    </xf>
    <xf borderId="26" fillId="0" fontId="14" numFmtId="174" xfId="0" applyAlignment="1" applyBorder="1" applyFont="1" applyNumberFormat="1">
      <alignment horizontal="center" vertical="center"/>
    </xf>
    <xf borderId="92" fillId="0" fontId="9" numFmtId="0" xfId="0" applyAlignment="1" applyBorder="1" applyFont="1">
      <alignment horizontal="center" vertical="center"/>
    </xf>
    <xf borderId="93" fillId="0" fontId="9" numFmtId="169" xfId="0" applyAlignment="1" applyBorder="1" applyFont="1" applyNumberFormat="1">
      <alignment horizontal="center" vertical="center"/>
    </xf>
    <xf borderId="93" fillId="0" fontId="9" numFmtId="171" xfId="0" applyAlignment="1" applyBorder="1" applyFont="1" applyNumberFormat="1">
      <alignment horizontal="center" vertical="center"/>
    </xf>
    <xf borderId="44" fillId="16" fontId="9" numFmtId="171" xfId="0" applyAlignment="1" applyBorder="1" applyFont="1" applyNumberFormat="1">
      <alignment horizontal="center" vertical="center"/>
    </xf>
    <xf borderId="44" fillId="3" fontId="9" numFmtId="171" xfId="0" applyAlignment="1" applyBorder="1" applyFont="1" applyNumberFormat="1">
      <alignment horizontal="center" vertical="center"/>
    </xf>
    <xf borderId="94" fillId="16" fontId="9" numFmtId="171" xfId="0" applyAlignment="1" applyBorder="1" applyFont="1" applyNumberFormat="1">
      <alignment horizontal="center" vertical="center"/>
    </xf>
    <xf borderId="94" fillId="3" fontId="9" numFmtId="171" xfId="0" applyAlignment="1" applyBorder="1" applyFont="1" applyNumberFormat="1">
      <alignment horizontal="center" vertical="center"/>
    </xf>
    <xf borderId="94" fillId="18" fontId="9" numFmtId="171" xfId="0" applyAlignment="1" applyBorder="1" applyFill="1" applyFont="1" applyNumberFormat="1">
      <alignment horizontal="center" vertical="center"/>
    </xf>
    <xf borderId="44" fillId="18" fontId="9" numFmtId="171" xfId="0" applyAlignment="1" applyBorder="1" applyFont="1" applyNumberFormat="1">
      <alignment horizontal="center" vertical="center"/>
    </xf>
    <xf borderId="95" fillId="0" fontId="9" numFmtId="168" xfId="0" applyAlignment="1" applyBorder="1" applyFont="1" applyNumberFormat="1">
      <alignment horizontal="center" vertical="center"/>
    </xf>
    <xf borderId="46" fillId="0" fontId="5" numFmtId="169" xfId="0" applyBorder="1" applyFont="1" applyNumberFormat="1"/>
    <xf borderId="46" fillId="0" fontId="5" numFmtId="171" xfId="0" applyBorder="1" applyFont="1" applyNumberFormat="1"/>
    <xf borderId="51" fillId="3" fontId="5" numFmtId="171" xfId="0" applyBorder="1" applyFont="1" applyNumberFormat="1"/>
    <xf borderId="51" fillId="3" fontId="5" numFmtId="169" xfId="0" applyBorder="1" applyFont="1" applyNumberFormat="1"/>
    <xf borderId="0" fillId="0" fontId="5" numFmtId="169" xfId="0" applyFont="1" applyNumberFormat="1"/>
    <xf borderId="19" fillId="0" fontId="9" numFmtId="168" xfId="0" applyAlignment="1" applyBorder="1" applyFont="1" applyNumberFormat="1">
      <alignment horizontal="center" vertical="center"/>
    </xf>
    <xf borderId="0" fillId="0" fontId="5" numFmtId="171" xfId="0" applyFont="1" applyNumberFormat="1"/>
    <xf borderId="7" fillId="3" fontId="5" numFmtId="171" xfId="0" applyBorder="1" applyFont="1" applyNumberFormat="1"/>
    <xf borderId="26" fillId="0" fontId="9" numFmtId="168" xfId="0" applyAlignment="1" applyBorder="1" applyFont="1" applyNumberFormat="1">
      <alignment horizontal="center" vertical="center"/>
    </xf>
    <xf borderId="7" fillId="3" fontId="5" numFmtId="169" xfId="0" applyBorder="1" applyFont="1" applyNumberFormat="1"/>
    <xf borderId="96" fillId="0" fontId="24" numFmtId="0" xfId="0" applyBorder="1" applyFont="1"/>
    <xf borderId="97" fillId="0" fontId="25" numFmtId="0" xfId="0" applyBorder="1" applyFont="1"/>
    <xf borderId="97" fillId="0" fontId="26" numFmtId="171" xfId="0" applyBorder="1" applyFont="1" applyNumberFormat="1"/>
    <xf borderId="97" fillId="3" fontId="27" numFmtId="171" xfId="0" applyBorder="1" applyFont="1" applyNumberFormat="1"/>
    <xf borderId="98" fillId="0" fontId="28" numFmtId="0" xfId="0" applyBorder="1" applyFont="1"/>
    <xf borderId="99" fillId="3" fontId="29" numFmtId="0" xfId="0" applyBorder="1" applyFont="1"/>
    <xf borderId="100" fillId="0" fontId="30" numFmtId="0" xfId="0" applyBorder="1" applyFont="1"/>
    <xf borderId="101" fillId="0" fontId="5" numFmtId="0" xfId="0" applyBorder="1" applyFont="1"/>
    <xf borderId="102" fillId="0" fontId="5" numFmtId="0" xfId="0" applyBorder="1" applyFont="1"/>
    <xf borderId="102" fillId="0" fontId="5" numFmtId="171" xfId="0" applyBorder="1" applyFont="1" applyNumberFormat="1"/>
    <xf borderId="102" fillId="3" fontId="5" numFmtId="171" xfId="0" applyBorder="1" applyFont="1" applyNumberFormat="1"/>
    <xf borderId="103" fillId="0" fontId="5" numFmtId="0" xfId="0" applyBorder="1" applyFont="1"/>
    <xf borderId="104" fillId="3" fontId="5" numFmtId="0" xfId="0" applyBorder="1" applyFont="1"/>
    <xf borderId="105" fillId="0" fontId="5" numFmtId="0" xfId="0" applyBorder="1" applyFont="1"/>
    <xf borderId="106" fillId="0" fontId="5" numFmtId="0" xfId="0" applyBorder="1" applyFont="1"/>
    <xf borderId="107" fillId="0" fontId="5" numFmtId="0" xfId="0" applyBorder="1" applyFont="1"/>
    <xf borderId="107" fillId="0" fontId="5" numFmtId="171" xfId="0" applyBorder="1" applyFont="1" applyNumberFormat="1"/>
    <xf borderId="107" fillId="3" fontId="5" numFmtId="171" xfId="0" applyBorder="1" applyFont="1" applyNumberFormat="1"/>
    <xf borderId="108" fillId="0" fontId="5" numFmtId="0" xfId="0" applyBorder="1" applyFont="1"/>
    <xf borderId="109" fillId="3" fontId="5" numFmtId="0" xfId="0" applyBorder="1" applyFont="1"/>
    <xf borderId="110" fillId="0" fontId="5" numFmtId="0" xfId="0" applyBorder="1" applyFont="1"/>
    <xf borderId="111" fillId="0" fontId="5" numFmtId="0" xfId="0" applyBorder="1" applyFont="1"/>
    <xf borderId="112" fillId="0" fontId="5" numFmtId="0" xfId="0" applyBorder="1" applyFont="1"/>
    <xf borderId="112" fillId="0" fontId="5" numFmtId="171" xfId="0" applyBorder="1" applyFont="1" applyNumberFormat="1"/>
    <xf borderId="112" fillId="3" fontId="5" numFmtId="171" xfId="0" applyBorder="1" applyFont="1" applyNumberFormat="1"/>
    <xf borderId="113" fillId="0" fontId="5" numFmtId="0" xfId="0" applyBorder="1" applyFont="1"/>
    <xf borderId="114" fillId="3" fontId="5" numFmtId="0" xfId="0" applyBorder="1" applyFont="1"/>
    <xf borderId="115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Penjualan (Qty) sept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Kuantitas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penjualan '!$B$5:$B$7</c:f>
            </c:strRef>
          </c:cat>
          <c:val>
            <c:numRef>
              <c:f>'Data penjualan '!$E$5:$E$7</c:f>
              <c:numCache/>
            </c:numRef>
          </c:val>
          <c:smooth val="0"/>
        </c:ser>
        <c:axId val="49814457"/>
        <c:axId val="1461916923"/>
      </c:lineChart>
      <c:catAx>
        <c:axId val="49814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/d/yyyy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61916923"/>
      </c:catAx>
      <c:valAx>
        <c:axId val="1461916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98144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0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Pendapatan Penjualan</a:t>
            </a:r>
          </a:p>
        </c:rich>
      </c:tx>
      <c:layout>
        <c:manualLayout>
          <c:xMode val="edge"/>
          <c:yMode val="edge"/>
          <c:x val="0.37801377952755905"/>
          <c:y val="0.027777777777777776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'Data penjualan '!$B$5:$B$22</c:f>
            </c:strRef>
          </c:cat>
          <c:val>
            <c:numRef>
              <c:f>'Data penjualan '!$I$5:$I$21</c:f>
              <c:numCache/>
            </c:numRef>
          </c:val>
        </c:ser>
        <c:axId val="1633022633"/>
        <c:axId val="490912997"/>
      </c:barChart>
      <c:catAx>
        <c:axId val="1633022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0912997"/>
      </c:catAx>
      <c:valAx>
        <c:axId val="490912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3022633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Laba per penjualan</a:t>
            </a:r>
          </a:p>
        </c:rich>
      </c:tx>
      <c:overlay val="0"/>
    </c:title>
    <c:plotArea>
      <c:layout>
        <c:manualLayout>
          <c:xMode val="edge"/>
          <c:yMode val="edge"/>
          <c:x val="0.12241478006331113"/>
          <c:y val="0.17961426170043351"/>
          <c:w val="0.8066235322656274"/>
          <c:h val="0.7762679524609986"/>
        </c:manualLayout>
      </c:layout>
      <c:areaChart>
        <c:ser>
          <c:idx val="0"/>
          <c:order val="0"/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'Data penjualan '!$B$5:$B$22</c:f>
            </c:strRef>
          </c:cat>
          <c:val>
            <c:numRef>
              <c:f>'Data penjualan '!$J$5:$J$21</c:f>
              <c:numCache/>
            </c:numRef>
          </c:val>
        </c:ser>
        <c:axId val="1878683630"/>
        <c:axId val="1012271251"/>
      </c:areaChart>
      <c:catAx>
        <c:axId val="1878683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2271251"/>
      </c:catAx>
      <c:valAx>
        <c:axId val="1012271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86836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Penjualan (total Qty)</a:t>
            </a:r>
          </a:p>
        </c:rich>
      </c:tx>
      <c:layout>
        <c:manualLayout>
          <c:xMode val="edge"/>
          <c:yMode val="edge"/>
          <c:x val="0.43946713003185633"/>
          <c:y val="0.026402640264026403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'Data penjualan '!$B$5:$B$27</c:f>
            </c:strRef>
          </c:cat>
          <c:val>
            <c:numRef>
              <c:f>'Data penjualan '!$E$5:$E$27</c:f>
              <c:numCache/>
            </c:numRef>
          </c:val>
          <c:smooth val="0"/>
        </c:ser>
        <c:axId val="841298358"/>
        <c:axId val="1317370168"/>
      </c:lineChart>
      <c:catAx>
        <c:axId val="841298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17370168"/>
      </c:catAx>
      <c:valAx>
        <c:axId val="1317370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412983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0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Penjualan (Qty) Okt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Kuantitas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penjualan '!$B$8:$B$14</c:f>
            </c:strRef>
          </c:cat>
          <c:val>
            <c:numRef>
              <c:f>'Data penjualan '!$E$8:$E$14</c:f>
              <c:numCache/>
            </c:numRef>
          </c:val>
          <c:smooth val="0"/>
        </c:ser>
        <c:axId val="821879231"/>
        <c:axId val="1017671705"/>
      </c:lineChart>
      <c:catAx>
        <c:axId val="82187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/d/yyyy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17671705"/>
      </c:catAx>
      <c:valAx>
        <c:axId val="1017671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218792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0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Penjualan (Qty) Nov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Kuantitas</c:v>
          </c:tx>
          <c:spPr>
            <a:ln cmpd="sng" w="28575">
              <a:solidFill>
                <a:srgbClr val="FF33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penjualan '!$B$15:$B$18</c:f>
            </c:strRef>
          </c:cat>
          <c:val>
            <c:numRef>
              <c:f>'Data penjualan '!$E$15:$E$18</c:f>
              <c:numCache/>
            </c:numRef>
          </c:val>
          <c:smooth val="0"/>
        </c:ser>
        <c:axId val="1997928913"/>
        <c:axId val="2147365168"/>
      </c:lineChart>
      <c:catAx>
        <c:axId val="1997928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/d/yyyy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47365168"/>
      </c:catAx>
      <c:valAx>
        <c:axId val="2147365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979289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0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Penjualan (Qty) Des 2023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Kuantitas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penjualan '!$B$19:$B$22</c:f>
            </c:strRef>
          </c:cat>
          <c:val>
            <c:numRef>
              <c:f>'Data penjualan '!$E$19:$E$22</c:f>
              <c:numCache/>
            </c:numRef>
          </c:val>
          <c:smooth val="0"/>
        </c:ser>
        <c:axId val="288375034"/>
        <c:axId val="1434711828"/>
      </c:lineChart>
      <c:catAx>
        <c:axId val="288375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/d/yyyy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34711828"/>
      </c:catAx>
      <c:valAx>
        <c:axId val="1434711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883750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0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Penjualan (Qty) Jan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penjualan '!$B$23:$B$25</c:f>
            </c:strRef>
          </c:cat>
          <c:val>
            <c:numRef>
              <c:f>'Data penjualan '!$E$23:$E$25</c:f>
              <c:numCache/>
            </c:numRef>
          </c:val>
          <c:smooth val="0"/>
        </c:ser>
        <c:axId val="1821393600"/>
        <c:axId val="1534419606"/>
      </c:lineChart>
      <c:catAx>
        <c:axId val="18213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/d/yyyy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34419606"/>
      </c:catAx>
      <c:valAx>
        <c:axId val="1534419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213936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0"/>
  </c:chart>
  <c:spPr>
    <a:solidFill>
      <a:schemeClr val="dk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37</xdr:row>
      <xdr:rowOff>161925</xdr:rowOff>
    </xdr:from>
    <xdr:ext cx="5276850" cy="2419350"/>
    <xdr:graphicFrame>
      <xdr:nvGraphicFramePr>
        <xdr:cNvPr id="3932075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94</xdr:row>
      <xdr:rowOff>19050</xdr:rowOff>
    </xdr:from>
    <xdr:ext cx="10991850" cy="2876550"/>
    <xdr:graphicFrame>
      <xdr:nvGraphicFramePr>
        <xdr:cNvPr id="86267243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110</xdr:row>
      <xdr:rowOff>171450</xdr:rowOff>
    </xdr:from>
    <xdr:ext cx="11001375" cy="3562350"/>
    <xdr:graphicFrame>
      <xdr:nvGraphicFramePr>
        <xdr:cNvPr id="19442987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47625</xdr:colOff>
      <xdr:row>77</xdr:row>
      <xdr:rowOff>0</xdr:rowOff>
    </xdr:from>
    <xdr:ext cx="10963275" cy="2886075"/>
    <xdr:graphicFrame>
      <xdr:nvGraphicFramePr>
        <xdr:cNvPr id="148544485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390525</xdr:colOff>
      <xdr:row>37</xdr:row>
      <xdr:rowOff>152400</xdr:rowOff>
    </xdr:from>
    <xdr:ext cx="5114925" cy="2419350"/>
    <xdr:graphicFrame>
      <xdr:nvGraphicFramePr>
        <xdr:cNvPr id="160032341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0</xdr:colOff>
      <xdr:row>51</xdr:row>
      <xdr:rowOff>0</xdr:rowOff>
    </xdr:from>
    <xdr:ext cx="5334000" cy="2419350"/>
    <xdr:graphicFrame>
      <xdr:nvGraphicFramePr>
        <xdr:cNvPr id="14028737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428625</xdr:colOff>
      <xdr:row>50</xdr:row>
      <xdr:rowOff>190500</xdr:rowOff>
    </xdr:from>
    <xdr:ext cx="5095875" cy="2419350"/>
    <xdr:graphicFrame>
      <xdr:nvGraphicFramePr>
        <xdr:cNvPr id="144928241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64</xdr:row>
      <xdr:rowOff>0</xdr:rowOff>
    </xdr:from>
    <xdr:ext cx="5334000" cy="2419350"/>
    <xdr:graphicFrame>
      <xdr:nvGraphicFramePr>
        <xdr:cNvPr id="188256771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1.43"/>
    <col customWidth="1" min="2" max="2" width="9.29"/>
    <col customWidth="1" min="3" max="3" width="9.86"/>
    <col customWidth="1" min="4" max="10" width="9.29"/>
    <col customWidth="1" min="11" max="11" width="9.86"/>
    <col customWidth="1" min="12" max="26" width="8.71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5"/>
    </row>
    <row r="3">
      <c r="A3" s="6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</row>
    <row r="4">
      <c r="A4" s="8">
        <v>45170.0</v>
      </c>
      <c r="B4" s="9">
        <v>0.0</v>
      </c>
      <c r="C4" s="9">
        <f>SUM('Stok Yakin Pasifik Tuna'!K9:K12)</f>
        <v>6053.2</v>
      </c>
      <c r="D4" s="9">
        <f>SUM('Stok Yakin Pasifik Tuna'!K13:K16)</f>
        <v>815.9</v>
      </c>
      <c r="E4" s="9">
        <f>SUM('Stok Yakin Pasifik Tuna'!K20:K23)</f>
        <v>16.4</v>
      </c>
      <c r="F4" s="9">
        <f>SUM('Stok Yakin Pasifik Tuna'!K24:K26)</f>
        <v>6.2</v>
      </c>
      <c r="G4" s="9">
        <f>SUM('Stok Yakin Pasifik Tuna'!K31:K34)</f>
        <v>527.6</v>
      </c>
      <c r="H4" s="9">
        <f>SUM('Stok Yakin Pasifik Tuna'!K35:K38)</f>
        <v>131.2</v>
      </c>
      <c r="I4" s="9">
        <f>SUM('Stok Yakin Pasifik Tuna'!K45)</f>
        <v>406.4</v>
      </c>
      <c r="J4" s="9">
        <v>0.0</v>
      </c>
      <c r="K4" s="10">
        <f t="shared" ref="K4:K15" si="1">SUM(B4:J4)</f>
        <v>7956.9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>
        <v>45171.0</v>
      </c>
      <c r="B5" s="13">
        <f>SUM('Stok Nagata Tuna'!BA5:BA8)</f>
        <v>180</v>
      </c>
      <c r="C5" s="13">
        <f>SUM('Stok Nagata Tuna'!BA9:BA13)+(SUM('Stok Yakin Pasifik Tuna'!L9:L12))</f>
        <v>3677.5</v>
      </c>
      <c r="D5" s="13">
        <f>SUM('Stok Nagata Tuna'!BA17:BA21)+(SUM('Stok Yakin Pasifik Tuna'!L13:L16))</f>
        <v>478.9</v>
      </c>
      <c r="E5" s="13">
        <f>SUM('Stok Yakin Pasifik Tuna'!L22)</f>
        <v>27.7</v>
      </c>
      <c r="F5" s="13">
        <f>SUM('Stok Yakin Pasifik Tuna'!L25:L26)</f>
        <v>7.8</v>
      </c>
      <c r="G5" s="13">
        <v>0.0</v>
      </c>
      <c r="H5" s="13">
        <v>0.0</v>
      </c>
      <c r="I5" s="13">
        <v>0.0</v>
      </c>
      <c r="J5" s="13">
        <f>'Stok Yakin Pasifik Tuna'!L45</f>
        <v>26.1</v>
      </c>
      <c r="K5" s="10">
        <f t="shared" si="1"/>
        <v>4398</v>
      </c>
    </row>
    <row r="6">
      <c r="A6" s="12">
        <v>45172.0</v>
      </c>
      <c r="B6" s="13">
        <f>SUM('Stok Nagata Tuna'!BB5:BB8)</f>
        <v>240</v>
      </c>
      <c r="C6" s="13">
        <f>SUM('Stok Nagata Tuna'!BB9:BB13)+(SUM('Stok Yakin Pasifik Tuna'!M9:M12))</f>
        <v>5415.7</v>
      </c>
      <c r="D6" s="13">
        <f>SUM('Stok Nagata Tuna'!BB17:BB21)+(SUM('Stok Yakin Pasifik Tuna'!M13:M16))</f>
        <v>539.2</v>
      </c>
      <c r="E6" s="13">
        <f>50</f>
        <v>50</v>
      </c>
      <c r="F6" s="14">
        <f>SUM('Stok Yakin Pasifik Tuna'!M25)</f>
        <v>1.9</v>
      </c>
      <c r="G6" s="13">
        <v>1630.0</v>
      </c>
      <c r="H6" s="13">
        <v>20.0</v>
      </c>
      <c r="I6" s="13">
        <v>0.0</v>
      </c>
      <c r="J6" s="13">
        <v>10.0</v>
      </c>
      <c r="K6" s="10">
        <f t="shared" si="1"/>
        <v>7906.8</v>
      </c>
    </row>
    <row r="7">
      <c r="A7" s="12">
        <v>45173.0</v>
      </c>
      <c r="B7" s="13">
        <f>SUM('Stok Nagata Tuna'!BE5:BE8)+'Stok Yakin Pasifik Tuna'!N5</f>
        <v>254.6</v>
      </c>
      <c r="C7" s="13">
        <f>SUM('Stok Nagata Tuna'!BE9:BE13)+SUM('Stok Yakin Pasifik Tuna'!N9:N12)</f>
        <v>5033.5</v>
      </c>
      <c r="D7" s="13">
        <f>SUM('Stok Nagata Tuna'!BE17:BE21)+SUM('Stok Yakin Pasifik Tuna'!N13:N15)</f>
        <v>1262</v>
      </c>
      <c r="E7" s="13">
        <f>SUM('Stok Yakin Pasifik Tuna'!N20:N21)</f>
        <v>6.3</v>
      </c>
      <c r="F7" s="13">
        <f>SUM('Stok Yakin Pasifik Tuna'!N24:N25)</f>
        <v>15.3</v>
      </c>
      <c r="G7" s="13">
        <f>SUM('Stok Yakin Pasifik Tuna'!N31:N34)</f>
        <v>435.9</v>
      </c>
      <c r="H7" s="13">
        <f>SUM('Stok Yakin Pasifik Tuna'!N35:N38)</f>
        <v>118.5</v>
      </c>
      <c r="I7" s="13">
        <f>SUM('Stok Yakin Pasifik Tuna'!N39:N45)</f>
        <v>6.5</v>
      </c>
      <c r="J7" s="13">
        <v>10.0</v>
      </c>
      <c r="K7" s="10">
        <f t="shared" si="1"/>
        <v>7142.6</v>
      </c>
    </row>
    <row r="8">
      <c r="A8" s="12">
        <v>45175.0</v>
      </c>
      <c r="B8" s="13">
        <f>SUM('Stok Nagata Tuna'!BF5:BF8)</f>
        <v>20</v>
      </c>
      <c r="C8" s="13">
        <f>SUM('Stok Nagata Tuna'!BF9:BF13)</f>
        <v>5070</v>
      </c>
      <c r="D8" s="13">
        <f>SUM('Stok Nagata Tuna'!BF17:BF21)</f>
        <v>830</v>
      </c>
      <c r="E8" s="13">
        <v>100.0</v>
      </c>
      <c r="F8" s="13">
        <v>0.0</v>
      </c>
      <c r="G8" s="13">
        <v>0.0</v>
      </c>
      <c r="H8" s="13">
        <v>10.0</v>
      </c>
      <c r="I8" s="13">
        <v>0.0</v>
      </c>
      <c r="J8" s="13">
        <v>0.0</v>
      </c>
      <c r="K8" s="10">
        <f t="shared" si="1"/>
        <v>6030</v>
      </c>
    </row>
    <row r="9">
      <c r="A9" s="12">
        <v>45192.0</v>
      </c>
      <c r="B9" s="13">
        <f>SUM('Stok Nagata Tuna'!BG5:BG8)</f>
        <v>60</v>
      </c>
      <c r="C9" s="13">
        <f>SUM('Stok Nagata Tuna'!BG9:BG13)</f>
        <v>2550</v>
      </c>
      <c r="D9" s="13">
        <f>SUM('Stok Nagata Tuna'!BG17:BG21)</f>
        <v>840</v>
      </c>
      <c r="E9" s="13">
        <v>300.0</v>
      </c>
      <c r="F9" s="13">
        <v>70.0</v>
      </c>
      <c r="G9" s="13">
        <v>60.0</v>
      </c>
      <c r="H9" s="13">
        <v>40.0</v>
      </c>
      <c r="I9" s="13">
        <v>40.0</v>
      </c>
      <c r="J9" s="13">
        <v>20.0</v>
      </c>
      <c r="K9" s="10">
        <f t="shared" si="1"/>
        <v>3980</v>
      </c>
    </row>
    <row r="10">
      <c r="A10" s="12">
        <v>45193.0</v>
      </c>
      <c r="B10" s="13">
        <f>SUM('Stok Nagata Tuna'!BH5:BH8)</f>
        <v>10</v>
      </c>
      <c r="C10" s="13">
        <f>SUM('Stok Nagata Tuna'!BH9:BH13)</f>
        <v>1220</v>
      </c>
      <c r="D10" s="13">
        <f>SUM('Stok Nagata Tuna'!BH17:BH21)</f>
        <v>120</v>
      </c>
      <c r="E10" s="13">
        <v>10.0</v>
      </c>
      <c r="F10" s="13">
        <v>10.0</v>
      </c>
      <c r="G10" s="13">
        <v>0.0</v>
      </c>
      <c r="H10" s="13">
        <v>0.0</v>
      </c>
      <c r="I10" s="13">
        <v>0.0</v>
      </c>
      <c r="J10" s="13">
        <v>40.0</v>
      </c>
      <c r="K10" s="10">
        <f t="shared" si="1"/>
        <v>1410</v>
      </c>
    </row>
    <row r="11">
      <c r="A11" s="12">
        <v>45194.0</v>
      </c>
      <c r="B11" s="13">
        <f>SUM('Stok Nagata Tuna'!BI5:BI8)</f>
        <v>10</v>
      </c>
      <c r="C11" s="13">
        <f>SUM('Stok Nagata Tuna'!BI9:BI13)</f>
        <v>1160</v>
      </c>
      <c r="D11" s="13">
        <f>SUM('Stok Nagata Tuna'!BI17:BI21)</f>
        <v>490</v>
      </c>
      <c r="E11" s="13">
        <v>20.0</v>
      </c>
      <c r="F11" s="13">
        <v>30.0</v>
      </c>
      <c r="G11" s="13">
        <v>0.0</v>
      </c>
      <c r="H11" s="13">
        <v>0.0</v>
      </c>
      <c r="I11" s="13">
        <v>20.0</v>
      </c>
      <c r="J11" s="13">
        <v>20.0</v>
      </c>
      <c r="K11" s="10">
        <f t="shared" si="1"/>
        <v>1750</v>
      </c>
    </row>
    <row r="12">
      <c r="A12" s="12">
        <v>45195.0</v>
      </c>
      <c r="B12" s="13">
        <f>SUM('Stok Yakin Pasifik Tuna'!Q5:Q6)</f>
        <v>0</v>
      </c>
      <c r="C12" s="13">
        <f>SUM('Stok Yakin Pasifik Tuna'!Q9:Q12)</f>
        <v>569.7</v>
      </c>
      <c r="D12" s="13">
        <f>SUM('Stok Yakin Pasifik Tuna'!Q13:Q16)</f>
        <v>475.6</v>
      </c>
      <c r="E12" s="13">
        <f>SUM('Stok Yakin Pasifik Tuna'!Q20:Q23)</f>
        <v>58.9</v>
      </c>
      <c r="F12" s="13">
        <v>60.0</v>
      </c>
      <c r="G12" s="13">
        <f>SUM('Stok Yakin Pasifik Tuna'!Q31:Q34)</f>
        <v>165.5</v>
      </c>
      <c r="H12" s="13">
        <f>SUM('Stok Yakin Pasifik Tuna'!Q35:Q38)</f>
        <v>263.8</v>
      </c>
      <c r="I12" s="13">
        <f>SUM('Stok Yakin Pasifik Tuna'!Q39:Q45)</f>
        <v>396.9</v>
      </c>
      <c r="J12" s="13">
        <v>0.0</v>
      </c>
      <c r="K12" s="10">
        <f t="shared" si="1"/>
        <v>1990.4</v>
      </c>
    </row>
    <row r="13">
      <c r="A13" s="12">
        <v>45197.0</v>
      </c>
      <c r="B13" s="13">
        <f>SUM('Stok Yakin Pasifik Tuna'!R6:R7)</f>
        <v>0</v>
      </c>
      <c r="C13" s="13">
        <f>SUM('Stok Yakin Pasifik Tuna'!R8:R12)</f>
        <v>1144.5</v>
      </c>
      <c r="D13" s="13">
        <f>SUM('Stok Yakin Pasifik Tuna'!R13:R16)</f>
        <v>188.3</v>
      </c>
      <c r="E13" s="13">
        <f>SUM('Stok Yakin Pasifik Tuna'!R20:R23)</f>
        <v>140</v>
      </c>
      <c r="F13" s="13">
        <f>SUM('Stok Yakin Pasifik Tuna'!R24:R26)</f>
        <v>40</v>
      </c>
      <c r="G13" s="13">
        <f>SUM('Stok Yakin Pasifik Tuna'!R31:R34)</f>
        <v>15.9</v>
      </c>
      <c r="H13" s="13">
        <f>SUM('Stok Yakin Pasifik Tuna'!R35:R38)</f>
        <v>6.1</v>
      </c>
      <c r="I13" s="13">
        <f>SUM('Stok Yakin Pasifik Tuna'!R39:R45)</f>
        <v>13.3</v>
      </c>
      <c r="J13" s="13">
        <v>0.0</v>
      </c>
      <c r="K13" s="10">
        <f t="shared" si="1"/>
        <v>1548.1</v>
      </c>
    </row>
    <row r="14">
      <c r="A14" s="12">
        <v>45199.0</v>
      </c>
      <c r="B14" s="13">
        <f>SUM('Stok Nagata Tuna'!BK5:BK8)</f>
        <v>190</v>
      </c>
      <c r="C14" s="13">
        <f>SUM('Stok Nagata Tuna'!BK9:BK13)+SUM('Stok Yakin Pasifik Tuna'!S9:S12)</f>
        <v>4535.8</v>
      </c>
      <c r="D14" s="13">
        <f>SUM('Stok Nagata Tuna'!BK17:BK21)+SUM('Stok Yakin Pasifik Tuna'!S13:S16)</f>
        <v>1796.2</v>
      </c>
      <c r="E14" s="13">
        <f>80+SUM('Stok Yakin Pasifik Tuna'!S21:S22)</f>
        <v>276.3</v>
      </c>
      <c r="F14" s="13">
        <f>40+SUM('Stok Yakin Pasifik Tuna'!S24:S25)</f>
        <v>115.1</v>
      </c>
      <c r="G14" s="13">
        <f>20+SUM('Stok Yakin Pasifik Tuna'!S31:S34)</f>
        <v>37.6</v>
      </c>
      <c r="H14" s="13">
        <f>40+SUM('Stok Yakin Pasifik Tuna'!S35:S38)</f>
        <v>95.1</v>
      </c>
      <c r="I14" s="13">
        <f>SUM('Stok Yakin Pasifik Tuna'!S39:S45)</f>
        <v>102.7</v>
      </c>
      <c r="J14" s="13">
        <v>10.0</v>
      </c>
      <c r="K14" s="10">
        <f t="shared" si="1"/>
        <v>7158.8</v>
      </c>
    </row>
    <row r="15">
      <c r="A15" s="15" t="s">
        <v>12</v>
      </c>
      <c r="B15" s="16">
        <f t="shared" ref="B15:J15" si="2">SUM(B5:B14)</f>
        <v>964.6</v>
      </c>
      <c r="C15" s="16">
        <f t="shared" si="2"/>
        <v>30376.7</v>
      </c>
      <c r="D15" s="16">
        <f t="shared" si="2"/>
        <v>7020.2</v>
      </c>
      <c r="E15" s="16">
        <f t="shared" si="2"/>
        <v>989.2</v>
      </c>
      <c r="F15" s="16">
        <f t="shared" si="2"/>
        <v>350.1</v>
      </c>
      <c r="G15" s="16">
        <f t="shared" si="2"/>
        <v>2344.9</v>
      </c>
      <c r="H15" s="16">
        <f t="shared" si="2"/>
        <v>553.5</v>
      </c>
      <c r="I15" s="16">
        <f t="shared" si="2"/>
        <v>579.4</v>
      </c>
      <c r="J15" s="16">
        <f t="shared" si="2"/>
        <v>136.1</v>
      </c>
      <c r="K15" s="17">
        <f t="shared" si="1"/>
        <v>43314.7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9"/>
      <c r="B16" s="13"/>
      <c r="C16" s="13"/>
      <c r="D16" s="13"/>
      <c r="E16" s="13"/>
      <c r="F16" s="13"/>
      <c r="G16" s="13"/>
      <c r="H16" s="13"/>
      <c r="I16" s="13"/>
      <c r="J16" s="13"/>
      <c r="K16" s="17"/>
    </row>
    <row r="17">
      <c r="A17" s="19">
        <v>45200.0</v>
      </c>
      <c r="B17" s="13">
        <v>0.0</v>
      </c>
      <c r="C17" s="13">
        <f>SUM('Stok Yakin Pasifik Tuna'!T9:T12)</f>
        <v>583.6</v>
      </c>
      <c r="D17" s="13">
        <f>SUM('Stok Yakin Pasifik Tuna'!T13:T16)</f>
        <v>267.9</v>
      </c>
      <c r="E17" s="13">
        <f>SUM('Stok Yakin Pasifik Tuna'!T21:T23)</f>
        <v>3.4</v>
      </c>
      <c r="F17" s="13">
        <f>SUM('Stok Yakin Pasifik Tuna'!T24:T26)</f>
        <v>14.5</v>
      </c>
      <c r="G17" s="13">
        <f>SUM('Stok Yakin Pasifik Tuna'!T31:T34)</f>
        <v>8.4</v>
      </c>
      <c r="H17" s="13">
        <f>SUM('Stok Yakin Pasifik Tuna'!T35:T38)</f>
        <v>301.5</v>
      </c>
      <c r="I17" s="13">
        <f>SUM('Stok Yakin Pasifik Tuna'!T39:T45)</f>
        <v>5.4</v>
      </c>
      <c r="J17" s="13">
        <v>0.0</v>
      </c>
      <c r="K17" s="10">
        <f t="shared" ref="K17:K59" si="3">SUM(B17:J17)</f>
        <v>1184.7</v>
      </c>
    </row>
    <row r="18">
      <c r="A18" s="19">
        <v>45202.0</v>
      </c>
      <c r="B18" s="13">
        <v>0.0</v>
      </c>
      <c r="C18" s="13">
        <f>SUM('Stok Yakin Pasifik Tuna'!U9:U12)</f>
        <v>3497.7</v>
      </c>
      <c r="D18" s="13">
        <f>SUM('Stok Yakin Pasifik Tuna'!U13:U16)</f>
        <v>200</v>
      </c>
      <c r="E18" s="13">
        <f>SUM('Stok Yakin Pasifik Tuna'!U20:U23)</f>
        <v>936.5</v>
      </c>
      <c r="F18" s="13">
        <f>SUM('Stok Yakin Pasifik Tuna'!U24:U26)</f>
        <v>242.9</v>
      </c>
      <c r="G18" s="13">
        <f>SUM('Stok Yakin Pasifik Tuna'!U27:U34)</f>
        <v>27.7</v>
      </c>
      <c r="H18" s="13">
        <f>SUM('Stok Yakin Pasifik Tuna'!U35:U38)</f>
        <v>3.5</v>
      </c>
      <c r="I18" s="13">
        <f>SUM('Stok Yakin Pasifik Tuna'!U39:U45)</f>
        <v>14.7</v>
      </c>
      <c r="J18" s="13">
        <v>0.0</v>
      </c>
      <c r="K18" s="10">
        <f t="shared" si="3"/>
        <v>4923</v>
      </c>
    </row>
    <row r="19">
      <c r="A19" s="19">
        <v>45203.0</v>
      </c>
      <c r="B19" s="13">
        <v>0.0</v>
      </c>
      <c r="C19" s="13">
        <f>SUM('Stok Yakin Pasifik Tuna'!V9:V12)</f>
        <v>2439.4</v>
      </c>
      <c r="D19" s="13">
        <f>SUM('Stok Yakin Pasifik Tuna'!V13:V15)</f>
        <v>256.7</v>
      </c>
      <c r="E19" s="13">
        <f>SUM('Stok Yakin Pasifik Tuna'!V20:V23)</f>
        <v>402</v>
      </c>
      <c r="F19" s="13">
        <f>SUM('Stok Yakin Pasifik Tuna'!V24:V26)</f>
        <v>94.2</v>
      </c>
      <c r="G19" s="13">
        <f>SUM('Stok Yakin Pasifik Tuna'!V31:V34)</f>
        <v>5</v>
      </c>
      <c r="H19" s="13">
        <v>0.0</v>
      </c>
      <c r="I19" s="13">
        <f>SUM('Stok Yakin Pasifik Tuna'!V39:V45)</f>
        <v>15.3</v>
      </c>
      <c r="J19" s="13">
        <v>0.0</v>
      </c>
      <c r="K19" s="10">
        <f t="shared" si="3"/>
        <v>3212.6</v>
      </c>
    </row>
    <row r="20">
      <c r="A20" s="19">
        <v>45204.0</v>
      </c>
      <c r="B20" s="13">
        <v>0.0</v>
      </c>
      <c r="C20" s="13">
        <f>SUM('Stok Yakin Pasifik Tuna'!W9:W12)</f>
        <v>351</v>
      </c>
      <c r="D20" s="13">
        <f>SUM('Stok Yakin Pasifik Tuna'!W13:W15)</f>
        <v>626.5</v>
      </c>
      <c r="E20" s="13">
        <f>SUM('Stok Yakin Pasifik Tuna'!W20:W23)</f>
        <v>67.6</v>
      </c>
      <c r="F20" s="13">
        <f>SUM('Stok Yakin Pasifik Tuna'!W24:W26)</f>
        <v>128.9</v>
      </c>
      <c r="G20" s="13">
        <f>SUM('Stok Yakin Pasifik Tuna'!W31:W34)</f>
        <v>1.2</v>
      </c>
      <c r="H20" s="13">
        <f>SUM('Stok Yakin Pasifik Tuna'!W35:W38)</f>
        <v>9.9</v>
      </c>
      <c r="I20" s="13">
        <f>SUM('Stok Yakin Pasifik Tuna'!W39:W45)</f>
        <v>15.2</v>
      </c>
      <c r="J20" s="13">
        <v>0.0</v>
      </c>
      <c r="K20" s="10">
        <f t="shared" si="3"/>
        <v>1200.3</v>
      </c>
    </row>
    <row r="21" ht="15.75" customHeight="1">
      <c r="A21" s="19">
        <v>45207.0</v>
      </c>
      <c r="B21" s="13">
        <v>0.0</v>
      </c>
      <c r="C21" s="13">
        <f>SUM('Stok Yakin Pasifik Tuna'!X9:X12)</f>
        <v>4087.2</v>
      </c>
      <c r="D21" s="13">
        <f>SUM('Stok Yakin Pasifik Tuna'!X13:X16)</f>
        <v>3513.5</v>
      </c>
      <c r="E21" s="13">
        <f>SUM('Stok Yakin Pasifik Tuna'!X20:X23)</f>
        <v>189.5</v>
      </c>
      <c r="F21" s="13">
        <f>SUM('Stok Yakin Pasifik Tuna'!X25:X26)</f>
        <v>191.7</v>
      </c>
      <c r="G21" s="13">
        <f>SUM('Stok Yakin Pasifik Tuna'!X31:X34)</f>
        <v>32.4</v>
      </c>
      <c r="H21" s="13">
        <f>SUM('Stok Yakin Pasifik Tuna'!X35:X38)</f>
        <v>22.3</v>
      </c>
      <c r="I21" s="13">
        <f>SUM('Stok Yakin Pasifik Tuna'!X39:X45)</f>
        <v>48.9</v>
      </c>
      <c r="J21" s="13">
        <f>SUM('Stok Yakin Pasifik Tuna'!X47)</f>
        <v>1.1</v>
      </c>
      <c r="K21" s="10">
        <f t="shared" si="3"/>
        <v>8086.6</v>
      </c>
    </row>
    <row r="22" ht="15.75" customHeight="1">
      <c r="A22" s="12">
        <v>45208.0</v>
      </c>
      <c r="B22" s="13">
        <f>SUM('Stok Nagata Tuna'!BM5:BM8)</f>
        <v>560</v>
      </c>
      <c r="C22" s="13">
        <f>SUM('Stok Nagata Tuna'!BM9:BM13)+SUM('Stok Yakin Pasifik Tuna'!Y8:Y12)</f>
        <v>11795.1</v>
      </c>
      <c r="D22" s="13">
        <f>SUM('Stok Nagata Tuna'!BM17:BM21)+SUM('Stok Yakin Pasifik Tuna'!Y13:Y16)</f>
        <v>5844.1</v>
      </c>
      <c r="E22" s="13">
        <f>170+SUM('Stok Yakin Pasifik Tuna'!Y20:Y23)</f>
        <v>440</v>
      </c>
      <c r="F22" s="13">
        <f>20+SUM('Stok Yakin Pasifik Tuna'!Y24:Y26)</f>
        <v>390</v>
      </c>
      <c r="G22" s="13">
        <f>10+SUM('Stok Yakin Pasifik Tuna'!Y31:Y34)</f>
        <v>147.6</v>
      </c>
      <c r="H22" s="13">
        <f>SUM('Stok Yakin Pasifik Tuna'!Y35:Y38)</f>
        <v>310.8</v>
      </c>
      <c r="I22" s="13">
        <f>SUM('Stok Yakin Pasifik Tuna'!Y39:Y45)</f>
        <v>470</v>
      </c>
      <c r="J22" s="13">
        <f>20+SUM('Stok Yakin Pasifik Tuna'!Y46:Y48)</f>
        <v>21.1</v>
      </c>
      <c r="K22" s="10">
        <f t="shared" si="3"/>
        <v>19978.7</v>
      </c>
    </row>
    <row r="23" ht="15.75" customHeight="1">
      <c r="A23" s="12">
        <v>45209.0</v>
      </c>
      <c r="B23" s="13">
        <f>SUM('Stok Nagata Tuna'!BN5:BN8)+SUM('Stok Yakin Pasifik Tuna'!Z5:Z7)</f>
        <v>3246.5</v>
      </c>
      <c r="C23" s="13">
        <f>SUM('Stok Nagata Tuna'!BN9:BN13)+SUM('Stok Yakin Pasifik Tuna'!Z9:Z12)</f>
        <v>4700.7</v>
      </c>
      <c r="D23" s="13">
        <f>SUM('Stok Nagata Tuna'!BN17:BN21)+SUM('Stok Yakin Pasifik Tuna'!Z13:Z16)</f>
        <v>1623.6</v>
      </c>
      <c r="E23" s="13">
        <f>50+SUM('Stok Yakin Pasifik Tuna'!Z20:Z23)</f>
        <v>311.7</v>
      </c>
      <c r="F23" s="13">
        <f>SUM('Stok Yakin Pasifik Tuna'!Z24:Z26)</f>
        <v>183.9</v>
      </c>
      <c r="G23" s="13">
        <f>SUM('Stok Yakin Pasifik Tuna'!Z31:Z34)</f>
        <v>64.8</v>
      </c>
      <c r="H23" s="13">
        <f>SUM('Stok Yakin Pasifik Tuna'!Z35:Z38)</f>
        <v>10.7</v>
      </c>
      <c r="I23" s="13">
        <f>SUM('Stok Yakin Pasifik Tuna'!Z39:Z45)</f>
        <v>69.8</v>
      </c>
      <c r="J23" s="13">
        <f>30+5</f>
        <v>35</v>
      </c>
      <c r="K23" s="10">
        <f t="shared" si="3"/>
        <v>10246.7</v>
      </c>
    </row>
    <row r="24" ht="15.75" customHeight="1">
      <c r="A24" s="12">
        <v>45210.0</v>
      </c>
      <c r="B24" s="13">
        <f>SUM('Stok Nagata Tuna'!BO5:BO8)+SUM('Stok Yakin Pasifik Tuna'!AA5:AA7)</f>
        <v>3680</v>
      </c>
      <c r="C24" s="13">
        <f>SUM('Stok Nagata Tuna'!BO9:BO13)+SUM('Stok Yakin Pasifik Tuna'!AA9:AA12)</f>
        <v>6802.1</v>
      </c>
      <c r="D24" s="13">
        <f>SUM('Stok Nagata Tuna'!BO17:BO21)+SUM('Stok Yakin Pasifik Tuna'!AA13:AA15)</f>
        <v>345.7</v>
      </c>
      <c r="E24" s="13">
        <f>30+SUM('Stok Yakin Pasifik Tuna'!AA20:AA23)</f>
        <v>617.7</v>
      </c>
      <c r="F24" s="13">
        <f>SUM('Stok Yakin Pasifik Tuna'!AA24:AA26)</f>
        <v>73.6</v>
      </c>
      <c r="G24" s="13">
        <f>10+SUM('Stok Yakin Pasifik Tuna'!AA31:AA34)</f>
        <v>14.5</v>
      </c>
      <c r="H24" s="13">
        <f>SUM('Stok Yakin Pasifik Tuna'!AA35:AA38)</f>
        <v>4.3</v>
      </c>
      <c r="I24" s="13">
        <f>SUM('Stok Yakin Pasifik Tuna'!AA40:AA45)</f>
        <v>12.2</v>
      </c>
      <c r="J24" s="13">
        <v>40.0</v>
      </c>
      <c r="K24" s="10">
        <f t="shared" si="3"/>
        <v>11590.1</v>
      </c>
    </row>
    <row r="25" ht="15.75" customHeight="1">
      <c r="A25" s="12">
        <v>45211.0</v>
      </c>
      <c r="B25" s="13">
        <f>SUM('Stok Yakin Pasifik Tuna'!AB5:AB7)</f>
        <v>30</v>
      </c>
      <c r="C25" s="13">
        <f>SUM('Stok Yakin Pasifik Tuna'!AB9:AB12)</f>
        <v>5548.7</v>
      </c>
      <c r="D25" s="13">
        <f>SUM('Stok Yakin Pasifik Tuna'!AB13:AB16)</f>
        <v>825.2</v>
      </c>
      <c r="E25" s="13">
        <f>SUM('Stok Yakin Pasifik Tuna'!AB20:AB23)</f>
        <v>814.2</v>
      </c>
      <c r="F25" s="13">
        <f>SUM('Stok Yakin Pasifik Tuna'!AB24:AB26)</f>
        <v>388.5</v>
      </c>
      <c r="G25" s="13">
        <f>SUM('Stok Yakin Pasifik Tuna'!AB27:AB34)</f>
        <v>123.6</v>
      </c>
      <c r="H25" s="13">
        <f>SUM('Stok Yakin Pasifik Tuna'!AB35:AB38)</f>
        <v>69.9</v>
      </c>
      <c r="I25" s="13">
        <f>SUM('Stok Yakin Pasifik Tuna'!AB39:AB45)</f>
        <v>395.8</v>
      </c>
      <c r="J25" s="13">
        <f>SUM('Stok Yakin Pasifik Tuna'!AB46)</f>
        <v>0</v>
      </c>
      <c r="K25" s="10">
        <f t="shared" si="3"/>
        <v>8195.9</v>
      </c>
    </row>
    <row r="26" ht="15.75" customHeight="1">
      <c r="A26" s="12">
        <v>45212.0</v>
      </c>
      <c r="B26" s="13">
        <f>SUM('Stok Yakin Pasifik Tuna'!AE5:AE7)</f>
        <v>1338.6</v>
      </c>
      <c r="C26" s="13">
        <f>SUM('Stok Yakin Pasifik Tuna'!AE9:AE12)</f>
        <v>4058.6</v>
      </c>
      <c r="D26" s="13">
        <f>SUM('Stok Yakin Pasifik Tuna'!AE13:AE16)</f>
        <v>1065.3</v>
      </c>
      <c r="E26" s="13">
        <f>SUM('Stok Yakin Pasifik Tuna'!AE20:AE23)</f>
        <v>52.5</v>
      </c>
      <c r="F26" s="13">
        <f>SUM('Stok Yakin Pasifik Tuna'!AE24:AE26)</f>
        <v>183.9</v>
      </c>
      <c r="G26" s="13">
        <f>SUM('Stok Yakin Pasifik Tuna'!AE27:AE34)</f>
        <v>15.1</v>
      </c>
      <c r="H26" s="13">
        <f>SUM('Stok Yakin Pasifik Tuna'!AE35:AE38)</f>
        <v>24</v>
      </c>
      <c r="I26" s="13">
        <f>SUM('Stok Yakin Pasifik Tuna'!AE39:AE45)</f>
        <v>171.2</v>
      </c>
      <c r="J26" s="13">
        <v>0.0</v>
      </c>
      <c r="K26" s="10">
        <f t="shared" si="3"/>
        <v>6909.2</v>
      </c>
    </row>
    <row r="27" ht="15.75" customHeight="1">
      <c r="A27" s="12">
        <v>45213.0</v>
      </c>
      <c r="B27" s="13">
        <f>SUM('Stok Nagata Tuna'!BR5:BR8)+SUM('Stok Yakin Pasifik Tuna'!AF5:AF7)</f>
        <v>3796.5</v>
      </c>
      <c r="C27" s="13">
        <f>SUM('Stok Nagata Tuna'!BR9:BR13)+SUM('Stok Yakin Pasifik Tuna'!AF9:AF12)</f>
        <v>5680</v>
      </c>
      <c r="D27" s="13">
        <f>SUM('Stok Nagata Tuna'!BR17:BR21)+SUM('Stok Yakin Pasifik Tuna'!AF13:AF15)</f>
        <v>365.6</v>
      </c>
      <c r="E27" s="13">
        <f>110+SUM('Stok Yakin Pasifik Tuna'!AF20:AF22)</f>
        <v>260</v>
      </c>
      <c r="F27" s="13">
        <f>10+SUM('Stok Yakin Pasifik Tuna'!AF23:AF26)</f>
        <v>133.1</v>
      </c>
      <c r="G27" s="13">
        <f>260+SUM('Stok Yakin Pasifik Tuna'!AF27:AF34)</f>
        <v>421.2</v>
      </c>
      <c r="H27" s="13">
        <f>20+SUM('Stok Yakin Pasifik Tuna'!AF35:AF38)</f>
        <v>65.9</v>
      </c>
      <c r="I27" s="13">
        <f>10+SUM('Stok Yakin Pasifik Tuna'!AF39:AF46)</f>
        <v>482.1</v>
      </c>
      <c r="J27" s="13">
        <v>10.0</v>
      </c>
      <c r="K27" s="10">
        <f t="shared" si="3"/>
        <v>11214.4</v>
      </c>
    </row>
    <row r="28" ht="15.75" customHeight="1">
      <c r="A28" s="12">
        <v>45214.0</v>
      </c>
      <c r="B28" s="13">
        <f>SUM('Stok Nagata Tuna'!BS5:BS8)</f>
        <v>1980</v>
      </c>
      <c r="C28" s="13">
        <f>SUM('Stok Nagata Tuna'!BS9:BS13)</f>
        <v>2620</v>
      </c>
      <c r="D28" s="13">
        <f>SUM('Stok Nagata Tuna'!BS17:BS21)</f>
        <v>60</v>
      </c>
      <c r="E28" s="13">
        <v>90.0</v>
      </c>
      <c r="F28" s="13">
        <v>0.0</v>
      </c>
      <c r="G28" s="13">
        <v>0.0</v>
      </c>
      <c r="H28" s="13">
        <v>0.0</v>
      </c>
      <c r="I28" s="13">
        <v>0.0</v>
      </c>
      <c r="J28" s="13">
        <v>0.0</v>
      </c>
      <c r="K28" s="10">
        <f t="shared" si="3"/>
        <v>4750</v>
      </c>
    </row>
    <row r="29" ht="15.75" customHeight="1">
      <c r="A29" s="12">
        <v>45215.0</v>
      </c>
      <c r="B29" s="13">
        <f>SUM('Stok Nagata Tuna'!BT5:BT8)</f>
        <v>2190</v>
      </c>
      <c r="C29" s="13">
        <f>SUM('Stok Nagata Tuna'!BT9:BT13)</f>
        <v>2330</v>
      </c>
      <c r="D29" s="13">
        <f>SUM('Stok Nagata Tuna'!BT17:BT21)</f>
        <v>50</v>
      </c>
      <c r="E29" s="13">
        <v>10.0</v>
      </c>
      <c r="F29" s="13">
        <v>0.0</v>
      </c>
      <c r="G29" s="13">
        <v>0.0</v>
      </c>
      <c r="H29" s="13">
        <v>0.0</v>
      </c>
      <c r="I29" s="13">
        <v>0.0</v>
      </c>
      <c r="J29" s="13">
        <v>10.0</v>
      </c>
      <c r="K29" s="10">
        <f t="shared" si="3"/>
        <v>4590</v>
      </c>
    </row>
    <row r="30" ht="15.75" customHeight="1">
      <c r="A30" s="12">
        <v>45216.0</v>
      </c>
      <c r="B30" s="13">
        <f>SUM('Stok Nagata Tuna'!BU5:BU8)+SUM('Stok Yakin Pasifik Tuna'!AG5:AG7)</f>
        <v>1750</v>
      </c>
      <c r="C30" s="13">
        <f>SUM('Stok Nagata Tuna'!BU9:BU13)+SUM('Stok Yakin Pasifik Tuna'!AG9:AG11)</f>
        <v>3422.7</v>
      </c>
      <c r="D30" s="13">
        <f>SUM('Stok Nagata Tuna'!BU17:BU21)+SUM('Stok Yakin Pasifik Tuna'!AG13:AG15)</f>
        <v>310.7</v>
      </c>
      <c r="E30" s="13">
        <f>20+SUM('Stok Yakin Pasifik Tuna'!AG16:AG23)</f>
        <v>611</v>
      </c>
      <c r="F30" s="13">
        <f>SUM('Stok Yakin Pasifik Tuna'!AG24:AG26)</f>
        <v>172.7</v>
      </c>
      <c r="G30" s="13">
        <f>SUM('Stok Yakin Pasifik Tuna'!AG31:AG34)</f>
        <v>10.9</v>
      </c>
      <c r="H30" s="13">
        <f>SUM('Stok Yakin Pasifik Tuna'!AG35:AG38)</f>
        <v>5.3</v>
      </c>
      <c r="I30" s="13">
        <f>SUM('Stok Yakin Pasifik Tuna'!AG39:AG45)</f>
        <v>52.8</v>
      </c>
      <c r="J30" s="13">
        <v>0.0</v>
      </c>
      <c r="K30" s="10">
        <f t="shared" si="3"/>
        <v>6336.1</v>
      </c>
    </row>
    <row r="31" ht="15.75" customHeight="1">
      <c r="A31" s="12">
        <v>45217.0</v>
      </c>
      <c r="B31" s="13">
        <f>SUM('Stok Nagata Tuna'!BV5:BV8)+SUM('Stok Yakin Pasifik Tuna'!AH5:AH7)</f>
        <v>1679.4</v>
      </c>
      <c r="C31" s="13">
        <f>SUM('Stok Nagata Tuna'!BV9:BV13)+SUM('Stok Yakin Pasifik Tuna'!AH9:AH12)</f>
        <v>4547.8</v>
      </c>
      <c r="D31" s="13">
        <f>SUM('Stok Nagata Tuna'!BV17:BV21)+SUM('Stok Yakin Pasifik Tuna'!AH13:AH15)</f>
        <v>1355.7</v>
      </c>
      <c r="E31" s="14">
        <f>40+SUM('Stok Yakin Pasifik Tuna'!AH20:AH23)</f>
        <v>323.9</v>
      </c>
      <c r="F31" s="13">
        <f>20+SUM('Stok Yakin Pasifik Tuna'!AH24:AH26)</f>
        <v>195.7</v>
      </c>
      <c r="G31" s="13">
        <f>SUM('Stok Yakin Pasifik Tuna'!AH31:AH34)</f>
        <v>9</v>
      </c>
      <c r="H31" s="13">
        <f>SUM('Stok Yakin Pasifik Tuna'!AH35:AH38)</f>
        <v>94.1</v>
      </c>
      <c r="I31" s="13">
        <f>SUM('Stok Yakin Pasifik Tuna'!AH39:AH45)</f>
        <v>195.1</v>
      </c>
      <c r="J31" s="13">
        <v>10.0</v>
      </c>
      <c r="K31" s="10">
        <f t="shared" si="3"/>
        <v>8410.7</v>
      </c>
    </row>
    <row r="32" ht="15.75" customHeight="1">
      <c r="A32" s="12">
        <v>45218.0</v>
      </c>
      <c r="B32" s="14">
        <f>SUM('Stok Nagata Tuna'!BW5:BW8)</f>
        <v>930</v>
      </c>
      <c r="C32" s="13">
        <f>SUM('Stok Nagata Tuna'!BW9:BW13)</f>
        <v>2370</v>
      </c>
      <c r="D32" s="13">
        <f>SUM('Stok Nagata Tuna'!BW17:BW20)</f>
        <v>40</v>
      </c>
      <c r="E32" s="13">
        <v>20.0</v>
      </c>
      <c r="F32" s="13">
        <v>0.0</v>
      </c>
      <c r="G32" s="13">
        <v>0.0</v>
      </c>
      <c r="H32" s="13">
        <v>0.0</v>
      </c>
      <c r="I32" s="13">
        <v>0.0</v>
      </c>
      <c r="J32" s="13">
        <v>20.0</v>
      </c>
      <c r="K32" s="10">
        <f t="shared" si="3"/>
        <v>3380</v>
      </c>
    </row>
    <row r="33" ht="15.75" customHeight="1">
      <c r="A33" s="12">
        <v>45220.0</v>
      </c>
      <c r="B33" s="14">
        <f>SUM('Stok Nagata Tuna'!BY5:BY8)+SUM('Stok Yakin Pasifik Tuna'!AI5:AI8)</f>
        <v>3095.3</v>
      </c>
      <c r="C33" s="13">
        <f>SUM('Stok Nagata Tuna'!BY9:BY13)+SUM('Stok Yakin Pasifik Tuna'!AI9:AI12)</f>
        <v>4835.2</v>
      </c>
      <c r="D33" s="13">
        <f>SUM('Stok Nagata Tuna'!BY17:BY21)+SUM('Stok Yakin Pasifik Tuna'!AI13:AI16)</f>
        <v>1698.6</v>
      </c>
      <c r="E33" s="13">
        <f>10+SUM('Stok Yakin Pasifik Tuna'!AI21:AI23)</f>
        <v>160</v>
      </c>
      <c r="F33" s="13">
        <f>SUM('Stok Yakin Pasifik Tuna'!AI24:AI26)</f>
        <v>140</v>
      </c>
      <c r="G33" s="13">
        <f>SUM('Stok Yakin Pasifik Tuna'!AI32)</f>
        <v>0</v>
      </c>
      <c r="H33" s="13">
        <f>SUM('Stok Yakin Pasifik Tuna'!AI35:AI38)</f>
        <v>19.1</v>
      </c>
      <c r="I33" s="13">
        <f>SUM('Stok Yakin Pasifik Tuna'!AI39:AI45)</f>
        <v>29.4</v>
      </c>
      <c r="J33" s="13">
        <v>10.0</v>
      </c>
      <c r="K33" s="10">
        <f t="shared" si="3"/>
        <v>9987.6</v>
      </c>
    </row>
    <row r="34" ht="15.75" customHeight="1">
      <c r="A34" s="12">
        <v>45223.0</v>
      </c>
      <c r="B34" s="13">
        <f>SUM('Stok Nagata Tuna'!CA5:CA8)+SUM('Stok Yakin Pasifik Tuna'!AJ5:AJ8)</f>
        <v>5345.2</v>
      </c>
      <c r="C34" s="13">
        <f>SUM('Stok Nagata Tuna'!CA9:CA13)+SUM('Stok Yakin Pasifik Tuna'!AJ9:AJ12)</f>
        <v>9973.4</v>
      </c>
      <c r="D34" s="13">
        <f>SUM('Stok Nagata Tuna'!CA17:CA20)+SUM('Stok Yakin Pasifik Tuna'!AJ13:AJ15)</f>
        <v>296.1</v>
      </c>
      <c r="E34" s="13">
        <f>60+SUM('Stok Yakin Pasifik Tuna'!AJ17:AJ23)</f>
        <v>343</v>
      </c>
      <c r="F34" s="13">
        <v>40.0</v>
      </c>
      <c r="G34" s="13">
        <f>SUM('Stok Yakin Pasifik Tuna'!AJ27:AJ34)</f>
        <v>12.5</v>
      </c>
      <c r="H34" s="13">
        <v>23.1</v>
      </c>
      <c r="I34" s="13">
        <f>10+SUM('Stok Yakin Pasifik Tuna'!AJ39:AJ45)</f>
        <v>78.8</v>
      </c>
      <c r="J34" s="13">
        <v>60.0</v>
      </c>
      <c r="K34" s="10">
        <f t="shared" si="3"/>
        <v>16172.1</v>
      </c>
    </row>
    <row r="35" ht="15.75" customHeight="1">
      <c r="A35" s="12">
        <v>45224.0</v>
      </c>
      <c r="B35" s="13">
        <f>SUM('Stok Nagata Tuna'!CB5:CB8)</f>
        <v>2960</v>
      </c>
      <c r="C35" s="13">
        <f>SUM('Stok Nagata Tuna'!CB9:CB13)</f>
        <v>1700</v>
      </c>
      <c r="D35" s="13">
        <f>SUM('Stok Nagata Tuna'!CB18:CB19)</f>
        <v>30</v>
      </c>
      <c r="E35" s="13">
        <v>10.0</v>
      </c>
      <c r="F35" s="13">
        <v>0.0</v>
      </c>
      <c r="G35" s="13">
        <v>0.0</v>
      </c>
      <c r="H35" s="13">
        <v>0.0</v>
      </c>
      <c r="I35" s="13">
        <v>0.0</v>
      </c>
      <c r="J35" s="13">
        <v>0.0</v>
      </c>
      <c r="K35" s="10">
        <f t="shared" si="3"/>
        <v>4700</v>
      </c>
    </row>
    <row r="36" ht="15.75" customHeight="1">
      <c r="A36" s="12">
        <v>45225.0</v>
      </c>
      <c r="B36" s="13">
        <f>SUM('Stok Nagata Tuna'!CC5:CC8)+SUM('Stok Yakin Pasifik Tuna'!AK5:AK7)</f>
        <v>2550</v>
      </c>
      <c r="C36" s="13">
        <f>SUM('Stok Nagata Tuna'!CC9:CC13)+SUM('Stok Yakin Pasifik Tuna'!AK9:AK12)</f>
        <v>4573.7</v>
      </c>
      <c r="D36" s="13">
        <f>20+SUM('Stok Yakin Pasifik Tuna'!AK13:AK16)</f>
        <v>243.5</v>
      </c>
      <c r="E36" s="13">
        <f>20+SUM('Stok Yakin Pasifik Tuna'!AK20:AK23)</f>
        <v>76.8</v>
      </c>
      <c r="F36" s="13">
        <f>SUM('Stok Yakin Pasifik Tuna'!AK24:AK26)</f>
        <v>5.8</v>
      </c>
      <c r="G36" s="13">
        <f>SUM('Stok Yakin Pasifik Tuna'!AK27:AK34)</f>
        <v>6.7</v>
      </c>
      <c r="H36" s="13">
        <f>SUM('Stok Yakin Pasifik Tuna'!AK37)</f>
        <v>0</v>
      </c>
      <c r="I36" s="13">
        <f>SUM('Stok Yakin Pasifik Tuna'!AK39:AK45)</f>
        <v>8.7</v>
      </c>
      <c r="J36" s="13">
        <v>20.0</v>
      </c>
      <c r="K36" s="10">
        <f t="shared" si="3"/>
        <v>7485.2</v>
      </c>
    </row>
    <row r="37" ht="15.75" customHeight="1">
      <c r="A37" s="12">
        <v>45227.0</v>
      </c>
      <c r="B37" s="13">
        <f>20+610+150+20+540+50+30+800+100+10+700+60+10+20+880+160+SUM('Stok Yakin Pasifik Tuna'!AL5:AL7)</f>
        <v>4799</v>
      </c>
      <c r="C37" s="13">
        <f>20+530+40+20+80+740+120+540+160+760+80+740+SUM('Stok Yakin Pasifik Tuna'!AL9:AL12)</f>
        <v>5611.4</v>
      </c>
      <c r="D37" s="13">
        <f>40+10+40+10+SUM('Stok Yakin Pasifik Tuna'!AL13:AL15)</f>
        <v>329.3</v>
      </c>
      <c r="E37" s="13">
        <f>30+SUM('Stok Yakin Pasifik Tuna'!AL17:AL22)</f>
        <v>153.4</v>
      </c>
      <c r="F37" s="13">
        <f>SUM('Stok Yakin Pasifik Tuna'!AL24:AL26)</f>
        <v>93.3</v>
      </c>
      <c r="G37" s="13">
        <f>SUM('Stok Yakin Pasifik Tuna'!AL27:AL34)</f>
        <v>3.5</v>
      </c>
      <c r="H37" s="13">
        <v>0.0</v>
      </c>
      <c r="I37" s="13">
        <f>SUM('Stok Yakin Pasifik Tuna'!AL39:AL45)</f>
        <v>34.9</v>
      </c>
      <c r="J37" s="13">
        <v>0.0</v>
      </c>
      <c r="K37" s="10">
        <f t="shared" si="3"/>
        <v>11024.8</v>
      </c>
    </row>
    <row r="38" ht="15.75" customHeight="1">
      <c r="A38" s="12">
        <v>45228.0</v>
      </c>
      <c r="B38" s="13">
        <f>120+830+20+670+140+SUM('Stok Yakin Pasifik Tuna'!AM5:AM7)</f>
        <v>2630</v>
      </c>
      <c r="C38" s="13">
        <f>40+480+60+20+50+550+80+20+SUM('Stok Yakin Pasifik Tuna'!AM8:AM12)</f>
        <v>5880.1</v>
      </c>
      <c r="D38" s="13">
        <f>20+10+SUM('Stok Yakin Pasifik Tuna'!AM13:AM15)</f>
        <v>121.4</v>
      </c>
      <c r="E38" s="13">
        <f>50+SUM('Stok Yakin Pasifik Tuna'!AM20:AM23)</f>
        <v>70</v>
      </c>
      <c r="F38" s="13">
        <f>SUM('Stok Yakin Pasifik Tuna'!AM24:AM27)</f>
        <v>1.4</v>
      </c>
      <c r="G38" s="13">
        <f>SUM('Stok Yakin Pasifik Tuna'!AL31:AL34)</f>
        <v>3.5</v>
      </c>
      <c r="H38" s="13">
        <v>0.0</v>
      </c>
      <c r="I38" s="13">
        <f>SUM('Stok Yakin Pasifik Tuna'!AM39:AM45)</f>
        <v>32.6</v>
      </c>
      <c r="J38" s="13">
        <v>10.0</v>
      </c>
      <c r="K38" s="10">
        <f t="shared" si="3"/>
        <v>8749</v>
      </c>
    </row>
    <row r="39" ht="15.75" customHeight="1">
      <c r="A39" s="15" t="s">
        <v>12</v>
      </c>
      <c r="B39" s="16">
        <f t="shared" ref="B39:J39" si="4">SUM(B22:B38)</f>
        <v>42560.5</v>
      </c>
      <c r="C39" s="16">
        <f t="shared" si="4"/>
        <v>86449.5</v>
      </c>
      <c r="D39" s="16">
        <f t="shared" si="4"/>
        <v>14604.8</v>
      </c>
      <c r="E39" s="16">
        <f t="shared" si="4"/>
        <v>4364.2</v>
      </c>
      <c r="F39" s="16">
        <f t="shared" si="4"/>
        <v>2001.9</v>
      </c>
      <c r="G39" s="16">
        <f t="shared" si="4"/>
        <v>832.9</v>
      </c>
      <c r="H39" s="16">
        <f t="shared" si="4"/>
        <v>627.2</v>
      </c>
      <c r="I39" s="16">
        <f t="shared" si="4"/>
        <v>2033.4</v>
      </c>
      <c r="J39" s="16">
        <f t="shared" si="4"/>
        <v>246.1</v>
      </c>
      <c r="K39" s="17">
        <f t="shared" si="3"/>
        <v>153720.5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9"/>
      <c r="B40" s="13"/>
      <c r="C40" s="13"/>
      <c r="D40" s="13"/>
      <c r="E40" s="13"/>
      <c r="F40" s="13"/>
      <c r="G40" s="13"/>
      <c r="H40" s="13"/>
      <c r="I40" s="13"/>
      <c r="J40" s="13"/>
      <c r="K40" s="10">
        <f t="shared" si="3"/>
        <v>0</v>
      </c>
    </row>
    <row r="41" ht="15.75" customHeight="1">
      <c r="A41" s="12">
        <v>45234.0</v>
      </c>
      <c r="B41" s="13">
        <f>SUM('Stok Nagata Tuna (lanjutan)'!E5:E9)</f>
        <v>1140</v>
      </c>
      <c r="C41" s="13">
        <f>SUM('Stok Nagata Tuna (lanjutan)'!E10:E14)</f>
        <v>3720</v>
      </c>
      <c r="D41" s="13">
        <f>SUM('Stok Nagata Tuna (lanjutan)'!E15:E19)</f>
        <v>80</v>
      </c>
      <c r="E41" s="13">
        <v>10.0</v>
      </c>
      <c r="F41" s="13">
        <v>0.0</v>
      </c>
      <c r="G41" s="13">
        <v>0.0</v>
      </c>
      <c r="H41" s="13">
        <v>0.0</v>
      </c>
      <c r="I41" s="13">
        <v>0.0</v>
      </c>
      <c r="J41" s="13">
        <v>0.0</v>
      </c>
      <c r="K41" s="10">
        <f t="shared" si="3"/>
        <v>4950</v>
      </c>
    </row>
    <row r="42" ht="15.75" customHeight="1">
      <c r="A42" s="12">
        <v>45235.0</v>
      </c>
      <c r="B42" s="13">
        <f>SUM('Stok Nagata Tuna (lanjutan)'!F5:F9)</f>
        <v>1330</v>
      </c>
      <c r="C42" s="13">
        <f>SUM('Stok Nagata Tuna (lanjutan)'!F10:F14)</f>
        <v>1730</v>
      </c>
      <c r="D42" s="13">
        <f>SUM('Stok Nagata Tuna (lanjutan)'!F15:F19)</f>
        <v>40</v>
      </c>
      <c r="E42" s="13">
        <v>0.0</v>
      </c>
      <c r="F42" s="13">
        <v>0.0</v>
      </c>
      <c r="G42" s="13">
        <v>0.0</v>
      </c>
      <c r="H42" s="13">
        <v>0.0</v>
      </c>
      <c r="I42" s="13">
        <v>0.0</v>
      </c>
      <c r="J42" s="13">
        <v>0.0</v>
      </c>
      <c r="K42" s="10">
        <f t="shared" si="3"/>
        <v>3100</v>
      </c>
    </row>
    <row r="43" ht="15.75" customHeight="1">
      <c r="A43" s="12">
        <v>45236.0</v>
      </c>
      <c r="B43" s="13">
        <f>SUM('Stok Nagata Tuna (lanjutan)'!G5:G9)</f>
        <v>2400</v>
      </c>
      <c r="C43" s="13">
        <f>SUM('Stok Nagata Tuna (lanjutan)'!G10:G14)</f>
        <v>1540</v>
      </c>
      <c r="D43" s="13">
        <f>SUM('Stok Nagata Tuna (lanjutan)'!G15:G19)</f>
        <v>40</v>
      </c>
      <c r="E43" s="13">
        <v>10.0</v>
      </c>
      <c r="F43" s="13">
        <v>0.0</v>
      </c>
      <c r="G43" s="13">
        <v>0.0</v>
      </c>
      <c r="H43" s="13">
        <v>0.0</v>
      </c>
      <c r="I43" s="13">
        <v>0.0</v>
      </c>
      <c r="J43" s="13">
        <v>0.0</v>
      </c>
      <c r="K43" s="10">
        <f t="shared" si="3"/>
        <v>3990</v>
      </c>
    </row>
    <row r="44" ht="15.75" customHeight="1">
      <c r="A44" s="12">
        <v>45237.0</v>
      </c>
      <c r="B44" s="13">
        <f>SUM('Stok Nagata Tuna (lanjutan)'!H5:H9)</f>
        <v>3740</v>
      </c>
      <c r="C44" s="13">
        <f>SUM('Stok Nagata Tuna (lanjutan)'!H10:H14)</f>
        <v>2650</v>
      </c>
      <c r="D44" s="13">
        <v>20.0</v>
      </c>
      <c r="E44" s="13">
        <v>50.0</v>
      </c>
      <c r="F44" s="13">
        <v>0.0</v>
      </c>
      <c r="G44" s="13">
        <v>0.0</v>
      </c>
      <c r="H44" s="13">
        <v>0.0</v>
      </c>
      <c r="I44" s="13">
        <v>10.0</v>
      </c>
      <c r="J44" s="13">
        <v>10.0</v>
      </c>
      <c r="K44" s="10">
        <f t="shared" si="3"/>
        <v>6480</v>
      </c>
    </row>
    <row r="45" ht="15.75" customHeight="1">
      <c r="A45" s="12">
        <v>45238.0</v>
      </c>
      <c r="B45" s="13">
        <f>SUM('Stok Nagata Tuna (lanjutan)'!I5:I9)</f>
        <v>870</v>
      </c>
      <c r="C45" s="13">
        <f>SUM('Stok Nagata Tuna (lanjutan)'!I10:I14)</f>
        <v>2530</v>
      </c>
      <c r="D45" s="13">
        <v>40.0</v>
      </c>
      <c r="E45" s="13">
        <v>10.0</v>
      </c>
      <c r="F45" s="13">
        <v>0.0</v>
      </c>
      <c r="G45" s="13">
        <v>0.0</v>
      </c>
      <c r="H45" s="13">
        <v>0.0</v>
      </c>
      <c r="I45" s="13">
        <v>0.0</v>
      </c>
      <c r="J45" s="13">
        <v>10.0</v>
      </c>
      <c r="K45" s="10">
        <f t="shared" si="3"/>
        <v>3460</v>
      </c>
    </row>
    <row r="46" ht="15.75" customHeight="1">
      <c r="A46" s="12">
        <v>45239.0</v>
      </c>
      <c r="B46" s="13">
        <f>SUM('Stok Nagata Tuna (lanjutan)'!K5:K9)</f>
        <v>1980</v>
      </c>
      <c r="C46" s="13">
        <f>SUM('Stok Nagata Tuna (lanjutan)'!K10:K14)</f>
        <v>2740</v>
      </c>
      <c r="D46" s="13">
        <v>60.0</v>
      </c>
      <c r="E46" s="13">
        <v>30.0</v>
      </c>
      <c r="F46" s="13">
        <v>0.0</v>
      </c>
      <c r="G46" s="13">
        <v>0.0</v>
      </c>
      <c r="H46" s="13">
        <v>0.0</v>
      </c>
      <c r="I46" s="13">
        <v>0.0</v>
      </c>
      <c r="J46" s="13">
        <v>0.0</v>
      </c>
      <c r="K46" s="10">
        <f t="shared" si="3"/>
        <v>4810</v>
      </c>
    </row>
    <row r="47" ht="15.75" customHeight="1">
      <c r="A47" s="12">
        <v>45241.0</v>
      </c>
      <c r="B47" s="13">
        <f>SUM('Stok Nagata Tuna (lanjutan)'!L5:L9)</f>
        <v>1610</v>
      </c>
      <c r="C47" s="13">
        <f>SUM('Stok Nagata Tuna (lanjutan)'!L10:L14)</f>
        <v>2910</v>
      </c>
      <c r="D47" s="13">
        <v>50.0</v>
      </c>
      <c r="E47" s="13">
        <v>10.0</v>
      </c>
      <c r="F47" s="13">
        <v>0.0</v>
      </c>
      <c r="G47" s="13">
        <v>0.0</v>
      </c>
      <c r="H47" s="13">
        <v>0.0</v>
      </c>
      <c r="I47" s="13">
        <v>10.0</v>
      </c>
      <c r="J47" s="13">
        <v>20.0</v>
      </c>
      <c r="K47" s="10">
        <f t="shared" si="3"/>
        <v>4610</v>
      </c>
    </row>
    <row r="48" ht="15.75" customHeight="1">
      <c r="A48" s="12">
        <v>45242.0</v>
      </c>
      <c r="B48" s="13">
        <f>SUM('Stok Nagata Tuna (lanjutan)'!M5:M9)</f>
        <v>1570</v>
      </c>
      <c r="C48" s="13">
        <f>SUM('Stok Nagata Tuna (lanjutan)'!M10:M14)</f>
        <v>1720</v>
      </c>
      <c r="D48" s="13">
        <v>10.0</v>
      </c>
      <c r="E48" s="13">
        <v>20.0</v>
      </c>
      <c r="F48" s="13">
        <v>0.0</v>
      </c>
      <c r="G48" s="13">
        <v>0.0</v>
      </c>
      <c r="H48" s="13">
        <v>0.0</v>
      </c>
      <c r="I48" s="13">
        <v>0.0</v>
      </c>
      <c r="J48" s="13">
        <v>20.0</v>
      </c>
      <c r="K48" s="10">
        <f t="shared" si="3"/>
        <v>3340</v>
      </c>
    </row>
    <row r="49" ht="15.75" customHeight="1">
      <c r="A49" s="12">
        <v>45243.0</v>
      </c>
      <c r="B49" s="13">
        <f>SUM('Stok Nagata Tuna (lanjutan)'!N5:N9)</f>
        <v>1840</v>
      </c>
      <c r="C49" s="13">
        <f>SUM('Stok Nagata Tuna (lanjutan)'!N10:N14)</f>
        <v>1210</v>
      </c>
      <c r="D49" s="13">
        <v>20.0</v>
      </c>
      <c r="E49" s="13">
        <v>0.0</v>
      </c>
      <c r="F49" s="13">
        <v>0.0</v>
      </c>
      <c r="G49" s="13">
        <v>0.0</v>
      </c>
      <c r="H49" s="13">
        <v>0.0</v>
      </c>
      <c r="I49" s="13">
        <v>0.0</v>
      </c>
      <c r="J49" s="13">
        <v>0.0</v>
      </c>
      <c r="K49" s="10">
        <f t="shared" si="3"/>
        <v>3070</v>
      </c>
    </row>
    <row r="50" ht="15.75" customHeight="1">
      <c r="A50" s="12">
        <v>45244.0</v>
      </c>
      <c r="B50" s="13">
        <f>SUM('Stok Nagata Tuna (lanjutan)'!P5:P9)</f>
        <v>2120</v>
      </c>
      <c r="C50" s="13">
        <f>SUM('Stok Nagata Tuna (lanjutan)'!P10:P14)</f>
        <v>4150</v>
      </c>
      <c r="D50" s="13">
        <v>160.0</v>
      </c>
      <c r="E50" s="13">
        <v>60.0</v>
      </c>
      <c r="F50" s="13">
        <v>0.0</v>
      </c>
      <c r="G50" s="13">
        <v>130.0</v>
      </c>
      <c r="H50" s="13">
        <v>40.0</v>
      </c>
      <c r="I50" s="13">
        <v>20.0</v>
      </c>
      <c r="J50" s="13">
        <v>100.0</v>
      </c>
      <c r="K50" s="10">
        <f t="shared" si="3"/>
        <v>6780</v>
      </c>
    </row>
    <row r="51" ht="15.75" customHeight="1">
      <c r="A51" s="12">
        <v>45245.0</v>
      </c>
      <c r="B51" s="13">
        <f>SUM('Stok Nagata Tuna (lanjutan)'!Q5:Q9)</f>
        <v>1960</v>
      </c>
      <c r="C51" s="13">
        <f>SUM('Stok Nagata Tuna (lanjutan)'!Q10:Q14)</f>
        <v>1070</v>
      </c>
      <c r="D51" s="13">
        <v>20.0</v>
      </c>
      <c r="E51" s="13">
        <v>20.0</v>
      </c>
      <c r="F51" s="13">
        <v>0.0</v>
      </c>
      <c r="G51" s="13">
        <v>20.0</v>
      </c>
      <c r="H51" s="13">
        <v>0.0</v>
      </c>
      <c r="I51" s="13">
        <v>0.0</v>
      </c>
      <c r="J51" s="13">
        <v>30.0</v>
      </c>
      <c r="K51" s="10">
        <f t="shared" si="3"/>
        <v>3120</v>
      </c>
    </row>
    <row r="52" ht="15.75" customHeight="1">
      <c r="A52" s="12">
        <v>45248.0</v>
      </c>
      <c r="B52" s="13">
        <f>SUM('Stok Nagata Tuna (lanjutan)'!S5:S9)</f>
        <v>710</v>
      </c>
      <c r="C52" s="13">
        <f>SUM('Stok Nagata Tuna (lanjutan)'!S10:S14)</f>
        <v>1520</v>
      </c>
      <c r="D52" s="13">
        <f>SUM('Stok Nagata Tuna (lanjutan)'!S15:S19)</f>
        <v>640</v>
      </c>
      <c r="E52" s="13">
        <v>10.0</v>
      </c>
      <c r="F52" s="13">
        <v>10.0</v>
      </c>
      <c r="G52" s="13">
        <v>40.0</v>
      </c>
      <c r="H52" s="13">
        <v>0.0</v>
      </c>
      <c r="I52" s="13">
        <v>0.0</v>
      </c>
      <c r="J52" s="13">
        <v>50.0</v>
      </c>
      <c r="K52" s="10">
        <f t="shared" si="3"/>
        <v>2980</v>
      </c>
    </row>
    <row r="53" ht="15.75" customHeight="1">
      <c r="A53" s="12">
        <v>45249.0</v>
      </c>
      <c r="B53" s="13">
        <f>SUM('Stok Nagata Tuna (lanjutan)'!T5:T9)</f>
        <v>2470</v>
      </c>
      <c r="C53" s="13">
        <f>SUM('Stok Nagata Tuna (lanjutan)'!T10:T14)</f>
        <v>3540</v>
      </c>
      <c r="D53" s="13">
        <f>SUM('Stok Nagata Tuna (lanjutan)'!T15:T19)</f>
        <v>90</v>
      </c>
      <c r="E53" s="13">
        <v>40.0</v>
      </c>
      <c r="F53" s="13">
        <v>0.0</v>
      </c>
      <c r="G53" s="13">
        <v>0.0</v>
      </c>
      <c r="H53" s="13">
        <v>0.0</v>
      </c>
      <c r="I53" s="13">
        <v>0.0</v>
      </c>
      <c r="J53" s="13">
        <v>30.0</v>
      </c>
      <c r="K53" s="10">
        <f t="shared" si="3"/>
        <v>6170</v>
      </c>
    </row>
    <row r="54" ht="15.75" customHeight="1">
      <c r="A54" s="12">
        <v>45250.0</v>
      </c>
      <c r="B54" s="13">
        <f>SUM('Stok Nagata Tuna (lanjutan)'!U5:U9)</f>
        <v>1770</v>
      </c>
      <c r="C54" s="13">
        <f>SUM('Stok Nagata Tuna (lanjutan)'!U10:U14)</f>
        <v>1430</v>
      </c>
      <c r="D54" s="13">
        <f>SUM('Stok Nagata Tuna (lanjutan)'!U15:U19)</f>
        <v>20</v>
      </c>
      <c r="E54" s="13">
        <v>20.0</v>
      </c>
      <c r="F54" s="13">
        <v>0.0</v>
      </c>
      <c r="G54" s="13">
        <v>0.0</v>
      </c>
      <c r="H54" s="13">
        <v>0.0</v>
      </c>
      <c r="I54" s="13">
        <v>0.0</v>
      </c>
      <c r="J54" s="13">
        <v>0.0</v>
      </c>
      <c r="K54" s="10">
        <f t="shared" si="3"/>
        <v>3240</v>
      </c>
    </row>
    <row r="55" ht="15.75" customHeight="1">
      <c r="A55" s="12">
        <v>45258.0</v>
      </c>
      <c r="B55" s="13">
        <f>SUM('Stok Nagata Tuna (lanjutan)'!V5:V9)</f>
        <v>2790</v>
      </c>
      <c r="C55" s="13">
        <f>SUM('Stok Nagata Tuna (lanjutan)'!V10:V14)</f>
        <v>3410</v>
      </c>
      <c r="D55" s="13">
        <v>70.0</v>
      </c>
      <c r="E55" s="13">
        <v>10.0</v>
      </c>
      <c r="F55" s="13">
        <v>0.0</v>
      </c>
      <c r="G55" s="13">
        <v>0.0</v>
      </c>
      <c r="H55" s="13">
        <v>0.0</v>
      </c>
      <c r="I55" s="13">
        <v>0.0</v>
      </c>
      <c r="J55" s="13">
        <v>0.0</v>
      </c>
      <c r="K55" s="10">
        <f t="shared" si="3"/>
        <v>6280</v>
      </c>
    </row>
    <row r="56" ht="15.75" customHeight="1">
      <c r="A56" s="12">
        <v>45259.0</v>
      </c>
      <c r="B56" s="13">
        <f>SUM('Stok Yakin Pasifik Tuna'!AN5:AN7)</f>
        <v>20</v>
      </c>
      <c r="C56" s="13">
        <f>SUM('Stok Yakin Pasifik Tuna'!AN9:AN12)</f>
        <v>1170.9</v>
      </c>
      <c r="D56" s="13">
        <f>SUM('Stok Yakin Pasifik Tuna'!AN13:AN16)</f>
        <v>80.8</v>
      </c>
      <c r="E56" s="13">
        <f>SUM('Stok Yakin Pasifik Tuna'!AN20:AN24)</f>
        <v>5.6</v>
      </c>
      <c r="F56" s="13">
        <v>0.0</v>
      </c>
      <c r="G56" s="13">
        <f>SUM('Stok Yakin Pasifik Tuna'!AN40)</f>
        <v>0</v>
      </c>
      <c r="H56" s="13">
        <v>0.0</v>
      </c>
      <c r="I56" s="13">
        <f>SUM('Stok Yakin Pasifik Tuna'!AN39:AN45)</f>
        <v>33.1</v>
      </c>
      <c r="J56" s="13">
        <v>0.0</v>
      </c>
      <c r="K56" s="10">
        <f t="shared" si="3"/>
        <v>1310.4</v>
      </c>
    </row>
    <row r="57" ht="15.75" customHeight="1">
      <c r="A57" s="12">
        <v>45260.0</v>
      </c>
      <c r="B57" s="13">
        <f>SUM('Stok Yakin Pasifik Tuna'!AO5:AO7)</f>
        <v>191.7</v>
      </c>
      <c r="C57" s="13">
        <f>SUM('Stok Yakin Pasifik Tuna'!AO9:AO12)</f>
        <v>1686.7</v>
      </c>
      <c r="D57" s="13">
        <f>SUM('Stok Yakin Pasifik Tuna'!AO13:AO16)</f>
        <v>77.1</v>
      </c>
      <c r="E57" s="13">
        <f>SUM('Stok Yakin Pasifik Tuna'!AO20:AO23)</f>
        <v>8.6</v>
      </c>
      <c r="F57" s="13">
        <v>0.0</v>
      </c>
      <c r="G57" s="13">
        <f>SUM('Stok Yakin Pasifik Tuna'!AO27:AO34)</f>
        <v>0</v>
      </c>
      <c r="H57" s="13">
        <v>2.0</v>
      </c>
      <c r="I57" s="13">
        <f>SUM('Stok Yakin Pasifik Tuna'!AO39:AO45)</f>
        <v>11.3</v>
      </c>
      <c r="J57" s="13"/>
      <c r="K57" s="10">
        <f t="shared" si="3"/>
        <v>1977.4</v>
      </c>
    </row>
    <row r="58" ht="15.75" customHeight="1">
      <c r="A58" s="15" t="s">
        <v>12</v>
      </c>
      <c r="B58" s="16">
        <f t="shared" ref="B58:J58" si="5">SUM(B41:B57)</f>
        <v>28511.7</v>
      </c>
      <c r="C58" s="16">
        <f t="shared" si="5"/>
        <v>38727.6</v>
      </c>
      <c r="D58" s="16">
        <f t="shared" si="5"/>
        <v>1517.9</v>
      </c>
      <c r="E58" s="16">
        <f t="shared" si="5"/>
        <v>314.2</v>
      </c>
      <c r="F58" s="16">
        <f t="shared" si="5"/>
        <v>10</v>
      </c>
      <c r="G58" s="16">
        <f t="shared" si="5"/>
        <v>190</v>
      </c>
      <c r="H58" s="16">
        <f t="shared" si="5"/>
        <v>42</v>
      </c>
      <c r="I58" s="16">
        <f t="shared" si="5"/>
        <v>84.4</v>
      </c>
      <c r="J58" s="16">
        <f t="shared" si="5"/>
        <v>270</v>
      </c>
      <c r="K58" s="17">
        <f t="shared" si="3"/>
        <v>69667.8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9"/>
      <c r="B59" s="13"/>
      <c r="C59" s="13"/>
      <c r="D59" s="13"/>
      <c r="E59" s="13"/>
      <c r="F59" s="13"/>
      <c r="G59" s="13"/>
      <c r="H59" s="13"/>
      <c r="I59" s="13"/>
      <c r="J59" s="13"/>
      <c r="K59" s="10">
        <f t="shared" si="3"/>
        <v>0</v>
      </c>
    </row>
    <row r="60" ht="15.75" customHeight="1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ht="15.75" customHeight="1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ht="15.75" customHeight="1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</row>
    <row r="63" ht="15.75" customHeight="1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ht="15.75" customHeight="1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ht="15.75" customHeight="1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ht="15.75" customHeight="1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ht="15.75" customHeight="1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</row>
    <row r="68" ht="15.75" customHeight="1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</row>
    <row r="69" ht="15.75" customHeight="1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</row>
    <row r="70" ht="15.75" customHeight="1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</row>
    <row r="71" ht="15.75" customHeight="1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</row>
    <row r="72" ht="15.75" customHeight="1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</row>
    <row r="73" ht="15.75" customHeight="1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</row>
    <row r="74" ht="15.75" customHeight="1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ht="15.75" customHeight="1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</row>
    <row r="76" ht="15.75" customHeight="1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ht="15.75" customHeight="1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</row>
    <row r="78" ht="15.75" customHeight="1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ht="15.75" customHeight="1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</row>
    <row r="80" ht="15.75" customHeight="1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1" ht="15.75" customHeight="1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</row>
    <row r="82" ht="15.75" customHeight="1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</row>
    <row r="83" ht="15.75" customHeight="1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</row>
    <row r="84" ht="15.75" customHeight="1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ht="15.75" customHeight="1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</row>
    <row r="86" ht="15.75" customHeight="1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ht="15.75" customHeight="1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</row>
    <row r="88" ht="15.75" customHeight="1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ht="15.75" customHeight="1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</row>
    <row r="90" ht="15.75" customHeight="1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ht="15.75" customHeight="1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</row>
    <row r="92" ht="15.75" customHeight="1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</row>
    <row r="93" ht="15.75" customHeight="1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</row>
    <row r="94" ht="15.75" customHeight="1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</row>
    <row r="95" ht="15.75" customHeight="1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</row>
    <row r="96" ht="15.75" customHeight="1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</row>
    <row r="97" ht="15.75" customHeight="1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</row>
    <row r="98" ht="15.75" customHeight="1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</row>
    <row r="99" ht="15.75" customHeight="1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</row>
    <row r="100" ht="15.75" customHeight="1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</row>
    <row r="101" ht="15.75" customHeight="1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</row>
    <row r="102" ht="15.75" customHeight="1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ht="15.75" customHeight="1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</row>
    <row r="104" ht="15.75" customHeight="1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</row>
    <row r="105" ht="15.75" customHeight="1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</row>
    <row r="106" ht="15.75" customHeight="1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</row>
    <row r="107" ht="15.75" customHeight="1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</row>
    <row r="108" ht="15.75" customHeight="1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</row>
    <row r="109" ht="15.75" customHeight="1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</row>
    <row r="110" ht="15.75" customHeight="1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</row>
    <row r="111" ht="15.75" customHeight="1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</row>
    <row r="112" ht="15.75" customHeight="1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</row>
    <row r="113" ht="15.75" customHeight="1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</row>
    <row r="114" ht="15.75" customHeight="1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</row>
    <row r="115" ht="15.75" customHeight="1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</row>
    <row r="116" ht="15.75" customHeight="1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</row>
    <row r="117" ht="15.75" customHeight="1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</row>
    <row r="118" ht="15.75" customHeight="1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</row>
    <row r="119" ht="15.75" customHeight="1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</row>
    <row r="120" ht="15.75" customHeight="1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</row>
    <row r="121" ht="15.75" customHeight="1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</row>
    <row r="122" ht="15.75" customHeight="1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</row>
    <row r="123" ht="15.75" customHeight="1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</row>
    <row r="124" ht="15.75" customHeight="1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</row>
    <row r="125" ht="15.75" customHeight="1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</row>
    <row r="126" ht="15.75" customHeight="1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</row>
    <row r="127" ht="15.75" customHeight="1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</row>
    <row r="128" ht="15.75" customHeight="1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</row>
    <row r="129" ht="15.75" customHeight="1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</row>
    <row r="130" ht="15.75" customHeight="1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</row>
    <row r="131" ht="15.75" customHeight="1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</row>
    <row r="132" ht="15.75" customHeight="1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</row>
    <row r="133" ht="15.75" customHeight="1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</row>
    <row r="134" ht="15.75" customHeight="1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</row>
    <row r="135" ht="15.75" customHeight="1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ht="15.75" customHeight="1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ht="15.75" customHeight="1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</row>
    <row r="138" ht="15.75" customHeight="1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</row>
    <row r="139" ht="15.75" customHeight="1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</row>
    <row r="140" ht="15.75" customHeight="1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</row>
    <row r="141" ht="15.75" customHeight="1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</row>
    <row r="142" ht="15.75" customHeight="1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</row>
    <row r="143" ht="15.75" customHeight="1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</row>
    <row r="144" ht="15.75" customHeight="1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</row>
    <row r="145" ht="15.75" customHeight="1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</row>
    <row r="146" ht="15.75" customHeight="1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</row>
    <row r="147" ht="15.75" customHeight="1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</row>
    <row r="148" ht="15.75" customHeight="1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</row>
    <row r="149" ht="15.75" customHeight="1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</row>
    <row r="150" ht="15.75" customHeight="1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</row>
    <row r="151" ht="15.75" customHeight="1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</row>
    <row r="152" ht="15.75" customHeight="1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</row>
    <row r="153" ht="15.75" customHeight="1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</row>
    <row r="154" ht="15.75" customHeight="1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</row>
    <row r="155" ht="15.75" customHeight="1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</row>
    <row r="156" ht="15.75" customHeight="1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</row>
    <row r="157" ht="15.75" customHeight="1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</row>
    <row r="158" ht="15.75" customHeight="1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</row>
    <row r="159" ht="15.75" customHeight="1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</row>
    <row r="160" ht="15.75" customHeight="1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</row>
    <row r="161" ht="15.75" customHeight="1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</row>
    <row r="162" ht="15.75" customHeight="1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</row>
    <row r="163" ht="15.75" customHeight="1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</row>
    <row r="164" ht="15.75" customHeight="1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</row>
    <row r="165" ht="15.75" customHeight="1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</row>
    <row r="166" ht="15.75" customHeight="1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</row>
    <row r="167" ht="15.75" customHeight="1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</row>
    <row r="168" ht="15.75" customHeight="1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</row>
    <row r="169" ht="15.75" customHeight="1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</row>
    <row r="170" ht="15.75" customHeight="1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</row>
    <row r="171" ht="15.75" customHeight="1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</row>
    <row r="172" ht="15.75" customHeight="1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</row>
    <row r="173" ht="15.75" customHeight="1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</row>
    <row r="174" ht="15.75" customHeight="1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</row>
    <row r="175" ht="15.75" customHeight="1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</row>
    <row r="176" ht="15.75" customHeight="1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</row>
    <row r="177" ht="15.75" customHeight="1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</row>
    <row r="178" ht="15.75" customHeight="1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</row>
    <row r="179" ht="15.75" customHeight="1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</row>
    <row r="180" ht="15.75" customHeight="1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</row>
    <row r="181" ht="15.75" customHeight="1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</row>
    <row r="182" ht="15.75" customHeight="1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</row>
    <row r="183" ht="15.75" customHeight="1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</row>
    <row r="184" ht="15.75" customHeight="1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</row>
    <row r="185" ht="15.75" customHeight="1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</row>
    <row r="186" ht="15.75" customHeight="1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</row>
    <row r="187" ht="15.75" customHeight="1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</row>
    <row r="188" ht="15.75" customHeight="1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</row>
    <row r="189" ht="15.75" customHeight="1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</row>
    <row r="190" ht="15.75" customHeight="1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</row>
    <row r="191" ht="15.75" customHeight="1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</row>
    <row r="192" ht="15.75" customHeight="1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</row>
    <row r="193" ht="15.75" customHeight="1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</row>
    <row r="194" ht="15.75" customHeight="1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</row>
    <row r="195" ht="15.75" customHeight="1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</row>
    <row r="196" ht="15.75" customHeight="1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</row>
    <row r="197" ht="15.75" customHeight="1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</row>
    <row r="198" ht="15.75" customHeight="1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</row>
    <row r="199" ht="15.75" customHeight="1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</row>
    <row r="200" ht="15.75" customHeight="1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</row>
    <row r="201" ht="15.75" customHeight="1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</row>
    <row r="202" ht="15.75" customHeight="1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</row>
    <row r="203" ht="15.75" customHeight="1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</row>
    <row r="204" ht="15.75" customHeight="1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</row>
    <row r="205" ht="15.75" customHeight="1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</row>
    <row r="206" ht="15.75" customHeight="1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</row>
    <row r="207" ht="15.75" customHeight="1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</row>
    <row r="208" ht="15.75" customHeight="1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</row>
    <row r="209" ht="15.75" customHeight="1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</row>
    <row r="210" ht="15.75" customHeight="1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</row>
    <row r="211" ht="15.75" customHeight="1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</row>
    <row r="212" ht="15.75" customHeight="1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</row>
    <row r="213" ht="15.75" customHeight="1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</row>
    <row r="214" ht="15.75" customHeight="1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</row>
    <row r="215" ht="15.75" customHeight="1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</row>
    <row r="216" ht="15.75" customHeight="1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</row>
    <row r="217" ht="15.75" customHeight="1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</row>
    <row r="218" ht="15.75" customHeight="1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</row>
    <row r="219" ht="15.75" customHeight="1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</row>
    <row r="220" ht="15.75" customHeight="1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</row>
    <row r="221" ht="15.75" customHeight="1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</row>
    <row r="222" ht="15.75" customHeight="1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</row>
    <row r="223" ht="15.75" customHeight="1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</row>
    <row r="224" ht="15.75" customHeight="1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</row>
    <row r="225" ht="15.75" customHeight="1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</row>
    <row r="226" ht="15.75" customHeight="1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</row>
    <row r="227" ht="15.75" customHeight="1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</row>
    <row r="228" ht="15.75" customHeight="1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</row>
    <row r="229" ht="15.75" customHeight="1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</row>
    <row r="230" ht="15.75" customHeight="1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</row>
    <row r="231" ht="15.75" customHeight="1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</row>
    <row r="232" ht="15.75" customHeight="1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</row>
    <row r="233" ht="15.75" customHeight="1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</row>
    <row r="234" ht="15.75" customHeight="1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</row>
    <row r="235" ht="15.75" customHeight="1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</row>
    <row r="236" ht="15.75" customHeight="1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</row>
    <row r="237" ht="15.75" customHeight="1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</row>
    <row r="238" ht="15.75" customHeight="1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</row>
    <row r="239" ht="15.75" customHeight="1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</row>
    <row r="240" ht="15.75" customHeight="1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</row>
    <row r="241" ht="15.75" customHeight="1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</row>
    <row r="242" ht="15.75" customHeight="1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</row>
    <row r="243" ht="15.75" customHeight="1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</row>
    <row r="244" ht="15.75" customHeight="1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</row>
    <row r="245" ht="15.75" customHeight="1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</row>
    <row r="246" ht="15.75" customHeight="1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</row>
    <row r="247" ht="15.75" customHeight="1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</row>
    <row r="248" ht="15.75" customHeight="1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</row>
    <row r="249" ht="15.75" customHeight="1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</row>
    <row r="250" ht="15.75" customHeight="1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</row>
    <row r="251" ht="15.75" customHeight="1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</row>
    <row r="252" ht="15.75" customHeight="1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</row>
    <row r="253" ht="15.75" customHeight="1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</row>
    <row r="254" ht="15.75" customHeight="1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</row>
    <row r="255" ht="15.75" customHeight="1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</row>
    <row r="256" ht="15.75" customHeight="1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</row>
    <row r="257" ht="15.75" customHeight="1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</row>
    <row r="258" ht="15.75" customHeight="1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</row>
    <row r="259" ht="15.75" customHeight="1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</row>
    <row r="260" ht="15.75" customHeight="1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</row>
    <row r="261" ht="15.75" customHeight="1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</row>
    <row r="262" ht="15.75" customHeight="1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</row>
    <row r="263" ht="15.75" customHeight="1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</row>
    <row r="264" ht="15.75" customHeight="1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</row>
    <row r="265" ht="15.75" customHeight="1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</row>
    <row r="266" ht="15.75" customHeight="1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</row>
    <row r="267" ht="15.75" customHeight="1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</row>
    <row r="268" ht="15.75" customHeight="1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</row>
    <row r="269" ht="15.75" customHeight="1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</row>
    <row r="270" ht="15.75" customHeight="1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</row>
    <row r="271" ht="15.75" customHeight="1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</row>
    <row r="272" ht="15.75" customHeight="1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</row>
    <row r="273" ht="15.75" customHeight="1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</row>
    <row r="274" ht="15.75" customHeight="1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</row>
    <row r="275" ht="15.75" customHeight="1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</row>
    <row r="276" ht="15.75" customHeight="1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</row>
    <row r="277" ht="15.75" customHeight="1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</row>
    <row r="278" ht="15.75" customHeight="1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</row>
    <row r="279" ht="15.75" customHeight="1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</row>
    <row r="280" ht="15.75" customHeight="1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</row>
    <row r="281" ht="15.75" customHeight="1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</row>
    <row r="282" ht="15.75" customHeight="1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</row>
    <row r="283" ht="15.75" customHeight="1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</row>
    <row r="284" ht="15.75" customHeight="1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</row>
    <row r="285" ht="15.75" customHeight="1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</row>
    <row r="286" ht="15.75" customHeight="1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</row>
    <row r="287" ht="15.75" customHeight="1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</row>
    <row r="288" ht="15.75" customHeight="1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</row>
    <row r="289" ht="15.75" customHeight="1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</row>
    <row r="290" ht="15.75" customHeight="1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</row>
    <row r="291" ht="15.75" customHeight="1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</row>
    <row r="292" ht="15.75" customHeight="1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</row>
    <row r="293" ht="15.75" customHeight="1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</row>
    <row r="294" ht="15.75" customHeight="1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</row>
    <row r="295" ht="15.75" customHeight="1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</row>
    <row r="296" ht="15.75" customHeight="1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</row>
    <row r="297" ht="15.75" customHeight="1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</row>
    <row r="298" ht="15.75" customHeight="1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</row>
    <row r="299" ht="15.75" customHeight="1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</row>
    <row r="300" ht="15.75" customHeight="1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</row>
    <row r="301" ht="15.75" customHeight="1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</row>
    <row r="302" ht="15.75" customHeight="1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</row>
    <row r="303" ht="15.75" customHeight="1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</row>
    <row r="304" ht="15.75" customHeight="1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</row>
    <row r="305" ht="15.75" customHeight="1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</row>
    <row r="306" ht="15.75" customHeight="1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</row>
    <row r="307" ht="15.75" customHeight="1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</row>
    <row r="308" ht="15.75" customHeight="1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</row>
    <row r="309" ht="15.75" customHeight="1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</row>
    <row r="310" ht="15.75" customHeight="1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</row>
    <row r="311" ht="15.75" customHeight="1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</row>
    <row r="312" ht="15.75" customHeight="1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</row>
    <row r="313" ht="15.75" customHeight="1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</row>
    <row r="314" ht="15.75" customHeight="1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</row>
    <row r="315" ht="15.75" customHeight="1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</row>
    <row r="316" ht="15.75" customHeight="1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</row>
    <row r="317" ht="15.75" customHeight="1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</row>
    <row r="318" ht="15.75" customHeight="1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</row>
    <row r="319" ht="15.75" customHeight="1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</row>
    <row r="320" ht="15.75" customHeight="1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</row>
    <row r="321" ht="15.75" customHeight="1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</row>
    <row r="322" ht="15.75" customHeight="1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</row>
    <row r="323" ht="15.75" customHeight="1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</row>
    <row r="324" ht="15.75" customHeight="1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</row>
    <row r="325" ht="15.75" customHeight="1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</row>
    <row r="326" ht="15.75" customHeight="1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</row>
    <row r="327" ht="15.75" customHeight="1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</row>
    <row r="328" ht="15.75" customHeight="1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</row>
    <row r="329" ht="15.75" customHeight="1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</row>
    <row r="330" ht="15.75" customHeight="1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</row>
    <row r="331" ht="15.75" customHeight="1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</row>
    <row r="332" ht="15.75" customHeight="1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</row>
    <row r="333" ht="15.75" customHeight="1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</row>
    <row r="334" ht="15.75" customHeight="1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</row>
    <row r="335" ht="15.75" customHeight="1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</row>
    <row r="336" ht="15.75" customHeight="1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</row>
    <row r="337" ht="15.75" customHeight="1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</row>
    <row r="338" ht="15.75" customHeight="1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</row>
    <row r="339" ht="15.75" customHeight="1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</row>
    <row r="340" ht="15.75" customHeight="1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</row>
    <row r="341" ht="15.75" customHeight="1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</row>
    <row r="342" ht="15.75" customHeight="1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</row>
    <row r="343" ht="15.75" customHeight="1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</row>
    <row r="344" ht="15.75" customHeight="1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</row>
    <row r="345" ht="15.75" customHeight="1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</row>
    <row r="346" ht="15.75" customHeight="1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</row>
    <row r="347" ht="15.75" customHeight="1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</row>
    <row r="348" ht="15.75" customHeight="1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</row>
    <row r="349" ht="15.75" customHeight="1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</row>
    <row r="350" ht="15.75" customHeight="1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</row>
    <row r="351" ht="15.75" customHeight="1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</row>
    <row r="352" ht="15.75" customHeight="1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</row>
    <row r="353" ht="15.75" customHeight="1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</row>
    <row r="354" ht="15.75" customHeight="1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</row>
    <row r="355" ht="15.75" customHeight="1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</row>
    <row r="356" ht="15.75" customHeight="1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</row>
    <row r="357" ht="15.75" customHeight="1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</row>
    <row r="358" ht="15.75" customHeight="1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</row>
    <row r="359" ht="15.75" customHeight="1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</row>
    <row r="360" ht="15.75" customHeight="1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</row>
    <row r="361" ht="15.75" customHeight="1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</row>
    <row r="362" ht="15.75" customHeight="1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</row>
    <row r="363" ht="15.75" customHeight="1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</row>
    <row r="364" ht="15.75" customHeight="1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</row>
    <row r="365" ht="15.75" customHeight="1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ht="15.75" customHeight="1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</row>
    <row r="367" ht="15.75" customHeight="1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</row>
    <row r="368" ht="15.75" customHeight="1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</row>
    <row r="369" ht="15.75" customHeight="1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</row>
    <row r="370" ht="15.75" customHeight="1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</row>
    <row r="371" ht="15.75" customHeight="1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</row>
    <row r="372" ht="15.75" customHeight="1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</row>
    <row r="373" ht="15.75" customHeight="1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</row>
    <row r="374" ht="15.75" customHeight="1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</row>
    <row r="375" ht="15.75" customHeight="1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</row>
    <row r="376" ht="15.75" customHeight="1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</row>
    <row r="377" ht="15.75" customHeight="1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</row>
    <row r="378" ht="15.75" customHeight="1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</row>
    <row r="379" ht="15.75" customHeight="1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</row>
    <row r="380" ht="15.75" customHeight="1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</row>
    <row r="381" ht="15.75" customHeight="1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</row>
    <row r="382" ht="15.75" customHeight="1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</row>
    <row r="383" ht="15.75" customHeight="1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</row>
    <row r="384" ht="15.75" customHeight="1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</row>
    <row r="385" ht="15.75" customHeight="1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</row>
    <row r="386" ht="15.75" customHeight="1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</row>
    <row r="387" ht="15.75" customHeight="1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</row>
    <row r="388" ht="15.75" customHeight="1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</row>
    <row r="389" ht="15.75" customHeight="1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</row>
    <row r="390" ht="15.75" customHeight="1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</row>
    <row r="391" ht="15.75" customHeight="1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</row>
    <row r="392" ht="15.75" customHeight="1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</row>
    <row r="393" ht="15.75" customHeight="1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</row>
    <row r="394" ht="15.75" customHeight="1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</row>
    <row r="395" ht="15.75" customHeight="1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</row>
    <row r="396" ht="15.75" customHeight="1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ht="15.75" customHeight="1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</row>
    <row r="398" ht="15.75" customHeight="1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</row>
    <row r="399" ht="15.75" customHeight="1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</row>
    <row r="400" ht="15.75" customHeight="1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</row>
    <row r="401" ht="15.75" customHeight="1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</row>
    <row r="402" ht="15.75" customHeight="1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</row>
    <row r="403" ht="15.75" customHeight="1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</row>
    <row r="404" ht="15.75" customHeight="1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</row>
    <row r="405" ht="15.75" customHeight="1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</row>
    <row r="406" ht="15.75" customHeight="1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</row>
    <row r="407" ht="15.75" customHeight="1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</row>
    <row r="408" ht="15.75" customHeight="1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</row>
    <row r="409" ht="15.75" customHeight="1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</row>
    <row r="410" ht="15.75" customHeight="1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</row>
    <row r="411" ht="15.75" customHeight="1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</row>
    <row r="412" ht="15.75" customHeight="1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</row>
    <row r="413" ht="15.75" customHeight="1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</row>
    <row r="414" ht="15.75" customHeight="1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</row>
    <row r="415" ht="15.75" customHeight="1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</row>
    <row r="416" ht="15.75" customHeight="1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</row>
    <row r="417" ht="15.75" customHeight="1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</row>
    <row r="418" ht="15.75" customHeight="1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</row>
    <row r="419" ht="15.75" customHeight="1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</row>
    <row r="420" ht="15.75" customHeight="1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</row>
    <row r="421" ht="15.75" customHeight="1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</row>
    <row r="422" ht="15.75" customHeight="1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</row>
    <row r="423" ht="15.75" customHeight="1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</row>
    <row r="424" ht="15.75" customHeight="1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</row>
    <row r="425" ht="15.75" customHeight="1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</row>
    <row r="426" ht="15.75" customHeight="1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</row>
    <row r="427" ht="15.75" customHeight="1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</row>
    <row r="428" ht="15.75" customHeight="1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</row>
    <row r="429" ht="15.75" customHeight="1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</row>
    <row r="430" ht="15.75" customHeight="1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</row>
    <row r="431" ht="15.75" customHeight="1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</row>
    <row r="432" ht="15.75" customHeight="1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</row>
    <row r="433" ht="15.75" customHeight="1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</row>
    <row r="434" ht="15.75" customHeight="1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</row>
    <row r="435" ht="15.75" customHeight="1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</row>
    <row r="436" ht="15.75" customHeight="1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</row>
    <row r="437" ht="15.75" customHeight="1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</row>
    <row r="438" ht="15.75" customHeight="1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</row>
    <row r="439" ht="15.75" customHeight="1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</row>
    <row r="440" ht="15.75" customHeight="1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</row>
    <row r="441" ht="15.75" customHeight="1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</row>
    <row r="442" ht="15.75" customHeight="1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</row>
    <row r="443" ht="15.75" customHeight="1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</row>
    <row r="444" ht="15.75" customHeight="1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</row>
    <row r="445" ht="15.75" customHeight="1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</row>
    <row r="446" ht="15.75" customHeight="1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</row>
    <row r="447" ht="15.75" customHeight="1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</row>
    <row r="448" ht="15.75" customHeight="1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</row>
    <row r="449" ht="15.75" customHeight="1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</row>
    <row r="450" ht="15.75" customHeight="1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</row>
    <row r="451" ht="15.75" customHeight="1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</row>
    <row r="452" ht="15.75" customHeight="1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</row>
    <row r="453" ht="15.75" customHeight="1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</row>
    <row r="454" ht="15.75" customHeight="1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</row>
    <row r="455" ht="15.75" customHeight="1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</row>
    <row r="456" ht="15.75" customHeight="1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</row>
    <row r="457" ht="15.75" customHeight="1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</row>
    <row r="458" ht="15.75" customHeight="1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</row>
    <row r="459" ht="15.75" customHeight="1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</row>
    <row r="460" ht="15.75" customHeight="1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</row>
    <row r="461" ht="15.75" customHeight="1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</row>
    <row r="462" ht="15.75" customHeight="1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</row>
    <row r="463" ht="15.75" customHeight="1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</row>
    <row r="464" ht="15.75" customHeight="1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</row>
    <row r="465" ht="15.75" customHeight="1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</row>
    <row r="466" ht="15.75" customHeight="1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</row>
    <row r="467" ht="15.75" customHeight="1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</row>
    <row r="468" ht="15.75" customHeight="1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</row>
    <row r="469" ht="15.75" customHeight="1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</row>
    <row r="470" ht="15.75" customHeight="1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</row>
    <row r="471" ht="15.75" customHeight="1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</row>
    <row r="472" ht="15.75" customHeight="1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</row>
    <row r="473" ht="15.75" customHeight="1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</row>
    <row r="474" ht="15.75" customHeight="1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</row>
    <row r="475" ht="15.75" customHeight="1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</row>
    <row r="476" ht="15.75" customHeight="1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</row>
    <row r="477" ht="15.75" customHeight="1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</row>
    <row r="478" ht="15.75" customHeight="1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</row>
    <row r="479" ht="15.75" customHeight="1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</row>
    <row r="480" ht="15.75" customHeight="1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</row>
    <row r="481" ht="15.75" customHeight="1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</row>
    <row r="482" ht="15.75" customHeight="1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</row>
    <row r="483" ht="15.75" customHeight="1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</row>
    <row r="484" ht="15.75" customHeight="1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</row>
    <row r="485" ht="15.75" customHeight="1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</row>
    <row r="486" ht="15.75" customHeight="1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</row>
    <row r="487" ht="15.75" customHeight="1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</row>
    <row r="488" ht="15.75" customHeight="1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</row>
    <row r="489" ht="15.75" customHeight="1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</row>
    <row r="490" ht="15.75" customHeight="1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</row>
    <row r="491" ht="15.75" customHeight="1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</row>
    <row r="492" ht="15.75" customHeight="1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</row>
    <row r="493" ht="15.75" customHeight="1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</row>
    <row r="494" ht="15.75" customHeight="1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</row>
    <row r="495" ht="15.75" customHeight="1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</row>
    <row r="496" ht="15.75" customHeight="1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</row>
    <row r="497" ht="15.75" customHeight="1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</row>
    <row r="498" ht="15.75" customHeight="1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</row>
    <row r="499" ht="15.75" customHeight="1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</row>
    <row r="500" ht="15.75" customHeight="1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</row>
    <row r="501" ht="15.75" customHeight="1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</row>
    <row r="502" ht="15.75" customHeight="1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</row>
    <row r="503" ht="15.75" customHeight="1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</row>
    <row r="504" ht="15.75" customHeight="1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</row>
    <row r="505" ht="15.75" customHeight="1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</row>
    <row r="506" ht="15.75" customHeight="1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</row>
    <row r="507" ht="15.75" customHeight="1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</row>
    <row r="508" ht="15.75" customHeight="1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</row>
    <row r="509" ht="15.75" customHeight="1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</row>
    <row r="510" ht="15.75" customHeight="1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</row>
    <row r="511" ht="15.75" customHeight="1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</row>
    <row r="512" ht="15.75" customHeight="1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</row>
    <row r="513" ht="15.75" customHeight="1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</row>
    <row r="514" ht="15.75" customHeight="1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</row>
    <row r="515" ht="15.75" customHeight="1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</row>
    <row r="516" ht="15.75" customHeight="1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</row>
    <row r="517" ht="15.75" customHeight="1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</row>
    <row r="518" ht="15.75" customHeight="1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</row>
    <row r="519" ht="15.75" customHeight="1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</row>
    <row r="520" ht="15.75" customHeight="1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</row>
    <row r="521" ht="15.75" customHeight="1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</row>
    <row r="522" ht="15.75" customHeight="1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</row>
    <row r="523" ht="15.75" customHeight="1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</row>
    <row r="524" ht="15.75" customHeight="1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</row>
    <row r="525" ht="15.75" customHeight="1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</row>
    <row r="526" ht="15.75" customHeight="1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</row>
    <row r="527" ht="15.75" customHeight="1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</row>
    <row r="528" ht="15.75" customHeight="1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</row>
    <row r="529" ht="15.75" customHeight="1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</row>
    <row r="530" ht="15.75" customHeight="1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</row>
    <row r="531" ht="15.75" customHeight="1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</row>
    <row r="532" ht="15.75" customHeight="1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</row>
    <row r="533" ht="15.75" customHeight="1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</row>
    <row r="534" ht="15.75" customHeight="1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</row>
    <row r="535" ht="15.75" customHeight="1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</row>
    <row r="536" ht="15.75" customHeight="1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</row>
    <row r="537" ht="15.75" customHeight="1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</row>
    <row r="538" ht="15.75" customHeight="1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</row>
    <row r="539" ht="15.75" customHeight="1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</row>
    <row r="540" ht="15.75" customHeight="1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</row>
    <row r="541" ht="15.75" customHeight="1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</row>
    <row r="542" ht="15.75" customHeight="1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</row>
    <row r="543" ht="15.75" customHeight="1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</row>
    <row r="544" ht="15.75" customHeight="1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</row>
    <row r="545" ht="15.75" customHeight="1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</row>
    <row r="546" ht="15.75" customHeight="1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</row>
    <row r="547" ht="15.75" customHeight="1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</row>
    <row r="548" ht="15.75" customHeight="1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</row>
    <row r="549" ht="15.75" customHeight="1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</row>
    <row r="550" ht="15.75" customHeight="1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</row>
    <row r="551" ht="15.75" customHeight="1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</row>
    <row r="552" ht="15.75" customHeight="1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</row>
    <row r="553" ht="15.75" customHeight="1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</row>
    <row r="554" ht="15.75" customHeight="1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</row>
    <row r="555" ht="15.75" customHeight="1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</row>
    <row r="556" ht="15.75" customHeight="1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</row>
    <row r="557" ht="15.75" customHeight="1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</row>
    <row r="558" ht="15.75" customHeight="1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</row>
    <row r="559" ht="15.75" customHeight="1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</row>
    <row r="560" ht="15.75" customHeight="1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</row>
    <row r="561" ht="15.75" customHeight="1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</row>
    <row r="562" ht="15.75" customHeight="1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</row>
    <row r="563" ht="15.75" customHeight="1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</row>
    <row r="564" ht="15.75" customHeight="1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</row>
    <row r="565" ht="15.75" customHeight="1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</row>
    <row r="566" ht="15.75" customHeight="1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</row>
    <row r="567" ht="15.75" customHeight="1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</row>
    <row r="568" ht="15.75" customHeight="1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</row>
    <row r="569" ht="15.75" customHeight="1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</row>
    <row r="570" ht="15.75" customHeight="1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</row>
    <row r="571" ht="15.75" customHeight="1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</row>
    <row r="572" ht="15.75" customHeight="1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</row>
    <row r="573" ht="15.75" customHeight="1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</row>
    <row r="574" ht="15.75" customHeight="1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</row>
    <row r="575" ht="15.75" customHeight="1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</row>
    <row r="576" ht="15.75" customHeight="1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</row>
    <row r="577" ht="15.75" customHeight="1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</row>
    <row r="578" ht="15.75" customHeight="1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</row>
    <row r="579" ht="15.75" customHeight="1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</row>
    <row r="580" ht="15.75" customHeight="1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</row>
    <row r="581" ht="15.75" customHeight="1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</row>
    <row r="582" ht="15.75" customHeight="1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</row>
    <row r="583" ht="15.75" customHeight="1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</row>
    <row r="584" ht="15.75" customHeight="1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</row>
    <row r="585" ht="15.75" customHeight="1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</row>
    <row r="586" ht="15.75" customHeight="1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</row>
    <row r="587" ht="15.75" customHeight="1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</row>
    <row r="588" ht="15.75" customHeight="1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</row>
    <row r="589" ht="15.75" customHeight="1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</row>
    <row r="590" ht="15.75" customHeight="1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</row>
    <row r="591" ht="15.75" customHeight="1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</row>
    <row r="592" ht="15.75" customHeight="1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</row>
    <row r="593" ht="15.75" customHeight="1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</row>
    <row r="594" ht="15.75" customHeight="1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</row>
    <row r="595" ht="15.75" customHeight="1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</row>
    <row r="596" ht="15.75" customHeight="1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</row>
    <row r="597" ht="15.75" customHeight="1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</row>
    <row r="598" ht="15.75" customHeight="1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</row>
    <row r="599" ht="15.75" customHeight="1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</row>
    <row r="600" ht="15.75" customHeight="1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</row>
    <row r="601" ht="15.75" customHeight="1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</row>
    <row r="602" ht="15.75" customHeight="1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</row>
    <row r="603" ht="15.75" customHeight="1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</row>
    <row r="604" ht="15.75" customHeight="1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</row>
    <row r="605" ht="15.75" customHeight="1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</row>
    <row r="606" ht="15.75" customHeight="1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</row>
    <row r="607" ht="15.75" customHeight="1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</row>
    <row r="608" ht="15.75" customHeight="1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</row>
    <row r="609" ht="15.75" customHeight="1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</row>
    <row r="610" ht="15.75" customHeight="1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</row>
    <row r="611" ht="15.75" customHeight="1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</row>
    <row r="612" ht="15.75" customHeight="1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</row>
    <row r="613" ht="15.75" customHeight="1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</row>
    <row r="614" ht="15.75" customHeight="1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</row>
    <row r="615" ht="15.75" customHeight="1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</row>
    <row r="616" ht="15.75" customHeight="1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</row>
    <row r="617" ht="15.75" customHeight="1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</row>
    <row r="618" ht="15.75" customHeight="1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ht="15.75" customHeight="1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</row>
    <row r="620" ht="15.75" customHeight="1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</row>
    <row r="621" ht="15.75" customHeight="1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</row>
    <row r="622" ht="15.75" customHeight="1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</row>
    <row r="623" ht="15.75" customHeight="1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</row>
    <row r="624" ht="15.75" customHeight="1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</row>
    <row r="625" ht="15.75" customHeight="1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</row>
    <row r="626" ht="15.75" customHeight="1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</row>
    <row r="627" ht="15.75" customHeight="1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</row>
    <row r="628" ht="15.75" customHeight="1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</row>
    <row r="629" ht="15.75" customHeight="1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</row>
    <row r="630" ht="15.75" customHeight="1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</row>
    <row r="631" ht="15.75" customHeight="1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</row>
    <row r="632" ht="15.75" customHeight="1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</row>
    <row r="633" ht="15.75" customHeight="1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</row>
    <row r="634" ht="15.75" customHeight="1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</row>
    <row r="635" ht="15.75" customHeight="1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</row>
    <row r="636" ht="15.75" customHeight="1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</row>
    <row r="637" ht="15.75" customHeight="1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</row>
    <row r="638" ht="15.75" customHeight="1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</row>
    <row r="639" ht="15.75" customHeight="1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</row>
    <row r="640" ht="15.75" customHeight="1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</row>
    <row r="641" ht="15.75" customHeight="1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</row>
    <row r="642" ht="15.75" customHeight="1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</row>
    <row r="643" ht="15.75" customHeight="1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</row>
    <row r="644" ht="15.75" customHeight="1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</row>
    <row r="645" ht="15.75" customHeight="1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</row>
    <row r="646" ht="15.75" customHeight="1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</row>
    <row r="647" ht="15.75" customHeight="1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</row>
    <row r="648" ht="15.75" customHeight="1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</row>
    <row r="649" ht="15.75" customHeight="1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</row>
    <row r="650" ht="15.75" customHeight="1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</row>
    <row r="651" ht="15.75" customHeight="1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</row>
    <row r="652" ht="15.75" customHeight="1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</row>
    <row r="653" ht="15.75" customHeight="1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</row>
    <row r="654" ht="15.75" customHeight="1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</row>
    <row r="655" ht="15.75" customHeight="1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</row>
    <row r="656" ht="15.75" customHeight="1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</row>
    <row r="657" ht="15.75" customHeight="1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</row>
    <row r="658" ht="15.75" customHeight="1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</row>
    <row r="659" ht="15.75" customHeight="1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</row>
    <row r="660" ht="15.75" customHeight="1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</row>
    <row r="661" ht="15.75" customHeight="1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</row>
    <row r="662" ht="15.75" customHeight="1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</row>
    <row r="663" ht="15.75" customHeight="1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</row>
    <row r="664" ht="15.75" customHeight="1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</row>
    <row r="665" ht="15.75" customHeight="1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</row>
    <row r="666" ht="15.75" customHeight="1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</row>
    <row r="667" ht="15.75" customHeight="1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</row>
    <row r="668" ht="15.75" customHeight="1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</row>
    <row r="669" ht="15.75" customHeight="1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</row>
    <row r="670" ht="15.75" customHeight="1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</row>
    <row r="671" ht="15.75" customHeight="1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</row>
    <row r="672" ht="15.75" customHeight="1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</row>
    <row r="673" ht="15.75" customHeight="1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</row>
    <row r="674" ht="15.75" customHeight="1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</row>
    <row r="675" ht="15.75" customHeight="1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</row>
    <row r="676" ht="15.75" customHeight="1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</row>
    <row r="677" ht="15.75" customHeight="1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</row>
    <row r="678" ht="15.75" customHeight="1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</row>
    <row r="679" ht="15.75" customHeight="1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</row>
    <row r="680" ht="15.75" customHeight="1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</row>
    <row r="681" ht="15.75" customHeight="1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</row>
    <row r="682" ht="15.75" customHeight="1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</row>
    <row r="683" ht="15.75" customHeight="1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</row>
    <row r="684" ht="15.75" customHeight="1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</row>
    <row r="685" ht="15.75" customHeight="1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</row>
    <row r="686" ht="15.75" customHeight="1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</row>
    <row r="687" ht="15.75" customHeight="1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</row>
    <row r="688" ht="15.75" customHeight="1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</row>
    <row r="689" ht="15.75" customHeight="1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</row>
    <row r="690" ht="15.75" customHeight="1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</row>
    <row r="691" ht="15.75" customHeight="1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</row>
    <row r="692" ht="15.75" customHeight="1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</row>
    <row r="693" ht="15.75" customHeight="1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</row>
    <row r="694" ht="15.75" customHeight="1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</row>
    <row r="695" ht="15.75" customHeight="1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</row>
    <row r="696" ht="15.75" customHeight="1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</row>
    <row r="697" ht="15.75" customHeight="1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</row>
    <row r="698" ht="15.75" customHeight="1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</row>
    <row r="699" ht="15.75" customHeight="1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</row>
    <row r="700" ht="15.75" customHeight="1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</row>
    <row r="701" ht="15.75" customHeight="1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</row>
    <row r="702" ht="15.75" customHeight="1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</row>
    <row r="703" ht="15.75" customHeight="1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</row>
    <row r="704" ht="15.75" customHeight="1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</row>
    <row r="705" ht="15.75" customHeight="1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</row>
    <row r="706" ht="15.75" customHeight="1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</row>
    <row r="707" ht="15.75" customHeight="1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</row>
    <row r="708" ht="15.75" customHeight="1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</row>
    <row r="709" ht="15.75" customHeight="1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</row>
    <row r="710" ht="15.75" customHeight="1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</row>
    <row r="711" ht="15.75" customHeight="1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</row>
    <row r="712" ht="15.75" customHeight="1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</row>
    <row r="713" ht="15.75" customHeight="1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</row>
    <row r="714" ht="15.75" customHeight="1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</row>
    <row r="715" ht="15.75" customHeight="1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</row>
    <row r="716" ht="15.75" customHeight="1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</row>
    <row r="717" ht="15.75" customHeight="1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</row>
    <row r="718" ht="15.75" customHeight="1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</row>
    <row r="719" ht="15.75" customHeight="1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</row>
    <row r="720" ht="15.75" customHeight="1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</row>
    <row r="721" ht="15.75" customHeight="1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</row>
    <row r="722" ht="15.75" customHeight="1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</row>
    <row r="723" ht="15.75" customHeight="1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</row>
    <row r="724" ht="15.75" customHeight="1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</row>
    <row r="725" ht="15.75" customHeight="1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</row>
    <row r="726" ht="15.75" customHeight="1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</row>
    <row r="727" ht="15.75" customHeight="1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</row>
    <row r="728" ht="15.75" customHeight="1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</row>
    <row r="729" ht="15.75" customHeight="1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</row>
    <row r="730" ht="15.75" customHeight="1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</row>
    <row r="731" ht="15.75" customHeight="1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</row>
    <row r="732" ht="15.75" customHeight="1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</row>
    <row r="733" ht="15.75" customHeight="1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</row>
    <row r="734" ht="15.75" customHeight="1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</row>
    <row r="735" ht="15.75" customHeight="1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</row>
    <row r="736" ht="15.75" customHeight="1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</row>
    <row r="737" ht="15.75" customHeight="1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</row>
    <row r="738" ht="15.75" customHeight="1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</row>
    <row r="739" ht="15.75" customHeight="1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</row>
    <row r="740" ht="15.75" customHeight="1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</row>
    <row r="741" ht="15.75" customHeight="1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</row>
    <row r="742" ht="15.75" customHeight="1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</row>
    <row r="743" ht="15.75" customHeight="1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</row>
    <row r="744" ht="15.75" customHeight="1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</row>
    <row r="745" ht="15.75" customHeight="1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</row>
    <row r="746" ht="15.75" customHeight="1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</row>
    <row r="747" ht="15.75" customHeight="1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</row>
    <row r="748" ht="15.75" customHeight="1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</row>
    <row r="749" ht="15.75" customHeight="1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</row>
    <row r="750" ht="15.75" customHeight="1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</row>
    <row r="751" ht="15.75" customHeight="1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</row>
    <row r="752" ht="15.75" customHeight="1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</row>
    <row r="753" ht="15.75" customHeight="1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</row>
    <row r="754" ht="15.75" customHeight="1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</row>
    <row r="755" ht="15.75" customHeight="1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</row>
    <row r="756" ht="15.75" customHeight="1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</row>
    <row r="757" ht="15.75" customHeight="1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</row>
    <row r="758" ht="15.75" customHeight="1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</row>
    <row r="759" ht="15.75" customHeight="1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</row>
    <row r="760" ht="15.75" customHeight="1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</row>
    <row r="761" ht="15.75" customHeight="1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</row>
    <row r="762" ht="15.75" customHeight="1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</row>
    <row r="763" ht="15.75" customHeight="1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</row>
    <row r="764" ht="15.75" customHeight="1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</row>
    <row r="765" ht="15.75" customHeight="1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</row>
    <row r="766" ht="15.75" customHeight="1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</row>
    <row r="767" ht="15.75" customHeight="1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</row>
    <row r="768" ht="15.75" customHeight="1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</row>
    <row r="769" ht="15.75" customHeight="1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</row>
    <row r="770" ht="15.75" customHeight="1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</row>
    <row r="771" ht="15.75" customHeight="1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</row>
    <row r="772" ht="15.75" customHeight="1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</row>
    <row r="773" ht="15.75" customHeight="1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</row>
    <row r="774" ht="15.75" customHeight="1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</row>
    <row r="775" ht="15.75" customHeight="1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</row>
    <row r="776" ht="15.75" customHeight="1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</row>
    <row r="777" ht="15.75" customHeight="1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</row>
    <row r="778" ht="15.75" customHeight="1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</row>
    <row r="779" ht="15.75" customHeight="1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</row>
    <row r="780" ht="15.75" customHeight="1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</row>
    <row r="781" ht="15.75" customHeight="1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</row>
    <row r="782" ht="15.75" customHeight="1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</row>
    <row r="783" ht="15.75" customHeight="1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</row>
    <row r="784" ht="15.75" customHeight="1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</row>
    <row r="785" ht="15.75" customHeight="1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</row>
    <row r="786" ht="15.75" customHeight="1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</row>
    <row r="787" ht="15.75" customHeight="1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</row>
    <row r="788" ht="15.75" customHeight="1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</row>
    <row r="789" ht="15.75" customHeight="1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</row>
    <row r="790" ht="15.75" customHeight="1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</row>
    <row r="791" ht="15.75" customHeight="1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</row>
    <row r="792" ht="15.75" customHeight="1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</row>
    <row r="793" ht="15.75" customHeight="1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</row>
    <row r="794" ht="15.75" customHeight="1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</row>
    <row r="795" ht="15.75" customHeight="1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</row>
    <row r="796" ht="15.75" customHeight="1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</row>
    <row r="797" ht="15.75" customHeight="1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</row>
    <row r="798" ht="15.75" customHeight="1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</row>
    <row r="799" ht="15.75" customHeight="1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</row>
    <row r="800" ht="15.75" customHeight="1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</row>
    <row r="801" ht="15.75" customHeight="1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</row>
    <row r="802" ht="15.75" customHeight="1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</row>
    <row r="803" ht="15.75" customHeight="1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</row>
    <row r="804" ht="15.75" customHeight="1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</row>
    <row r="805" ht="15.75" customHeight="1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</row>
    <row r="806" ht="15.75" customHeight="1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</row>
    <row r="807" ht="15.75" customHeight="1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</row>
    <row r="808" ht="15.75" customHeight="1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</row>
    <row r="809" ht="15.75" customHeight="1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</row>
    <row r="810" ht="15.75" customHeight="1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</row>
    <row r="811" ht="15.75" customHeight="1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</row>
    <row r="812" ht="15.75" customHeight="1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</row>
    <row r="813" ht="15.75" customHeight="1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</row>
    <row r="814" ht="15.75" customHeight="1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</row>
    <row r="815" ht="15.75" customHeight="1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</row>
    <row r="816" ht="15.75" customHeight="1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</row>
    <row r="817" ht="15.75" customHeight="1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</row>
    <row r="818" ht="15.75" customHeight="1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</row>
    <row r="819" ht="15.75" customHeight="1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</row>
    <row r="820" ht="15.75" customHeight="1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</row>
    <row r="821" ht="15.75" customHeight="1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</row>
    <row r="822" ht="15.75" customHeight="1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</row>
    <row r="823" ht="15.75" customHeight="1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</row>
    <row r="824" ht="15.75" customHeight="1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</row>
    <row r="825" ht="15.75" customHeight="1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</row>
    <row r="826" ht="15.75" customHeight="1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</row>
    <row r="827" ht="15.75" customHeight="1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</row>
    <row r="828" ht="15.75" customHeight="1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</row>
    <row r="829" ht="15.75" customHeight="1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</row>
    <row r="830" ht="15.75" customHeight="1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</row>
    <row r="831" ht="15.75" customHeight="1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</row>
    <row r="832" ht="15.75" customHeight="1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</row>
    <row r="833" ht="15.75" customHeight="1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</row>
    <row r="834" ht="15.75" customHeight="1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</row>
    <row r="835" ht="15.75" customHeight="1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</row>
    <row r="836" ht="15.75" customHeight="1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</row>
    <row r="837" ht="15.75" customHeight="1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</row>
    <row r="838" ht="15.75" customHeight="1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</row>
    <row r="839" ht="15.75" customHeight="1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</row>
    <row r="840" ht="15.75" customHeight="1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</row>
    <row r="841" ht="15.75" customHeight="1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</row>
    <row r="842" ht="15.75" customHeight="1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</row>
    <row r="843" ht="15.75" customHeight="1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</row>
    <row r="844" ht="15.75" customHeight="1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</row>
    <row r="845" ht="15.75" customHeight="1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</row>
    <row r="846" ht="15.75" customHeight="1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</row>
    <row r="847" ht="15.75" customHeight="1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</row>
    <row r="848" ht="15.75" customHeight="1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</row>
    <row r="849" ht="15.75" customHeight="1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</row>
    <row r="850" ht="15.75" customHeight="1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</row>
    <row r="851" ht="15.75" customHeight="1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</row>
    <row r="852" ht="15.75" customHeight="1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</row>
    <row r="853" ht="15.75" customHeight="1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</row>
    <row r="854" ht="15.75" customHeight="1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</row>
    <row r="855" ht="15.75" customHeight="1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</row>
    <row r="856" ht="15.75" customHeight="1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</row>
    <row r="857" ht="15.75" customHeight="1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</row>
    <row r="858" ht="15.75" customHeight="1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</row>
    <row r="859" ht="15.75" customHeight="1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</row>
    <row r="860" ht="15.75" customHeight="1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</row>
    <row r="861" ht="15.75" customHeight="1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</row>
    <row r="862" ht="15.75" customHeight="1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</row>
    <row r="863" ht="15.75" customHeight="1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</row>
    <row r="864" ht="15.75" customHeight="1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</row>
    <row r="865" ht="15.75" customHeight="1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</row>
    <row r="866" ht="15.75" customHeight="1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</row>
    <row r="867" ht="15.75" customHeight="1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</row>
    <row r="868" ht="15.75" customHeight="1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</row>
    <row r="869" ht="15.75" customHeight="1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</row>
    <row r="870" ht="15.75" customHeight="1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</row>
    <row r="871" ht="15.75" customHeight="1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</row>
    <row r="872" ht="15.75" customHeight="1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</row>
    <row r="873" ht="15.75" customHeight="1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</row>
    <row r="874" ht="15.75" customHeight="1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</row>
    <row r="875" ht="15.75" customHeight="1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</row>
    <row r="876" ht="15.75" customHeight="1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</row>
    <row r="877" ht="15.75" customHeight="1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</row>
    <row r="878" ht="15.75" customHeight="1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</row>
    <row r="879" ht="15.75" customHeight="1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</row>
    <row r="880" ht="15.75" customHeight="1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</row>
    <row r="881" ht="15.75" customHeight="1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</row>
    <row r="882" ht="15.75" customHeight="1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</row>
    <row r="883" ht="15.75" customHeight="1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</row>
    <row r="884" ht="15.75" customHeight="1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</row>
    <row r="885" ht="15.75" customHeight="1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</row>
    <row r="886" ht="15.75" customHeight="1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</row>
    <row r="887" ht="15.75" customHeight="1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</row>
    <row r="888" ht="15.75" customHeight="1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</row>
    <row r="889" ht="15.75" customHeight="1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</row>
    <row r="890" ht="15.75" customHeight="1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</row>
    <row r="891" ht="15.75" customHeight="1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</row>
    <row r="892" ht="15.75" customHeight="1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</row>
    <row r="893" ht="15.75" customHeight="1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</row>
    <row r="894" ht="15.75" customHeight="1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</row>
    <row r="895" ht="15.75" customHeight="1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</row>
    <row r="896" ht="15.75" customHeight="1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</row>
    <row r="897" ht="15.75" customHeight="1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</row>
    <row r="898" ht="15.75" customHeight="1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</row>
    <row r="899" ht="15.75" customHeight="1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</row>
    <row r="900" ht="15.75" customHeight="1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</row>
    <row r="901" ht="15.75" customHeight="1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</row>
    <row r="902" ht="15.75" customHeight="1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</row>
    <row r="903" ht="15.75" customHeight="1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</row>
    <row r="904" ht="15.75" customHeight="1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</row>
    <row r="905" ht="15.75" customHeight="1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</row>
    <row r="906" ht="15.75" customHeight="1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</row>
    <row r="907" ht="15.75" customHeight="1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</row>
    <row r="908" ht="15.75" customHeight="1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</row>
    <row r="909" ht="15.75" customHeight="1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</row>
    <row r="910" ht="15.75" customHeight="1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</row>
    <row r="911" ht="15.75" customHeight="1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</row>
    <row r="912" ht="15.75" customHeight="1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</row>
    <row r="913" ht="15.75" customHeight="1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</row>
    <row r="914" ht="15.75" customHeight="1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</row>
    <row r="915" ht="15.75" customHeight="1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</row>
    <row r="916" ht="15.75" customHeight="1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</row>
    <row r="917" ht="15.75" customHeight="1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</row>
    <row r="918" ht="15.75" customHeight="1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</row>
    <row r="919" ht="15.75" customHeight="1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</row>
    <row r="920" ht="15.75" customHeight="1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</row>
    <row r="921" ht="15.75" customHeight="1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</row>
    <row r="922" ht="15.75" customHeight="1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</row>
    <row r="923" ht="15.75" customHeight="1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</row>
    <row r="924" ht="15.75" customHeight="1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</row>
    <row r="925" ht="15.75" customHeight="1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</row>
    <row r="926" ht="15.75" customHeight="1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</row>
    <row r="927" ht="15.75" customHeight="1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</row>
    <row r="928" ht="15.75" customHeight="1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</row>
    <row r="929" ht="15.75" customHeight="1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</row>
    <row r="930" ht="15.75" customHeight="1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</row>
    <row r="931" ht="15.75" customHeight="1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</row>
    <row r="932" ht="15.75" customHeight="1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</row>
    <row r="933" ht="15.75" customHeight="1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</row>
    <row r="934" ht="15.75" customHeight="1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</row>
    <row r="935" ht="15.75" customHeight="1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</row>
    <row r="936" ht="15.75" customHeight="1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</row>
    <row r="937" ht="15.75" customHeight="1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</row>
    <row r="938" ht="15.75" customHeight="1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</row>
    <row r="939" ht="15.75" customHeight="1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</row>
    <row r="940" ht="15.75" customHeight="1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</row>
    <row r="941" ht="15.75" customHeight="1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</row>
    <row r="942" ht="15.75" customHeight="1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</row>
    <row r="943" ht="15.75" customHeight="1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</row>
    <row r="944" ht="15.75" customHeight="1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</row>
    <row r="945" ht="15.75" customHeight="1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</row>
    <row r="946" ht="15.75" customHeight="1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</row>
    <row r="947" ht="15.75" customHeight="1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</row>
    <row r="948" ht="15.75" customHeight="1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</row>
    <row r="949" ht="15.75" customHeight="1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</row>
    <row r="950" ht="15.75" customHeight="1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</row>
    <row r="951" ht="15.75" customHeight="1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</row>
    <row r="952" ht="15.75" customHeight="1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</row>
    <row r="953" ht="15.75" customHeight="1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</row>
    <row r="954" ht="15.75" customHeight="1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</row>
    <row r="955" ht="15.75" customHeight="1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</row>
    <row r="956" ht="15.75" customHeight="1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</row>
    <row r="957" ht="15.75" customHeight="1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</row>
    <row r="958" ht="15.75" customHeight="1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</row>
    <row r="959" ht="15.75" customHeight="1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</row>
    <row r="960" ht="15.75" customHeight="1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</row>
    <row r="961" ht="15.75" customHeight="1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</row>
    <row r="962" ht="15.75" customHeight="1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</row>
    <row r="963" ht="15.75" customHeight="1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</row>
    <row r="964" ht="15.75" customHeight="1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</row>
    <row r="965" ht="15.75" customHeight="1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</row>
    <row r="966" ht="15.75" customHeight="1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</row>
    <row r="967" ht="15.75" customHeight="1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</row>
    <row r="968" ht="15.75" customHeight="1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</row>
    <row r="969" ht="15.75" customHeight="1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</row>
    <row r="970" ht="15.75" customHeight="1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</row>
    <row r="971" ht="15.75" customHeight="1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</row>
    <row r="972" ht="15.75" customHeight="1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</row>
    <row r="973" ht="15.75" customHeight="1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</row>
    <row r="974" ht="15.75" customHeight="1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</row>
    <row r="975" ht="15.75" customHeight="1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</row>
    <row r="976" ht="15.75" customHeight="1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</row>
    <row r="977" ht="15.75" customHeight="1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</row>
    <row r="978" ht="15.75" customHeight="1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</row>
    <row r="979" ht="15.75" customHeight="1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</row>
    <row r="980" ht="15.75" customHeight="1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</row>
    <row r="981" ht="15.75" customHeight="1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</row>
    <row r="982" ht="15.75" customHeight="1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</row>
    <row r="983" ht="15.75" customHeight="1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</row>
    <row r="984" ht="15.75" customHeight="1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</row>
    <row r="985" ht="15.75" customHeight="1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</row>
  </sheetData>
  <mergeCells count="3">
    <mergeCell ref="A1:K1"/>
    <mergeCell ref="A2:A3"/>
    <mergeCell ref="B2:K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2.43"/>
    <col customWidth="1" min="3" max="3" width="12.71"/>
    <col customWidth="1" min="4" max="4" width="21.86"/>
    <col customWidth="1" min="5" max="5" width="13.0"/>
    <col customWidth="1" min="6" max="6" width="19.71"/>
    <col customWidth="1" min="7" max="8" width="15.43"/>
    <col customWidth="1" min="9" max="9" width="16.14"/>
    <col customWidth="1" min="10" max="11" width="17.86"/>
    <col customWidth="1" min="12" max="25" width="8.71"/>
  </cols>
  <sheetData>
    <row r="1">
      <c r="B1" s="22"/>
      <c r="E1" s="23"/>
      <c r="F1" s="23"/>
      <c r="G1" s="24"/>
      <c r="H1" s="24"/>
      <c r="J1" s="24"/>
      <c r="K1" s="24"/>
    </row>
    <row r="2">
      <c r="A2" s="18" t="s">
        <v>13</v>
      </c>
      <c r="B2" s="22"/>
      <c r="C2" s="25"/>
      <c r="D2" s="25"/>
      <c r="E2" s="23"/>
      <c r="F2" s="23"/>
      <c r="G2" s="24"/>
      <c r="H2" s="24"/>
      <c r="I2" s="25"/>
      <c r="J2" s="24"/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5"/>
      <c r="B3" s="22"/>
      <c r="C3" s="25"/>
      <c r="D3" s="25"/>
      <c r="E3" s="23"/>
      <c r="F3" s="23"/>
      <c r="G3" s="24"/>
      <c r="H3" s="24"/>
      <c r="I3" s="25"/>
      <c r="J3" s="24"/>
      <c r="K3" s="24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6" t="s">
        <v>14</v>
      </c>
      <c r="B4" s="27" t="s">
        <v>1</v>
      </c>
      <c r="C4" s="26" t="s">
        <v>15</v>
      </c>
      <c r="D4" s="26" t="s">
        <v>16</v>
      </c>
      <c r="E4" s="26" t="s">
        <v>17</v>
      </c>
      <c r="F4" s="26" t="s">
        <v>18</v>
      </c>
      <c r="G4" s="28" t="s">
        <v>19</v>
      </c>
      <c r="H4" s="28" t="s">
        <v>20</v>
      </c>
      <c r="I4" s="26" t="s">
        <v>21</v>
      </c>
      <c r="J4" s="28" t="s">
        <v>22</v>
      </c>
      <c r="K4" s="29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>
      <c r="A5" s="31">
        <v>1.0</v>
      </c>
      <c r="B5" s="32">
        <v>45173.0</v>
      </c>
      <c r="C5" s="33" t="s">
        <v>23</v>
      </c>
      <c r="D5" s="34" t="s">
        <v>24</v>
      </c>
      <c r="E5" s="35">
        <v>20000.0</v>
      </c>
      <c r="F5" s="31" t="s">
        <v>25</v>
      </c>
      <c r="G5" s="36">
        <v>3.19863238E8</v>
      </c>
      <c r="H5" s="36">
        <v>3.7E7</v>
      </c>
      <c r="I5" s="37">
        <f>100000000+99900000+99500000+65045000</f>
        <v>364445000</v>
      </c>
      <c r="J5" s="36">
        <f t="shared" ref="J5:J31" si="1">I5-(G5+H5)</f>
        <v>7581762</v>
      </c>
      <c r="K5" s="38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>
      <c r="A6" s="31">
        <v>2.0</v>
      </c>
      <c r="B6" s="32">
        <v>45178.0</v>
      </c>
      <c r="C6" s="33" t="s">
        <v>26</v>
      </c>
      <c r="D6" s="34" t="s">
        <v>27</v>
      </c>
      <c r="E6" s="35">
        <v>19840.0</v>
      </c>
      <c r="F6" s="31" t="s">
        <v>28</v>
      </c>
      <c r="G6" s="36">
        <v>3.0790525E8</v>
      </c>
      <c r="H6" s="36">
        <v>3.7E7</v>
      </c>
      <c r="I6" s="36">
        <v>3.50603E8</v>
      </c>
      <c r="J6" s="36">
        <f t="shared" si="1"/>
        <v>5697750</v>
      </c>
      <c r="K6" s="38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>
      <c r="A7" s="31">
        <v>3.0</v>
      </c>
      <c r="B7" s="32">
        <v>45191.0</v>
      </c>
      <c r="C7" s="33" t="s">
        <v>29</v>
      </c>
      <c r="D7" s="34" t="s">
        <v>30</v>
      </c>
      <c r="E7" s="35">
        <v>4937.0</v>
      </c>
      <c r="F7" s="31" t="s">
        <v>28</v>
      </c>
      <c r="G7" s="36">
        <v>7.4309465E7</v>
      </c>
      <c r="H7" s="36"/>
      <c r="I7" s="36">
        <v>6.446925E7</v>
      </c>
      <c r="J7" s="36">
        <f t="shared" si="1"/>
        <v>-9840215</v>
      </c>
      <c r="K7" s="38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>
      <c r="A8" s="31">
        <v>4.0</v>
      </c>
      <c r="B8" s="32">
        <v>45200.0</v>
      </c>
      <c r="C8" s="33" t="s">
        <v>31</v>
      </c>
      <c r="D8" s="34" t="s">
        <v>27</v>
      </c>
      <c r="E8" s="35">
        <v>20000.0</v>
      </c>
      <c r="F8" s="40" t="s">
        <v>25</v>
      </c>
      <c r="G8" s="37">
        <v>3.08705868E8</v>
      </c>
      <c r="H8" s="36">
        <v>3.7E7</v>
      </c>
      <c r="I8" s="36">
        <f>200000000+155748000</f>
        <v>355748000</v>
      </c>
      <c r="J8" s="36">
        <f t="shared" si="1"/>
        <v>10042132</v>
      </c>
      <c r="K8" s="38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>
      <c r="A9" s="31">
        <v>5.0</v>
      </c>
      <c r="B9" s="32">
        <v>45213.0</v>
      </c>
      <c r="C9" s="33" t="s">
        <v>32</v>
      </c>
      <c r="D9" s="41" t="s">
        <v>24</v>
      </c>
      <c r="E9" s="35">
        <v>15000.0</v>
      </c>
      <c r="F9" s="31" t="s">
        <v>33</v>
      </c>
      <c r="G9" s="36">
        <v>2.4430309E8</v>
      </c>
      <c r="H9" s="36">
        <v>3.2E7</v>
      </c>
      <c r="I9" s="36">
        <f>278000000</f>
        <v>278000000</v>
      </c>
      <c r="J9" s="36">
        <f t="shared" si="1"/>
        <v>1696910</v>
      </c>
      <c r="K9" s="38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>
      <c r="A10" s="31">
        <v>6.0</v>
      </c>
      <c r="B10" s="32">
        <v>45213.0</v>
      </c>
      <c r="C10" s="33" t="s">
        <v>34</v>
      </c>
      <c r="D10" s="34" t="s">
        <v>27</v>
      </c>
      <c r="E10" s="35">
        <v>20000.0</v>
      </c>
      <c r="F10" s="31" t="s">
        <v>33</v>
      </c>
      <c r="G10" s="36">
        <v>2.63430258E8</v>
      </c>
      <c r="H10" s="36">
        <v>3.7E7</v>
      </c>
      <c r="I10" s="36">
        <f>200000000+126835000</f>
        <v>326835000</v>
      </c>
      <c r="J10" s="36">
        <f t="shared" si="1"/>
        <v>26404742</v>
      </c>
      <c r="K10" s="38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>
      <c r="A11" s="31">
        <v>7.0</v>
      </c>
      <c r="B11" s="32">
        <v>45219.0</v>
      </c>
      <c r="C11" s="33" t="s">
        <v>35</v>
      </c>
      <c r="D11" s="41" t="s">
        <v>24</v>
      </c>
      <c r="E11" s="35">
        <v>20000.0</v>
      </c>
      <c r="F11" s="31" t="s">
        <v>28</v>
      </c>
      <c r="G11" s="36">
        <v>3.07319566E8</v>
      </c>
      <c r="H11" s="36">
        <v>3.7E7</v>
      </c>
      <c r="I11" s="37">
        <f>320000000+30620000</f>
        <v>350620000</v>
      </c>
      <c r="J11" s="36">
        <f t="shared" si="1"/>
        <v>6300434</v>
      </c>
      <c r="K11" s="38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>
      <c r="A12" s="31">
        <v>8.0</v>
      </c>
      <c r="B12" s="32">
        <v>45219.0</v>
      </c>
      <c r="C12" s="33" t="s">
        <v>36</v>
      </c>
      <c r="D12" s="34" t="s">
        <v>27</v>
      </c>
      <c r="E12" s="35">
        <v>20000.0</v>
      </c>
      <c r="F12" s="31" t="s">
        <v>25</v>
      </c>
      <c r="G12" s="36">
        <v>2.93160224E8</v>
      </c>
      <c r="H12" s="36">
        <v>3.7E7</v>
      </c>
      <c r="I12" s="36">
        <f>363745000</f>
        <v>363745000</v>
      </c>
      <c r="J12" s="36">
        <f t="shared" si="1"/>
        <v>33584776</v>
      </c>
      <c r="K12" s="38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31">
        <v>9.0</v>
      </c>
      <c r="B13" s="32">
        <v>45221.0</v>
      </c>
      <c r="C13" s="33" t="s">
        <v>37</v>
      </c>
      <c r="D13" s="41" t="s">
        <v>38</v>
      </c>
      <c r="E13" s="35">
        <v>12000.0</v>
      </c>
      <c r="F13" s="31" t="s">
        <v>28</v>
      </c>
      <c r="G13" s="36">
        <v>1.6628462E8</v>
      </c>
      <c r="H13" s="36"/>
      <c r="I13" s="36">
        <f>50000000+130915000</f>
        <v>180915000</v>
      </c>
      <c r="J13" s="36">
        <f t="shared" si="1"/>
        <v>14630380</v>
      </c>
      <c r="K13" s="38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>
      <c r="A14" s="31">
        <v>10.0</v>
      </c>
      <c r="B14" s="42">
        <v>45227.0</v>
      </c>
      <c r="C14" s="33" t="s">
        <v>39</v>
      </c>
      <c r="D14" s="41" t="s">
        <v>24</v>
      </c>
      <c r="E14" s="43">
        <v>20000.0</v>
      </c>
      <c r="F14" s="44" t="s">
        <v>25</v>
      </c>
      <c r="G14" s="45">
        <v>3.04834931E8</v>
      </c>
      <c r="H14" s="36">
        <v>3.7E7</v>
      </c>
      <c r="I14" s="46">
        <v>3.74985E8</v>
      </c>
      <c r="J14" s="36">
        <f t="shared" si="1"/>
        <v>33150069</v>
      </c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31">
        <v>11.0</v>
      </c>
      <c r="B15" s="42">
        <v>45232.0</v>
      </c>
      <c r="C15" s="33" t="s">
        <v>40</v>
      </c>
      <c r="D15" s="41" t="s">
        <v>41</v>
      </c>
      <c r="E15" s="43">
        <v>20240.0</v>
      </c>
      <c r="F15" s="44" t="s">
        <v>25</v>
      </c>
      <c r="G15" s="45">
        <v>3.05864914E8</v>
      </c>
      <c r="H15" s="36">
        <v>3.7E7</v>
      </c>
      <c r="I15" s="47">
        <f>358915000</f>
        <v>358915000</v>
      </c>
      <c r="J15" s="36">
        <f t="shared" si="1"/>
        <v>16050086</v>
      </c>
      <c r="K15" s="24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31">
        <v>12.0</v>
      </c>
      <c r="B16" s="42">
        <v>45240.0</v>
      </c>
      <c r="C16" s="33" t="s">
        <v>42</v>
      </c>
      <c r="D16" s="41" t="s">
        <v>24</v>
      </c>
      <c r="E16" s="43">
        <v>20000.0</v>
      </c>
      <c r="F16" s="44" t="s">
        <v>25</v>
      </c>
      <c r="G16" s="45">
        <v>3.03215507E8</v>
      </c>
      <c r="H16" s="36">
        <v>3.7E7</v>
      </c>
      <c r="I16" s="47">
        <f>310000000+66270000</f>
        <v>376270000</v>
      </c>
      <c r="J16" s="36">
        <f t="shared" si="1"/>
        <v>36054493</v>
      </c>
      <c r="K16" s="24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31">
        <v>13.0</v>
      </c>
      <c r="B17" s="42">
        <v>45247.0</v>
      </c>
      <c r="C17" s="33" t="s">
        <v>43</v>
      </c>
      <c r="D17" s="41" t="s">
        <v>24</v>
      </c>
      <c r="E17" s="43">
        <v>20000.0</v>
      </c>
      <c r="F17" s="44" t="s">
        <v>25</v>
      </c>
      <c r="G17" s="45">
        <v>2.87663727E8</v>
      </c>
      <c r="H17" s="36">
        <v>3.7E7</v>
      </c>
      <c r="I17" s="47">
        <v>3.63445E8</v>
      </c>
      <c r="J17" s="36">
        <f t="shared" si="1"/>
        <v>38781273</v>
      </c>
      <c r="K17" s="24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31">
        <v>14.0</v>
      </c>
      <c r="B18" s="42">
        <v>45254.0</v>
      </c>
      <c r="C18" s="33" t="s">
        <v>44</v>
      </c>
      <c r="D18" s="41" t="s">
        <v>41</v>
      </c>
      <c r="E18" s="43">
        <v>20000.0</v>
      </c>
      <c r="F18" s="31" t="s">
        <v>28</v>
      </c>
      <c r="G18" s="36">
        <v>3.14213894E8</v>
      </c>
      <c r="H18" s="36">
        <v>3.7E7</v>
      </c>
      <c r="I18" s="47">
        <v>3.2614E8</v>
      </c>
      <c r="J18" s="36">
        <f t="shared" si="1"/>
        <v>-25073894</v>
      </c>
      <c r="K18" s="24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31">
        <v>15.0</v>
      </c>
      <c r="B19" s="42">
        <v>45265.0</v>
      </c>
      <c r="C19" s="33" t="s">
        <v>45</v>
      </c>
      <c r="D19" s="41" t="str">
        <f>D17</f>
        <v>SYUKRI</v>
      </c>
      <c r="E19" s="43">
        <v>16500.0</v>
      </c>
      <c r="F19" s="44" t="str">
        <f>F17</f>
        <v>Nagata Tuna</v>
      </c>
      <c r="G19" s="45">
        <v>2.25018152E8</v>
      </c>
      <c r="H19" s="36">
        <v>3.7E7</v>
      </c>
      <c r="I19" s="47">
        <v>2.901925E8</v>
      </c>
      <c r="J19" s="36">
        <f t="shared" si="1"/>
        <v>28174348</v>
      </c>
      <c r="K19" s="24"/>
    </row>
    <row r="20">
      <c r="A20" s="31">
        <v>16.0</v>
      </c>
      <c r="B20" s="42">
        <v>45277.0</v>
      </c>
      <c r="C20" s="33" t="s">
        <v>46</v>
      </c>
      <c r="D20" s="41" t="s">
        <v>47</v>
      </c>
      <c r="E20" s="43">
        <v>12000.0</v>
      </c>
      <c r="F20" s="48" t="str">
        <f>F10</f>
        <v>kedua CS</v>
      </c>
      <c r="G20" s="45">
        <v>1.8595937E8</v>
      </c>
      <c r="H20" s="36">
        <v>3.7E7</v>
      </c>
      <c r="I20" s="47">
        <v>2.05995E8</v>
      </c>
      <c r="J20" s="36">
        <f t="shared" si="1"/>
        <v>-16964370</v>
      </c>
      <c r="K20" s="24"/>
    </row>
    <row r="21" ht="15.75" customHeight="1">
      <c r="A21" s="31">
        <v>17.0</v>
      </c>
      <c r="B21" s="42">
        <v>45277.0</v>
      </c>
      <c r="C21" s="33" t="s">
        <v>48</v>
      </c>
      <c r="D21" s="41" t="str">
        <f>D19</f>
        <v>SYUKRI</v>
      </c>
      <c r="E21" s="43">
        <v>8000.0</v>
      </c>
      <c r="F21" s="44" t="str">
        <f>F19</f>
        <v>Nagata Tuna</v>
      </c>
      <c r="G21" s="45">
        <v>1.01406228E8</v>
      </c>
      <c r="H21" s="36"/>
      <c r="I21" s="47">
        <v>1.4263E8</v>
      </c>
      <c r="J21" s="36">
        <f t="shared" si="1"/>
        <v>41223772</v>
      </c>
      <c r="K21" s="24"/>
    </row>
    <row r="22" ht="15.75" customHeight="1">
      <c r="A22" s="31">
        <v>18.0</v>
      </c>
      <c r="B22" s="42">
        <v>45286.0</v>
      </c>
      <c r="C22" s="33" t="s">
        <v>49</v>
      </c>
      <c r="D22" s="41" t="s">
        <v>38</v>
      </c>
      <c r="E22" s="43">
        <v>1526.4</v>
      </c>
      <c r="F22" s="48" t="str">
        <f>F18</f>
        <v>Yakin Psifik</v>
      </c>
      <c r="G22" s="47">
        <v>1.2464401E7</v>
      </c>
      <c r="H22" s="36"/>
      <c r="I22" s="49">
        <v>1.361272E7</v>
      </c>
      <c r="J22" s="36">
        <f t="shared" si="1"/>
        <v>1148319</v>
      </c>
      <c r="K22" s="24"/>
    </row>
    <row r="23" ht="15.75" customHeight="1">
      <c r="A23" s="31">
        <v>19.0</v>
      </c>
      <c r="B23" s="42">
        <v>45303.0</v>
      </c>
      <c r="C23" s="33" t="s">
        <v>50</v>
      </c>
      <c r="D23" s="41" t="s">
        <v>51</v>
      </c>
      <c r="E23" s="43">
        <v>10000.0</v>
      </c>
      <c r="F23" s="48" t="str">
        <f>F22</f>
        <v>Yakin Psifik</v>
      </c>
      <c r="G23" s="47">
        <v>8.5399513E7</v>
      </c>
      <c r="H23" s="36"/>
      <c r="I23" s="49">
        <v>9.15E7</v>
      </c>
      <c r="J23" s="36">
        <f t="shared" si="1"/>
        <v>6100487</v>
      </c>
      <c r="K23" s="24"/>
    </row>
    <row r="24" ht="15.75" customHeight="1">
      <c r="A24" s="31">
        <v>20.0</v>
      </c>
      <c r="B24" s="42">
        <v>45309.0</v>
      </c>
      <c r="C24" s="33" t="s">
        <v>52</v>
      </c>
      <c r="D24" s="41" t="str">
        <f t="shared" ref="D24:D26" si="2">D21</f>
        <v>SYUKRI</v>
      </c>
      <c r="E24" s="43">
        <v>20000.0</v>
      </c>
      <c r="F24" s="44" t="str">
        <f>F21</f>
        <v>Nagata Tuna</v>
      </c>
      <c r="G24" s="47">
        <v>2.71442501E8</v>
      </c>
      <c r="H24" s="36">
        <v>3.7E7</v>
      </c>
      <c r="I24" s="49">
        <v>3.15E8</v>
      </c>
      <c r="J24" s="36">
        <f t="shared" si="1"/>
        <v>6557499</v>
      </c>
      <c r="K24" s="24"/>
    </row>
    <row r="25" ht="15.75" customHeight="1">
      <c r="A25" s="31">
        <v>21.0</v>
      </c>
      <c r="B25" s="42">
        <v>45312.0</v>
      </c>
      <c r="C25" s="33" t="s">
        <v>53</v>
      </c>
      <c r="D25" s="41" t="str">
        <f t="shared" si="2"/>
        <v>DHARMA</v>
      </c>
      <c r="E25" s="43">
        <v>15730.0</v>
      </c>
      <c r="F25" s="48" t="str">
        <f>F23</f>
        <v>Yakin Psifik</v>
      </c>
      <c r="G25" s="47"/>
      <c r="H25" s="36"/>
      <c r="I25" s="49">
        <v>1.06455E8</v>
      </c>
      <c r="J25" s="36">
        <f t="shared" si="1"/>
        <v>106455000</v>
      </c>
      <c r="K25" s="24"/>
    </row>
    <row r="26" ht="15.75" customHeight="1">
      <c r="A26" s="31">
        <v>22.0</v>
      </c>
      <c r="B26" s="42">
        <v>45324.0</v>
      </c>
      <c r="C26" s="33" t="s">
        <v>54</v>
      </c>
      <c r="D26" s="41" t="str">
        <f t="shared" si="2"/>
        <v>KHOMAR</v>
      </c>
      <c r="E26" s="43">
        <v>2000.0</v>
      </c>
      <c r="F26" s="48" t="str">
        <f t="shared" ref="F26:F27" si="3">F25</f>
        <v>Yakin Psifik</v>
      </c>
      <c r="G26" s="47"/>
      <c r="H26" s="36">
        <v>3.7E7</v>
      </c>
      <c r="I26" s="49">
        <v>1.52E7</v>
      </c>
      <c r="J26" s="36">
        <f t="shared" si="1"/>
        <v>-21800000</v>
      </c>
      <c r="K26" s="24"/>
    </row>
    <row r="27" ht="15.75" customHeight="1">
      <c r="A27" s="31">
        <v>23.0</v>
      </c>
      <c r="B27" s="42">
        <v>45325.0</v>
      </c>
      <c r="C27" s="33" t="s">
        <v>55</v>
      </c>
      <c r="D27" s="41" t="str">
        <f>D25</f>
        <v>DHARMA</v>
      </c>
      <c r="E27" s="43">
        <v>7820.0</v>
      </c>
      <c r="F27" s="48" t="str">
        <f t="shared" si="3"/>
        <v>Yakin Psifik</v>
      </c>
      <c r="G27" s="47"/>
      <c r="H27" s="36">
        <v>3.7E7</v>
      </c>
      <c r="I27" s="49">
        <v>1.03224E8</v>
      </c>
      <c r="J27" s="36">
        <f t="shared" si="1"/>
        <v>66224000</v>
      </c>
      <c r="K27" s="24"/>
    </row>
    <row r="28" ht="15.75" customHeight="1">
      <c r="A28" s="31">
        <v>24.0</v>
      </c>
      <c r="B28" s="50">
        <v>45326.0</v>
      </c>
      <c r="C28" s="33" t="s">
        <v>56</v>
      </c>
      <c r="D28" s="51" t="s">
        <v>57</v>
      </c>
      <c r="E28" s="52">
        <v>23.3</v>
      </c>
      <c r="F28" s="53" t="str">
        <f>F24</f>
        <v>Nagata Tuna</v>
      </c>
      <c r="G28" s="54"/>
      <c r="H28" s="36">
        <v>560000.0</v>
      </c>
      <c r="I28" s="55">
        <v>1.11485E7</v>
      </c>
      <c r="J28" s="36">
        <f t="shared" si="1"/>
        <v>10588500</v>
      </c>
      <c r="K28" s="24"/>
    </row>
    <row r="29" ht="15.75" customHeight="1">
      <c r="A29" s="31">
        <v>25.0</v>
      </c>
      <c r="B29" s="42">
        <v>45334.0</v>
      </c>
      <c r="C29" s="33" t="s">
        <v>58</v>
      </c>
      <c r="D29" s="41" t="str">
        <f>D28</f>
        <v>WIRDANI</v>
      </c>
      <c r="E29" s="43">
        <v>28.0</v>
      </c>
      <c r="F29" s="44" t="str">
        <f>F24</f>
        <v>Nagata Tuna</v>
      </c>
      <c r="G29" s="47"/>
      <c r="H29" s="36">
        <v>666000.0</v>
      </c>
      <c r="I29" s="49">
        <v>1.04983E7</v>
      </c>
      <c r="J29" s="36">
        <f t="shared" si="1"/>
        <v>9832300</v>
      </c>
      <c r="K29" s="24"/>
    </row>
    <row r="30" ht="15.75" customHeight="1">
      <c r="A30" s="41"/>
      <c r="B30" s="56">
        <v>45345.0</v>
      </c>
      <c r="C30" s="57" t="s">
        <v>59</v>
      </c>
      <c r="D30" s="58" t="s">
        <v>60</v>
      </c>
      <c r="E30" s="59">
        <v>40.0</v>
      </c>
      <c r="F30" s="60" t="str">
        <f>F29</f>
        <v>Nagata Tuna</v>
      </c>
      <c r="G30" s="47"/>
      <c r="H30" s="61">
        <v>1200000.0</v>
      </c>
      <c r="I30" s="61">
        <v>8500000.0</v>
      </c>
      <c r="J30" s="36">
        <f t="shared" si="1"/>
        <v>7300000</v>
      </c>
      <c r="K30" s="24"/>
    </row>
    <row r="31" ht="15.75" customHeight="1">
      <c r="A31" s="41"/>
      <c r="B31" s="62">
        <v>45346.0</v>
      </c>
      <c r="C31" s="63" t="s">
        <v>61</v>
      </c>
      <c r="D31" s="64" t="s">
        <v>62</v>
      </c>
      <c r="E31" s="65">
        <v>19620.0</v>
      </c>
      <c r="F31" s="66" t="str">
        <f>F24</f>
        <v>Nagata Tuna</v>
      </c>
      <c r="G31" s="47"/>
      <c r="H31" s="61">
        <v>3.6E7</v>
      </c>
      <c r="I31" s="61">
        <v>2.75396E8</v>
      </c>
      <c r="J31" s="36">
        <f t="shared" si="1"/>
        <v>239396000</v>
      </c>
      <c r="K31" s="24"/>
    </row>
    <row r="32" ht="15.75" customHeight="1">
      <c r="A32" s="41"/>
      <c r="B32" s="42"/>
      <c r="C32" s="41"/>
      <c r="D32" s="41"/>
      <c r="E32" s="48"/>
      <c r="F32" s="48"/>
      <c r="G32" s="47"/>
      <c r="H32" s="47"/>
      <c r="I32" s="41"/>
      <c r="J32" s="47"/>
      <c r="K32" s="24"/>
    </row>
    <row r="33" ht="15.75" customHeight="1">
      <c r="A33" s="41"/>
      <c r="B33" s="42"/>
      <c r="C33" s="41"/>
      <c r="D33" s="41"/>
      <c r="E33" s="48"/>
      <c r="F33" s="48"/>
      <c r="G33" s="47"/>
      <c r="H33" s="47"/>
      <c r="I33" s="41"/>
      <c r="J33" s="47"/>
      <c r="K33" s="24"/>
    </row>
    <row r="34" ht="15.75" customHeight="1">
      <c r="A34" s="41"/>
      <c r="B34" s="42"/>
      <c r="C34" s="41"/>
      <c r="D34" s="41"/>
      <c r="E34" s="48"/>
      <c r="F34" s="48"/>
      <c r="G34" s="47"/>
      <c r="H34" s="47"/>
      <c r="I34" s="41"/>
      <c r="J34" s="47"/>
      <c r="K34" s="24"/>
    </row>
    <row r="35" ht="15.75" customHeight="1">
      <c r="A35" s="41"/>
      <c r="B35" s="42"/>
      <c r="C35" s="41"/>
      <c r="D35" s="41"/>
      <c r="E35" s="48"/>
      <c r="F35" s="48"/>
      <c r="G35" s="47"/>
      <c r="H35" s="47"/>
      <c r="I35" s="67"/>
      <c r="J35" s="47"/>
      <c r="K35" s="24"/>
    </row>
    <row r="36" ht="15.75" customHeight="1">
      <c r="A36" s="41"/>
      <c r="B36" s="42"/>
      <c r="C36" s="41"/>
      <c r="D36" s="41"/>
      <c r="E36" s="48"/>
      <c r="F36" s="48"/>
      <c r="G36" s="47"/>
      <c r="H36" s="47"/>
      <c r="I36" s="67">
        <f>SUM(I5:I29)</f>
        <v>5740591270</v>
      </c>
      <c r="J36" s="47"/>
      <c r="K36" s="24"/>
    </row>
    <row r="37" ht="15.75" customHeight="1">
      <c r="B37" s="22"/>
      <c r="E37" s="23"/>
      <c r="F37" s="23"/>
      <c r="G37" s="24"/>
      <c r="H37" s="24"/>
      <c r="J37" s="24"/>
      <c r="K37" s="24"/>
    </row>
    <row r="38" ht="15.75" customHeight="1">
      <c r="B38" s="22"/>
      <c r="E38" s="23"/>
      <c r="F38" s="23"/>
      <c r="G38" s="24"/>
      <c r="H38" s="24"/>
      <c r="J38" s="24"/>
      <c r="K38" s="24"/>
    </row>
    <row r="39" ht="15.75" customHeight="1">
      <c r="B39" s="22"/>
      <c r="E39" s="23"/>
      <c r="F39" s="23"/>
      <c r="G39" s="24"/>
      <c r="H39" s="24"/>
      <c r="J39" s="24"/>
      <c r="K39" s="24"/>
    </row>
    <row r="40" ht="15.75" customHeight="1">
      <c r="B40" s="22"/>
      <c r="E40" s="23"/>
      <c r="F40" s="23"/>
      <c r="G40" s="24"/>
      <c r="H40" s="24"/>
      <c r="J40" s="24"/>
      <c r="K40" s="24"/>
    </row>
    <row r="41" ht="15.75" customHeight="1">
      <c r="B41" s="22"/>
      <c r="E41" s="23"/>
      <c r="F41" s="23"/>
      <c r="G41" s="24"/>
      <c r="H41" s="24"/>
      <c r="J41" s="24"/>
      <c r="K41" s="24"/>
    </row>
    <row r="42" ht="15.75" customHeight="1">
      <c r="B42" s="22"/>
      <c r="E42" s="23"/>
      <c r="F42" s="23"/>
      <c r="G42" s="24"/>
      <c r="H42" s="24"/>
      <c r="J42" s="24"/>
      <c r="K42" s="24"/>
    </row>
    <row r="43" ht="15.75" customHeight="1">
      <c r="B43" s="22"/>
      <c r="E43" s="23"/>
      <c r="F43" s="23"/>
      <c r="G43" s="24"/>
      <c r="H43" s="24"/>
      <c r="J43" s="24"/>
      <c r="K43" s="24"/>
    </row>
    <row r="44" ht="15.75" customHeight="1">
      <c r="B44" s="22"/>
      <c r="E44" s="23"/>
      <c r="F44" s="23"/>
      <c r="G44" s="24"/>
      <c r="H44" s="24"/>
      <c r="J44" s="24"/>
      <c r="K44" s="24"/>
    </row>
    <row r="45" ht="15.75" customHeight="1">
      <c r="B45" s="22"/>
      <c r="E45" s="23"/>
      <c r="F45" s="23"/>
      <c r="G45" s="24"/>
      <c r="H45" s="24"/>
      <c r="J45" s="24"/>
      <c r="K45" s="24"/>
    </row>
    <row r="46" ht="15.75" customHeight="1">
      <c r="B46" s="22"/>
      <c r="E46" s="23"/>
      <c r="F46" s="23"/>
      <c r="G46" s="24"/>
      <c r="H46" s="24"/>
      <c r="J46" s="24"/>
      <c r="K46" s="24"/>
    </row>
    <row r="47" ht="15.75" customHeight="1">
      <c r="B47" s="22"/>
      <c r="E47" s="23"/>
      <c r="F47" s="23"/>
      <c r="G47" s="24"/>
      <c r="H47" s="24"/>
      <c r="J47" s="24"/>
      <c r="K47" s="24"/>
    </row>
    <row r="48" ht="15.75" customHeight="1">
      <c r="B48" s="22"/>
      <c r="E48" s="23"/>
      <c r="F48" s="23"/>
      <c r="G48" s="24"/>
      <c r="H48" s="24"/>
      <c r="J48" s="24"/>
      <c r="K48" s="24"/>
    </row>
    <row r="49" ht="15.75" customHeight="1">
      <c r="B49" s="22"/>
      <c r="E49" s="23"/>
      <c r="F49" s="23"/>
      <c r="G49" s="24"/>
      <c r="H49" s="24"/>
      <c r="J49" s="24"/>
      <c r="K49" s="24"/>
    </row>
    <row r="50" ht="15.75" customHeight="1">
      <c r="B50" s="22"/>
      <c r="E50" s="23"/>
      <c r="F50" s="23"/>
      <c r="G50" s="24"/>
      <c r="H50" s="24"/>
      <c r="J50" s="24"/>
      <c r="K50" s="24"/>
    </row>
    <row r="51" ht="15.75" customHeight="1">
      <c r="B51" s="22"/>
      <c r="E51" s="23"/>
      <c r="F51" s="23"/>
      <c r="G51" s="24"/>
      <c r="H51" s="24"/>
      <c r="J51" s="24"/>
      <c r="K51" s="24"/>
    </row>
    <row r="52" ht="15.75" customHeight="1">
      <c r="A52" s="25"/>
      <c r="B52" s="22"/>
      <c r="C52" s="25"/>
      <c r="D52" s="25"/>
      <c r="E52" s="23"/>
      <c r="F52" s="23"/>
      <c r="G52" s="24"/>
      <c r="H52" s="24"/>
      <c r="I52" s="25"/>
      <c r="J52" s="24"/>
      <c r="K52" s="24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2"/>
      <c r="C53" s="25"/>
      <c r="D53" s="25"/>
      <c r="E53" s="23"/>
      <c r="F53" s="23"/>
      <c r="G53" s="24"/>
      <c r="H53" s="24"/>
      <c r="I53" s="25"/>
      <c r="J53" s="24"/>
      <c r="K53" s="24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2"/>
      <c r="C54" s="25"/>
      <c r="D54" s="25"/>
      <c r="E54" s="23"/>
      <c r="F54" s="23"/>
      <c r="G54" s="24"/>
      <c r="H54" s="24"/>
      <c r="I54" s="25"/>
      <c r="J54" s="24"/>
      <c r="K54" s="24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2"/>
      <c r="C55" s="25"/>
      <c r="D55" s="25"/>
      <c r="E55" s="23"/>
      <c r="F55" s="23"/>
      <c r="G55" s="24"/>
      <c r="H55" s="24"/>
      <c r="I55" s="25"/>
      <c r="J55" s="24"/>
      <c r="K55" s="24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2"/>
      <c r="C56" s="25"/>
      <c r="D56" s="25"/>
      <c r="E56" s="23"/>
      <c r="F56" s="23"/>
      <c r="G56" s="24"/>
      <c r="H56" s="24"/>
      <c r="I56" s="25"/>
      <c r="J56" s="24"/>
      <c r="K56" s="24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2"/>
      <c r="C57" s="25"/>
      <c r="D57" s="25"/>
      <c r="E57" s="23"/>
      <c r="F57" s="23"/>
      <c r="G57" s="24"/>
      <c r="H57" s="24"/>
      <c r="I57" s="25"/>
      <c r="J57" s="24"/>
      <c r="K57" s="24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2"/>
      <c r="C58" s="25"/>
      <c r="D58" s="25"/>
      <c r="E58" s="23"/>
      <c r="F58" s="23"/>
      <c r="G58" s="24"/>
      <c r="H58" s="24"/>
      <c r="I58" s="25"/>
      <c r="J58" s="24"/>
      <c r="K58" s="24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2"/>
      <c r="C59" s="25"/>
      <c r="D59" s="25"/>
      <c r="E59" s="23"/>
      <c r="F59" s="23"/>
      <c r="G59" s="24"/>
      <c r="H59" s="24"/>
      <c r="I59" s="25"/>
      <c r="J59" s="24"/>
      <c r="K59" s="24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2"/>
      <c r="C60" s="25"/>
      <c r="D60" s="25"/>
      <c r="E60" s="23"/>
      <c r="F60" s="23"/>
      <c r="G60" s="24"/>
      <c r="H60" s="24"/>
      <c r="I60" s="25"/>
      <c r="J60" s="24"/>
      <c r="K60" s="24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2"/>
      <c r="C61" s="25"/>
      <c r="D61" s="25"/>
      <c r="E61" s="23"/>
      <c r="F61" s="23"/>
      <c r="G61" s="24"/>
      <c r="H61" s="24"/>
      <c r="I61" s="25"/>
      <c r="J61" s="24"/>
      <c r="K61" s="24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2"/>
      <c r="C62" s="25"/>
      <c r="D62" s="25"/>
      <c r="E62" s="23"/>
      <c r="F62" s="23"/>
      <c r="G62" s="24"/>
      <c r="H62" s="24"/>
      <c r="I62" s="25"/>
      <c r="J62" s="24"/>
      <c r="K62" s="24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2"/>
      <c r="C63" s="25"/>
      <c r="D63" s="25"/>
      <c r="E63" s="23"/>
      <c r="F63" s="23"/>
      <c r="G63" s="24"/>
      <c r="H63" s="24"/>
      <c r="I63" s="25"/>
      <c r="J63" s="24"/>
      <c r="K63" s="24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2"/>
      <c r="C64" s="25"/>
      <c r="D64" s="25"/>
      <c r="E64" s="23"/>
      <c r="F64" s="23"/>
      <c r="G64" s="24"/>
      <c r="H64" s="24"/>
      <c r="I64" s="25"/>
      <c r="J64" s="24"/>
      <c r="K64" s="24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2"/>
      <c r="C65" s="25"/>
      <c r="D65" s="25"/>
      <c r="E65" s="23"/>
      <c r="F65" s="23"/>
      <c r="G65" s="24"/>
      <c r="H65" s="24"/>
      <c r="I65" s="25"/>
      <c r="J65" s="24"/>
      <c r="K65" s="24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2"/>
      <c r="C66" s="25"/>
      <c r="D66" s="25"/>
      <c r="E66" s="23"/>
      <c r="F66" s="23"/>
      <c r="G66" s="24"/>
      <c r="H66" s="24"/>
      <c r="I66" s="25"/>
      <c r="J66" s="24"/>
      <c r="K66" s="2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2"/>
      <c r="C67" s="25"/>
      <c r="D67" s="25"/>
      <c r="E67" s="23"/>
      <c r="F67" s="23"/>
      <c r="G67" s="24"/>
      <c r="H67" s="24"/>
      <c r="I67" s="25"/>
      <c r="J67" s="24"/>
      <c r="K67" s="24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2"/>
      <c r="C68" s="25"/>
      <c r="D68" s="25"/>
      <c r="E68" s="23"/>
      <c r="F68" s="23"/>
      <c r="G68" s="24"/>
      <c r="H68" s="24"/>
      <c r="I68" s="25"/>
      <c r="J68" s="24"/>
      <c r="K68" s="24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2"/>
      <c r="C69" s="25"/>
      <c r="D69" s="25"/>
      <c r="E69" s="23"/>
      <c r="F69" s="23"/>
      <c r="G69" s="24"/>
      <c r="H69" s="24"/>
      <c r="I69" s="25"/>
      <c r="J69" s="24"/>
      <c r="K69" s="24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2"/>
      <c r="C70" s="25"/>
      <c r="D70" s="25"/>
      <c r="E70" s="23"/>
      <c r="F70" s="23"/>
      <c r="G70" s="24"/>
      <c r="H70" s="24"/>
      <c r="I70" s="25"/>
      <c r="J70" s="24"/>
      <c r="K70" s="24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2"/>
      <c r="C71" s="25"/>
      <c r="D71" s="25"/>
      <c r="E71" s="23"/>
      <c r="F71" s="23"/>
      <c r="G71" s="24"/>
      <c r="H71" s="24"/>
      <c r="I71" s="25"/>
      <c r="J71" s="24"/>
      <c r="K71" s="24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2"/>
      <c r="C72" s="25"/>
      <c r="D72" s="25"/>
      <c r="E72" s="23"/>
      <c r="F72" s="23"/>
      <c r="G72" s="24"/>
      <c r="H72" s="24"/>
      <c r="I72" s="25"/>
      <c r="J72" s="24"/>
      <c r="K72" s="24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2"/>
      <c r="C73" s="25"/>
      <c r="D73" s="25"/>
      <c r="E73" s="23"/>
      <c r="F73" s="23"/>
      <c r="G73" s="24"/>
      <c r="H73" s="24"/>
      <c r="I73" s="25"/>
      <c r="J73" s="24"/>
      <c r="K73" s="24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2"/>
      <c r="C74" s="25"/>
      <c r="D74" s="25"/>
      <c r="E74" s="23"/>
      <c r="F74" s="23"/>
      <c r="G74" s="24"/>
      <c r="H74" s="24"/>
      <c r="I74" s="25"/>
      <c r="J74" s="24"/>
      <c r="K74" s="24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B75" s="22"/>
      <c r="E75" s="23"/>
      <c r="F75" s="23"/>
      <c r="G75" s="24"/>
      <c r="H75" s="24"/>
      <c r="J75" s="24"/>
      <c r="K75" s="24"/>
    </row>
    <row r="76" ht="15.75" customHeight="1">
      <c r="B76" s="22"/>
      <c r="E76" s="23"/>
      <c r="F76" s="23"/>
      <c r="G76" s="24"/>
      <c r="H76" s="24"/>
      <c r="J76" s="24"/>
      <c r="K76" s="24"/>
    </row>
    <row r="77" ht="15.75" customHeight="1">
      <c r="A77" s="25"/>
      <c r="B77" s="22"/>
      <c r="C77" s="25"/>
      <c r="D77" s="25"/>
      <c r="E77" s="23"/>
      <c r="F77" s="23"/>
      <c r="G77" s="24"/>
      <c r="H77" s="24"/>
      <c r="I77" s="25"/>
      <c r="J77" s="24"/>
      <c r="K77" s="24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2"/>
      <c r="C78" s="25"/>
      <c r="D78" s="25"/>
      <c r="E78" s="23"/>
      <c r="F78" s="23"/>
      <c r="G78" s="24"/>
      <c r="H78" s="24"/>
      <c r="I78" s="25"/>
      <c r="J78" s="24"/>
      <c r="K78" s="24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2"/>
      <c r="C79" s="25"/>
      <c r="D79" s="25"/>
      <c r="E79" s="23"/>
      <c r="F79" s="23"/>
      <c r="G79" s="24"/>
      <c r="H79" s="24"/>
      <c r="I79" s="25"/>
      <c r="J79" s="24"/>
      <c r="K79" s="24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2"/>
      <c r="C80" s="25"/>
      <c r="D80" s="25"/>
      <c r="E80" s="23"/>
      <c r="F80" s="23"/>
      <c r="G80" s="24"/>
      <c r="H80" s="24"/>
      <c r="I80" s="25"/>
      <c r="J80" s="24"/>
      <c r="K80" s="24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2"/>
      <c r="C81" s="25"/>
      <c r="D81" s="25"/>
      <c r="E81" s="23"/>
      <c r="F81" s="23"/>
      <c r="G81" s="24"/>
      <c r="H81" s="24"/>
      <c r="I81" s="25"/>
      <c r="J81" s="24"/>
      <c r="K81" s="24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2"/>
      <c r="C82" s="25"/>
      <c r="D82" s="25"/>
      <c r="E82" s="23"/>
      <c r="F82" s="23"/>
      <c r="G82" s="24"/>
      <c r="H82" s="24"/>
      <c r="I82" s="25"/>
      <c r="J82" s="24"/>
      <c r="K82" s="24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2"/>
      <c r="C83" s="25"/>
      <c r="D83" s="25"/>
      <c r="E83" s="23"/>
      <c r="F83" s="23"/>
      <c r="G83" s="24"/>
      <c r="H83" s="24"/>
      <c r="I83" s="25"/>
      <c r="J83" s="24"/>
      <c r="K83" s="24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2"/>
      <c r="C84" s="25"/>
      <c r="D84" s="25"/>
      <c r="E84" s="23"/>
      <c r="F84" s="23"/>
      <c r="G84" s="24"/>
      <c r="H84" s="24"/>
      <c r="I84" s="25"/>
      <c r="J84" s="24"/>
      <c r="K84" s="24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2"/>
      <c r="C85" s="25"/>
      <c r="D85" s="25"/>
      <c r="E85" s="23"/>
      <c r="F85" s="23"/>
      <c r="G85" s="24"/>
      <c r="H85" s="24"/>
      <c r="I85" s="25"/>
      <c r="J85" s="24"/>
      <c r="K85" s="24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2"/>
      <c r="C86" s="25"/>
      <c r="D86" s="25"/>
      <c r="E86" s="23"/>
      <c r="F86" s="23"/>
      <c r="G86" s="24"/>
      <c r="H86" s="24"/>
      <c r="I86" s="25"/>
      <c r="J86" s="24"/>
      <c r="K86" s="24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2"/>
      <c r="C87" s="25"/>
      <c r="D87" s="25"/>
      <c r="E87" s="23"/>
      <c r="F87" s="23"/>
      <c r="G87" s="24"/>
      <c r="H87" s="24"/>
      <c r="I87" s="25"/>
      <c r="J87" s="24"/>
      <c r="K87" s="24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2"/>
      <c r="C88" s="25"/>
      <c r="D88" s="25"/>
      <c r="E88" s="23"/>
      <c r="F88" s="23"/>
      <c r="G88" s="24"/>
      <c r="H88" s="24"/>
      <c r="I88" s="25"/>
      <c r="J88" s="24"/>
      <c r="K88" s="24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2"/>
      <c r="C89" s="25"/>
      <c r="D89" s="25"/>
      <c r="E89" s="23"/>
      <c r="F89" s="23"/>
      <c r="G89" s="24"/>
      <c r="H89" s="24"/>
      <c r="I89" s="25"/>
      <c r="J89" s="24"/>
      <c r="K89" s="24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2"/>
      <c r="C90" s="25"/>
      <c r="D90" s="25"/>
      <c r="E90" s="23"/>
      <c r="F90" s="23"/>
      <c r="G90" s="24"/>
      <c r="H90" s="24"/>
      <c r="I90" s="25"/>
      <c r="J90" s="24"/>
      <c r="K90" s="24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2"/>
      <c r="C91" s="25"/>
      <c r="D91" s="25"/>
      <c r="E91" s="23"/>
      <c r="F91" s="23"/>
      <c r="G91" s="24"/>
      <c r="H91" s="24"/>
      <c r="I91" s="25"/>
      <c r="J91" s="24"/>
      <c r="K91" s="24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2"/>
      <c r="C92" s="25"/>
      <c r="D92" s="25"/>
      <c r="E92" s="23"/>
      <c r="F92" s="23"/>
      <c r="G92" s="24"/>
      <c r="H92" s="24"/>
      <c r="I92" s="25"/>
      <c r="J92" s="24"/>
      <c r="K92" s="24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2"/>
      <c r="C93" s="25"/>
      <c r="D93" s="25"/>
      <c r="E93" s="23"/>
      <c r="F93" s="23"/>
      <c r="G93" s="24"/>
      <c r="H93" s="24"/>
      <c r="I93" s="25"/>
      <c r="J93" s="24"/>
      <c r="K93" s="24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B94" s="22"/>
      <c r="E94" s="23"/>
      <c r="F94" s="23"/>
      <c r="G94" s="24"/>
      <c r="H94" s="24"/>
      <c r="J94" s="24"/>
      <c r="K94" s="24"/>
    </row>
    <row r="95" ht="15.75" customHeight="1">
      <c r="B95" s="22"/>
      <c r="E95" s="23"/>
      <c r="F95" s="23"/>
      <c r="G95" s="24"/>
      <c r="H95" s="24"/>
      <c r="J95" s="24"/>
      <c r="K95" s="24"/>
    </row>
    <row r="96" ht="15.75" customHeight="1">
      <c r="B96" s="22"/>
      <c r="E96" s="23"/>
      <c r="F96" s="23"/>
      <c r="G96" s="24"/>
      <c r="H96" s="24"/>
      <c r="J96" s="24"/>
      <c r="K96" s="24"/>
    </row>
    <row r="97" ht="15.75" customHeight="1">
      <c r="B97" s="22"/>
      <c r="E97" s="23"/>
      <c r="F97" s="23"/>
      <c r="G97" s="24"/>
      <c r="H97" s="24"/>
      <c r="J97" s="24"/>
      <c r="K97" s="24"/>
    </row>
    <row r="98" ht="15.75" customHeight="1">
      <c r="B98" s="22"/>
      <c r="E98" s="23"/>
      <c r="F98" s="23"/>
      <c r="G98" s="24"/>
      <c r="H98" s="24"/>
      <c r="J98" s="24"/>
      <c r="K98" s="24"/>
    </row>
    <row r="99" ht="15.75" customHeight="1">
      <c r="B99" s="22"/>
      <c r="E99" s="23"/>
      <c r="F99" s="23"/>
      <c r="G99" s="24"/>
      <c r="H99" s="24"/>
      <c r="J99" s="24"/>
      <c r="K99" s="24"/>
    </row>
    <row r="100" ht="15.75" customHeight="1">
      <c r="B100" s="22"/>
      <c r="E100" s="23"/>
      <c r="F100" s="23"/>
      <c r="G100" s="24"/>
      <c r="H100" s="24"/>
      <c r="J100" s="24"/>
      <c r="K100" s="24"/>
    </row>
    <row r="101" ht="15.75" customHeight="1">
      <c r="B101" s="22"/>
      <c r="E101" s="23"/>
      <c r="F101" s="23"/>
      <c r="G101" s="24"/>
      <c r="H101" s="24"/>
      <c r="J101" s="24"/>
      <c r="K101" s="24"/>
    </row>
    <row r="102" ht="15.75" customHeight="1">
      <c r="B102" s="22"/>
      <c r="E102" s="23"/>
      <c r="F102" s="23"/>
      <c r="G102" s="24"/>
      <c r="H102" s="24"/>
      <c r="J102" s="24"/>
      <c r="K102" s="24"/>
    </row>
    <row r="103" ht="15.75" customHeight="1">
      <c r="B103" s="22"/>
      <c r="E103" s="23"/>
      <c r="F103" s="23"/>
      <c r="G103" s="24"/>
      <c r="H103" s="24"/>
      <c r="J103" s="24"/>
      <c r="K103" s="24"/>
    </row>
    <row r="104" ht="15.75" customHeight="1">
      <c r="B104" s="22"/>
      <c r="E104" s="23"/>
      <c r="F104" s="23"/>
      <c r="G104" s="24"/>
      <c r="H104" s="24"/>
      <c r="J104" s="24"/>
      <c r="K104" s="24"/>
    </row>
    <row r="105" ht="15.75" customHeight="1">
      <c r="B105" s="22"/>
      <c r="E105" s="23"/>
      <c r="F105" s="23"/>
      <c r="G105" s="24"/>
      <c r="H105" s="24"/>
      <c r="J105" s="24"/>
      <c r="K105" s="24"/>
    </row>
    <row r="106" ht="15.75" customHeight="1">
      <c r="B106" s="22"/>
      <c r="E106" s="23"/>
      <c r="F106" s="23"/>
      <c r="G106" s="24"/>
      <c r="H106" s="24"/>
      <c r="J106" s="24"/>
      <c r="K106" s="24"/>
    </row>
    <row r="107" ht="15.75" customHeight="1">
      <c r="B107" s="22"/>
      <c r="E107" s="23"/>
      <c r="F107" s="23"/>
      <c r="G107" s="24"/>
      <c r="H107" s="24"/>
      <c r="J107" s="24"/>
      <c r="K107" s="24"/>
    </row>
    <row r="108" ht="15.75" customHeight="1">
      <c r="B108" s="22"/>
      <c r="E108" s="23"/>
      <c r="F108" s="23"/>
      <c r="G108" s="24"/>
      <c r="H108" s="24"/>
      <c r="J108" s="24"/>
      <c r="K108" s="24"/>
    </row>
    <row r="109" ht="15.75" customHeight="1">
      <c r="B109" s="22"/>
      <c r="E109" s="23"/>
      <c r="F109" s="23"/>
      <c r="G109" s="24"/>
      <c r="H109" s="24"/>
      <c r="J109" s="24"/>
      <c r="K109" s="24"/>
    </row>
    <row r="110" ht="15.75" customHeight="1">
      <c r="B110" s="22"/>
      <c r="E110" s="23"/>
      <c r="F110" s="23"/>
      <c r="G110" s="24"/>
      <c r="H110" s="24"/>
      <c r="J110" s="24"/>
      <c r="K110" s="24"/>
    </row>
    <row r="111" ht="15.75" customHeight="1">
      <c r="B111" s="22"/>
      <c r="E111" s="23"/>
      <c r="F111" s="23"/>
      <c r="G111" s="24"/>
      <c r="H111" s="24"/>
      <c r="J111" s="24"/>
      <c r="K111" s="24"/>
    </row>
    <row r="112" ht="15.75" customHeight="1">
      <c r="B112" s="22"/>
      <c r="E112" s="23"/>
      <c r="F112" s="23"/>
      <c r="G112" s="24"/>
      <c r="H112" s="24"/>
      <c r="J112" s="24"/>
      <c r="K112" s="24"/>
    </row>
    <row r="113" ht="15.75" customHeight="1">
      <c r="B113" s="22"/>
      <c r="E113" s="23"/>
      <c r="F113" s="23"/>
      <c r="G113" s="24"/>
      <c r="H113" s="24"/>
      <c r="J113" s="24"/>
      <c r="K113" s="24"/>
    </row>
    <row r="114" ht="15.75" customHeight="1">
      <c r="B114" s="22"/>
      <c r="E114" s="23"/>
      <c r="F114" s="23"/>
      <c r="G114" s="24"/>
      <c r="H114" s="24"/>
      <c r="J114" s="24"/>
      <c r="K114" s="24"/>
    </row>
    <row r="115" ht="15.75" customHeight="1">
      <c r="B115" s="22"/>
      <c r="E115" s="23"/>
      <c r="F115" s="23"/>
      <c r="G115" s="24"/>
      <c r="H115" s="24"/>
      <c r="J115" s="24"/>
      <c r="K115" s="24"/>
    </row>
    <row r="116" ht="15.75" customHeight="1">
      <c r="B116" s="22"/>
      <c r="E116" s="23"/>
      <c r="F116" s="23"/>
      <c r="G116" s="24"/>
      <c r="H116" s="24"/>
      <c r="J116" s="24"/>
      <c r="K116" s="24"/>
    </row>
    <row r="117" ht="15.75" customHeight="1">
      <c r="B117" s="22"/>
      <c r="E117" s="23"/>
      <c r="F117" s="23"/>
      <c r="G117" s="24"/>
      <c r="H117" s="24"/>
      <c r="J117" s="24"/>
      <c r="K117" s="24"/>
    </row>
    <row r="118" ht="15.75" customHeight="1">
      <c r="B118" s="22"/>
      <c r="E118" s="23"/>
      <c r="F118" s="23"/>
      <c r="G118" s="24"/>
      <c r="H118" s="24"/>
      <c r="J118" s="24"/>
      <c r="K118" s="24"/>
    </row>
    <row r="119" ht="15.75" customHeight="1">
      <c r="B119" s="22"/>
      <c r="E119" s="23"/>
      <c r="F119" s="23"/>
      <c r="G119" s="24"/>
      <c r="H119" s="24"/>
      <c r="J119" s="24"/>
      <c r="K119" s="24"/>
    </row>
    <row r="120" ht="15.75" customHeight="1">
      <c r="B120" s="22"/>
      <c r="E120" s="23"/>
      <c r="F120" s="23"/>
      <c r="G120" s="24"/>
      <c r="H120" s="24"/>
      <c r="J120" s="24"/>
      <c r="K120" s="24"/>
    </row>
    <row r="121" ht="15.75" customHeight="1">
      <c r="B121" s="22"/>
      <c r="E121" s="23"/>
      <c r="F121" s="23"/>
      <c r="G121" s="24"/>
      <c r="H121" s="24"/>
      <c r="J121" s="24"/>
      <c r="K121" s="24"/>
    </row>
    <row r="122" ht="15.75" customHeight="1">
      <c r="B122" s="22"/>
      <c r="E122" s="23"/>
      <c r="F122" s="23"/>
      <c r="G122" s="24"/>
      <c r="H122" s="24"/>
      <c r="J122" s="24"/>
      <c r="K122" s="24"/>
    </row>
    <row r="123" ht="15.75" customHeight="1">
      <c r="B123" s="22"/>
      <c r="E123" s="23"/>
      <c r="F123" s="23"/>
      <c r="G123" s="24"/>
      <c r="H123" s="24"/>
      <c r="J123" s="24"/>
      <c r="K123" s="24"/>
    </row>
    <row r="124" ht="15.75" customHeight="1">
      <c r="B124" s="22"/>
      <c r="E124" s="23"/>
      <c r="F124" s="23"/>
      <c r="G124" s="24"/>
      <c r="H124" s="24"/>
      <c r="J124" s="24"/>
      <c r="K124" s="24"/>
    </row>
    <row r="125" ht="15.75" customHeight="1">
      <c r="B125" s="22"/>
      <c r="E125" s="23"/>
      <c r="F125" s="23"/>
      <c r="G125" s="24"/>
      <c r="H125" s="24"/>
      <c r="J125" s="24"/>
      <c r="K125" s="24"/>
    </row>
    <row r="126" ht="15.75" customHeight="1">
      <c r="B126" s="22"/>
      <c r="E126" s="23"/>
      <c r="F126" s="23"/>
      <c r="G126" s="24"/>
      <c r="H126" s="24"/>
      <c r="J126" s="24"/>
      <c r="K126" s="24"/>
    </row>
    <row r="127" ht="15.75" customHeight="1">
      <c r="B127" s="22"/>
      <c r="E127" s="23"/>
      <c r="F127" s="23"/>
      <c r="G127" s="24"/>
      <c r="H127" s="24"/>
      <c r="J127" s="24"/>
      <c r="K127" s="24"/>
    </row>
    <row r="128" ht="15.75" customHeight="1">
      <c r="B128" s="22"/>
      <c r="E128" s="23"/>
      <c r="F128" s="23"/>
      <c r="G128" s="24"/>
      <c r="H128" s="24"/>
      <c r="J128" s="24"/>
      <c r="K128" s="24"/>
    </row>
    <row r="129" ht="15.75" customHeight="1">
      <c r="B129" s="22"/>
      <c r="E129" s="23"/>
      <c r="F129" s="23"/>
      <c r="G129" s="24"/>
      <c r="H129" s="24"/>
      <c r="J129" s="24"/>
      <c r="K129" s="24"/>
    </row>
    <row r="130" ht="15.75" customHeight="1">
      <c r="B130" s="22"/>
      <c r="E130" s="23"/>
      <c r="F130" s="23"/>
      <c r="G130" s="24"/>
      <c r="H130" s="24"/>
      <c r="J130" s="24"/>
      <c r="K130" s="24"/>
    </row>
    <row r="131" ht="15.75" customHeight="1">
      <c r="B131" s="22"/>
      <c r="E131" s="23"/>
      <c r="F131" s="23"/>
      <c r="G131" s="24"/>
      <c r="H131" s="24"/>
      <c r="J131" s="24"/>
      <c r="K131" s="24"/>
    </row>
    <row r="132" ht="15.75" customHeight="1">
      <c r="B132" s="22"/>
      <c r="E132" s="23"/>
      <c r="F132" s="23"/>
      <c r="G132" s="24"/>
      <c r="H132" s="24"/>
      <c r="J132" s="24"/>
      <c r="K132" s="24"/>
    </row>
    <row r="133" ht="15.75" customHeight="1">
      <c r="B133" s="22"/>
      <c r="E133" s="23"/>
      <c r="F133" s="23"/>
      <c r="G133" s="24"/>
      <c r="H133" s="24"/>
      <c r="J133" s="24"/>
      <c r="K133" s="24"/>
    </row>
    <row r="134" ht="15.75" customHeight="1">
      <c r="B134" s="22"/>
      <c r="E134" s="23"/>
      <c r="F134" s="23"/>
      <c r="G134" s="24"/>
      <c r="H134" s="24"/>
      <c r="J134" s="24"/>
      <c r="K134" s="24"/>
    </row>
    <row r="135" ht="15.75" customHeight="1">
      <c r="B135" s="22"/>
      <c r="E135" s="23"/>
      <c r="F135" s="23"/>
      <c r="G135" s="24"/>
      <c r="H135" s="24"/>
      <c r="J135" s="24"/>
      <c r="K135" s="24"/>
    </row>
    <row r="136" ht="15.75" customHeight="1">
      <c r="B136" s="22"/>
      <c r="E136" s="23"/>
      <c r="F136" s="23"/>
      <c r="G136" s="24"/>
      <c r="H136" s="24"/>
      <c r="J136" s="24"/>
      <c r="K136" s="24"/>
    </row>
    <row r="137" ht="15.75" customHeight="1">
      <c r="B137" s="22"/>
      <c r="E137" s="23"/>
      <c r="F137" s="23"/>
      <c r="G137" s="24"/>
      <c r="H137" s="24"/>
      <c r="J137" s="24"/>
      <c r="K137" s="24"/>
    </row>
    <row r="138" ht="15.75" customHeight="1">
      <c r="B138" s="22"/>
      <c r="E138" s="23"/>
      <c r="F138" s="23"/>
      <c r="G138" s="24"/>
      <c r="H138" s="24"/>
      <c r="J138" s="24"/>
      <c r="K138" s="24"/>
    </row>
    <row r="139" ht="15.75" customHeight="1">
      <c r="B139" s="22"/>
      <c r="E139" s="23"/>
      <c r="F139" s="23"/>
      <c r="G139" s="24"/>
      <c r="H139" s="24"/>
      <c r="J139" s="24"/>
      <c r="K139" s="24"/>
    </row>
    <row r="140" ht="15.75" customHeight="1">
      <c r="B140" s="22"/>
      <c r="E140" s="23"/>
      <c r="F140" s="23"/>
      <c r="G140" s="24"/>
      <c r="H140" s="24"/>
      <c r="J140" s="24"/>
      <c r="K140" s="24"/>
    </row>
    <row r="141" ht="15.75" customHeight="1">
      <c r="B141" s="22"/>
      <c r="E141" s="23"/>
      <c r="F141" s="23"/>
      <c r="G141" s="24"/>
      <c r="H141" s="24"/>
      <c r="J141" s="24"/>
      <c r="K141" s="24"/>
    </row>
    <row r="142" ht="15.75" customHeight="1">
      <c r="B142" s="22"/>
      <c r="E142" s="23"/>
      <c r="F142" s="23"/>
      <c r="G142" s="24"/>
      <c r="H142" s="24"/>
      <c r="J142" s="24"/>
      <c r="K142" s="24"/>
    </row>
    <row r="143" ht="15.75" customHeight="1">
      <c r="B143" s="22"/>
      <c r="E143" s="23"/>
      <c r="F143" s="23"/>
      <c r="G143" s="24"/>
      <c r="H143" s="24"/>
      <c r="J143" s="24"/>
      <c r="K143" s="24"/>
    </row>
    <row r="144" ht="15.75" customHeight="1">
      <c r="B144" s="22"/>
      <c r="E144" s="23"/>
      <c r="F144" s="23"/>
      <c r="G144" s="24"/>
      <c r="H144" s="24"/>
      <c r="J144" s="24"/>
      <c r="K144" s="24"/>
    </row>
    <row r="145" ht="15.75" customHeight="1">
      <c r="B145" s="22"/>
      <c r="E145" s="23"/>
      <c r="F145" s="23"/>
      <c r="G145" s="24"/>
      <c r="H145" s="24"/>
      <c r="J145" s="24"/>
      <c r="K145" s="24"/>
    </row>
    <row r="146" ht="15.75" customHeight="1">
      <c r="B146" s="22"/>
      <c r="E146" s="23"/>
      <c r="F146" s="23"/>
      <c r="G146" s="24"/>
      <c r="H146" s="24"/>
      <c r="J146" s="24"/>
      <c r="K146" s="24"/>
    </row>
    <row r="147" ht="15.75" customHeight="1">
      <c r="B147" s="22"/>
      <c r="E147" s="23"/>
      <c r="F147" s="23"/>
      <c r="G147" s="24"/>
      <c r="H147" s="24"/>
      <c r="J147" s="24"/>
      <c r="K147" s="24"/>
    </row>
    <row r="148" ht="15.75" customHeight="1">
      <c r="B148" s="22"/>
      <c r="E148" s="23"/>
      <c r="F148" s="23"/>
      <c r="G148" s="24"/>
      <c r="H148" s="24"/>
      <c r="J148" s="24"/>
      <c r="K148" s="24"/>
    </row>
    <row r="149" ht="15.75" customHeight="1">
      <c r="B149" s="22"/>
      <c r="E149" s="23"/>
      <c r="F149" s="23"/>
      <c r="G149" s="24"/>
      <c r="H149" s="24"/>
      <c r="J149" s="24"/>
      <c r="K149" s="24"/>
    </row>
    <row r="150" ht="15.75" customHeight="1">
      <c r="B150" s="22"/>
      <c r="E150" s="23"/>
      <c r="F150" s="23"/>
      <c r="G150" s="24"/>
      <c r="H150" s="24"/>
      <c r="J150" s="24"/>
      <c r="K150" s="24"/>
    </row>
    <row r="151" ht="15.75" customHeight="1">
      <c r="B151" s="22"/>
      <c r="E151" s="23"/>
      <c r="F151" s="23"/>
      <c r="G151" s="24"/>
      <c r="H151" s="24"/>
      <c r="J151" s="24"/>
      <c r="K151" s="24"/>
    </row>
    <row r="152" ht="15.75" customHeight="1">
      <c r="B152" s="22"/>
      <c r="E152" s="23"/>
      <c r="F152" s="23"/>
      <c r="G152" s="24"/>
      <c r="H152" s="24"/>
      <c r="J152" s="24"/>
      <c r="K152" s="24"/>
    </row>
    <row r="153" ht="15.75" customHeight="1">
      <c r="B153" s="22"/>
      <c r="E153" s="23"/>
      <c r="F153" s="23"/>
      <c r="G153" s="24"/>
      <c r="H153" s="24"/>
      <c r="J153" s="24"/>
      <c r="K153" s="24"/>
    </row>
    <row r="154" ht="15.75" customHeight="1">
      <c r="B154" s="22"/>
      <c r="E154" s="23"/>
      <c r="F154" s="23"/>
      <c r="G154" s="24"/>
      <c r="H154" s="24"/>
      <c r="J154" s="24"/>
      <c r="K154" s="24"/>
    </row>
    <row r="155" ht="15.75" customHeight="1">
      <c r="B155" s="22"/>
      <c r="E155" s="23"/>
      <c r="F155" s="23"/>
      <c r="G155" s="24"/>
      <c r="H155" s="24"/>
      <c r="J155" s="24"/>
      <c r="K155" s="24"/>
    </row>
    <row r="156" ht="15.75" customHeight="1">
      <c r="B156" s="22"/>
      <c r="E156" s="23"/>
      <c r="F156" s="23"/>
      <c r="G156" s="24"/>
      <c r="H156" s="24"/>
      <c r="J156" s="24"/>
      <c r="K156" s="24"/>
    </row>
    <row r="157" ht="15.75" customHeight="1">
      <c r="B157" s="22"/>
      <c r="E157" s="23"/>
      <c r="F157" s="23"/>
      <c r="G157" s="24"/>
      <c r="H157" s="24"/>
      <c r="J157" s="24"/>
      <c r="K157" s="24"/>
    </row>
    <row r="158" ht="15.75" customHeight="1">
      <c r="B158" s="22"/>
      <c r="E158" s="23"/>
      <c r="F158" s="23"/>
      <c r="G158" s="24"/>
      <c r="H158" s="24"/>
      <c r="J158" s="24"/>
      <c r="K158" s="24"/>
    </row>
    <row r="159" ht="15.75" customHeight="1">
      <c r="B159" s="22"/>
      <c r="E159" s="23"/>
      <c r="F159" s="23"/>
      <c r="G159" s="24"/>
      <c r="H159" s="24"/>
      <c r="J159" s="24"/>
      <c r="K159" s="24"/>
    </row>
    <row r="160" ht="15.75" customHeight="1">
      <c r="B160" s="22"/>
      <c r="E160" s="23"/>
      <c r="F160" s="23"/>
      <c r="G160" s="24"/>
      <c r="H160" s="24"/>
      <c r="J160" s="24"/>
      <c r="K160" s="24"/>
    </row>
    <row r="161" ht="15.75" customHeight="1">
      <c r="B161" s="22"/>
      <c r="E161" s="23"/>
      <c r="F161" s="23"/>
      <c r="G161" s="24"/>
      <c r="H161" s="24"/>
      <c r="J161" s="24"/>
      <c r="K161" s="24"/>
    </row>
    <row r="162" ht="15.75" customHeight="1">
      <c r="B162" s="22"/>
      <c r="E162" s="23"/>
      <c r="F162" s="23"/>
      <c r="G162" s="24"/>
      <c r="H162" s="24"/>
      <c r="J162" s="24"/>
      <c r="K162" s="24"/>
    </row>
    <row r="163" ht="15.75" customHeight="1">
      <c r="B163" s="22"/>
      <c r="E163" s="23"/>
      <c r="F163" s="23"/>
      <c r="G163" s="24"/>
      <c r="H163" s="24"/>
      <c r="J163" s="24"/>
      <c r="K163" s="24"/>
    </row>
    <row r="164" ht="15.75" customHeight="1">
      <c r="B164" s="22"/>
      <c r="E164" s="23"/>
      <c r="F164" s="23"/>
      <c r="G164" s="24"/>
      <c r="H164" s="24"/>
      <c r="J164" s="24"/>
      <c r="K164" s="24"/>
    </row>
    <row r="165" ht="15.75" customHeight="1">
      <c r="B165" s="22"/>
      <c r="E165" s="23"/>
      <c r="F165" s="23"/>
      <c r="G165" s="24"/>
      <c r="H165" s="24"/>
      <c r="J165" s="24"/>
      <c r="K165" s="24"/>
    </row>
    <row r="166" ht="15.75" customHeight="1">
      <c r="B166" s="22"/>
      <c r="E166" s="23"/>
      <c r="F166" s="23"/>
      <c r="G166" s="24"/>
      <c r="H166" s="24"/>
      <c r="J166" s="24"/>
      <c r="K166" s="24"/>
    </row>
    <row r="167" ht="15.75" customHeight="1">
      <c r="B167" s="22"/>
      <c r="E167" s="23"/>
      <c r="F167" s="23"/>
      <c r="G167" s="24"/>
      <c r="H167" s="24"/>
      <c r="J167" s="24"/>
      <c r="K167" s="24"/>
    </row>
    <row r="168" ht="15.75" customHeight="1">
      <c r="B168" s="22"/>
      <c r="E168" s="23"/>
      <c r="F168" s="23"/>
      <c r="G168" s="24"/>
      <c r="H168" s="24"/>
      <c r="J168" s="24"/>
      <c r="K168" s="24"/>
    </row>
    <row r="169" ht="15.75" customHeight="1">
      <c r="B169" s="22"/>
      <c r="E169" s="23"/>
      <c r="F169" s="23"/>
      <c r="G169" s="24"/>
      <c r="H169" s="24"/>
      <c r="J169" s="24"/>
      <c r="K169" s="24"/>
    </row>
    <row r="170" ht="15.75" customHeight="1">
      <c r="B170" s="22"/>
      <c r="E170" s="23"/>
      <c r="F170" s="23"/>
      <c r="G170" s="24"/>
      <c r="H170" s="24"/>
      <c r="J170" s="24"/>
      <c r="K170" s="24"/>
    </row>
    <row r="171" ht="15.75" customHeight="1">
      <c r="B171" s="22"/>
      <c r="E171" s="23"/>
      <c r="F171" s="23"/>
      <c r="G171" s="24"/>
      <c r="H171" s="24"/>
      <c r="J171" s="24"/>
      <c r="K171" s="24"/>
    </row>
    <row r="172" ht="15.75" customHeight="1">
      <c r="B172" s="22"/>
      <c r="E172" s="23"/>
      <c r="F172" s="23"/>
      <c r="G172" s="24"/>
      <c r="H172" s="24"/>
      <c r="J172" s="24"/>
      <c r="K172" s="24"/>
    </row>
    <row r="173" ht="15.75" customHeight="1">
      <c r="B173" s="22"/>
      <c r="E173" s="23"/>
      <c r="F173" s="23"/>
      <c r="G173" s="24"/>
      <c r="H173" s="24"/>
      <c r="J173" s="24"/>
      <c r="K173" s="24"/>
    </row>
    <row r="174" ht="15.75" customHeight="1">
      <c r="B174" s="22"/>
      <c r="E174" s="23"/>
      <c r="F174" s="23"/>
      <c r="G174" s="24"/>
      <c r="H174" s="24"/>
      <c r="J174" s="24"/>
      <c r="K174" s="24"/>
    </row>
    <row r="175" ht="15.75" customHeight="1">
      <c r="B175" s="22"/>
      <c r="E175" s="23"/>
      <c r="F175" s="23"/>
      <c r="G175" s="24"/>
      <c r="H175" s="24"/>
      <c r="J175" s="24"/>
      <c r="K175" s="24"/>
    </row>
    <row r="176" ht="15.75" customHeight="1">
      <c r="B176" s="22"/>
      <c r="E176" s="23"/>
      <c r="F176" s="23"/>
      <c r="G176" s="24"/>
      <c r="H176" s="24"/>
      <c r="J176" s="24"/>
      <c r="K176" s="24"/>
    </row>
    <row r="177" ht="15.75" customHeight="1">
      <c r="B177" s="22"/>
      <c r="E177" s="23"/>
      <c r="F177" s="23"/>
      <c r="G177" s="24"/>
      <c r="H177" s="24"/>
      <c r="J177" s="24"/>
      <c r="K177" s="24"/>
    </row>
    <row r="178" ht="15.75" customHeight="1">
      <c r="B178" s="22"/>
      <c r="E178" s="23"/>
      <c r="F178" s="23"/>
      <c r="G178" s="24"/>
      <c r="H178" s="24"/>
      <c r="J178" s="24"/>
      <c r="K178" s="24"/>
    </row>
    <row r="179" ht="15.75" customHeight="1">
      <c r="B179" s="22"/>
      <c r="E179" s="23"/>
      <c r="F179" s="23"/>
      <c r="G179" s="24"/>
      <c r="H179" s="24"/>
      <c r="J179" s="24"/>
      <c r="K179" s="24"/>
    </row>
    <row r="180" ht="15.75" customHeight="1">
      <c r="B180" s="22"/>
      <c r="E180" s="23"/>
      <c r="F180" s="23"/>
      <c r="G180" s="24"/>
      <c r="H180" s="24"/>
      <c r="J180" s="24"/>
      <c r="K180" s="24"/>
    </row>
    <row r="181" ht="15.75" customHeight="1">
      <c r="B181" s="22"/>
      <c r="E181" s="23"/>
      <c r="F181" s="23"/>
      <c r="G181" s="24"/>
      <c r="H181" s="24"/>
      <c r="J181" s="24"/>
      <c r="K181" s="24"/>
    </row>
    <row r="182" ht="15.75" customHeight="1">
      <c r="B182" s="22"/>
      <c r="E182" s="23"/>
      <c r="F182" s="23"/>
      <c r="G182" s="24"/>
      <c r="H182" s="24"/>
      <c r="J182" s="24"/>
      <c r="K182" s="24"/>
    </row>
    <row r="183" ht="15.75" customHeight="1">
      <c r="B183" s="22"/>
      <c r="E183" s="23"/>
      <c r="F183" s="23"/>
      <c r="G183" s="24"/>
      <c r="H183" s="24"/>
      <c r="J183" s="24"/>
      <c r="K183" s="24"/>
    </row>
    <row r="184" ht="15.75" customHeight="1">
      <c r="B184" s="22"/>
      <c r="E184" s="23"/>
      <c r="F184" s="23"/>
      <c r="G184" s="24"/>
      <c r="H184" s="24"/>
      <c r="J184" s="24"/>
      <c r="K184" s="24"/>
    </row>
    <row r="185" ht="15.75" customHeight="1">
      <c r="B185" s="22"/>
      <c r="E185" s="23"/>
      <c r="F185" s="23"/>
      <c r="G185" s="24"/>
      <c r="H185" s="24"/>
      <c r="J185" s="24"/>
      <c r="K185" s="24"/>
    </row>
    <row r="186" ht="15.75" customHeight="1">
      <c r="B186" s="22"/>
      <c r="E186" s="23"/>
      <c r="F186" s="23"/>
      <c r="G186" s="24"/>
      <c r="H186" s="24"/>
      <c r="J186" s="24"/>
      <c r="K186" s="24"/>
    </row>
    <row r="187" ht="15.75" customHeight="1">
      <c r="B187" s="22"/>
      <c r="E187" s="23"/>
      <c r="F187" s="23"/>
      <c r="G187" s="24"/>
      <c r="H187" s="24"/>
      <c r="J187" s="24"/>
      <c r="K187" s="24"/>
    </row>
    <row r="188" ht="15.75" customHeight="1">
      <c r="B188" s="22"/>
      <c r="E188" s="23"/>
      <c r="F188" s="23"/>
      <c r="G188" s="24"/>
      <c r="H188" s="24"/>
      <c r="J188" s="24"/>
      <c r="K188" s="24"/>
    </row>
    <row r="189" ht="15.75" customHeight="1">
      <c r="B189" s="22"/>
      <c r="E189" s="23"/>
      <c r="F189" s="23"/>
      <c r="G189" s="24"/>
      <c r="H189" s="24"/>
      <c r="J189" s="24"/>
      <c r="K189" s="24"/>
    </row>
    <row r="190" ht="15.75" customHeight="1">
      <c r="B190" s="22"/>
      <c r="E190" s="23"/>
      <c r="F190" s="23"/>
      <c r="G190" s="24"/>
      <c r="H190" s="24"/>
      <c r="J190" s="24"/>
      <c r="K190" s="24"/>
    </row>
    <row r="191" ht="15.75" customHeight="1">
      <c r="B191" s="22"/>
      <c r="E191" s="23"/>
      <c r="F191" s="23"/>
      <c r="G191" s="24"/>
      <c r="H191" s="24"/>
      <c r="J191" s="24"/>
      <c r="K191" s="24"/>
    </row>
    <row r="192" ht="15.75" customHeight="1">
      <c r="B192" s="22"/>
      <c r="E192" s="23"/>
      <c r="F192" s="23"/>
      <c r="G192" s="24"/>
      <c r="H192" s="24"/>
      <c r="J192" s="24"/>
      <c r="K192" s="24"/>
    </row>
    <row r="193" ht="15.75" customHeight="1">
      <c r="B193" s="22"/>
      <c r="E193" s="23"/>
      <c r="F193" s="23"/>
      <c r="G193" s="24"/>
      <c r="H193" s="24"/>
      <c r="J193" s="24"/>
      <c r="K193" s="24"/>
    </row>
    <row r="194" ht="15.75" customHeight="1">
      <c r="B194" s="22"/>
      <c r="E194" s="23"/>
      <c r="F194" s="23"/>
      <c r="G194" s="24"/>
      <c r="H194" s="24"/>
      <c r="J194" s="24"/>
      <c r="K194" s="24"/>
    </row>
    <row r="195" ht="15.75" customHeight="1">
      <c r="B195" s="22"/>
      <c r="E195" s="23"/>
      <c r="F195" s="23"/>
      <c r="G195" s="24"/>
      <c r="H195" s="24"/>
      <c r="J195" s="24"/>
      <c r="K195" s="24"/>
    </row>
    <row r="196" ht="15.75" customHeight="1">
      <c r="B196" s="22"/>
      <c r="E196" s="23"/>
      <c r="F196" s="23"/>
      <c r="G196" s="24"/>
      <c r="H196" s="24"/>
      <c r="J196" s="24"/>
      <c r="K196" s="24"/>
    </row>
    <row r="197" ht="15.75" customHeight="1">
      <c r="B197" s="22"/>
      <c r="E197" s="23"/>
      <c r="F197" s="23"/>
      <c r="G197" s="24"/>
      <c r="H197" s="24"/>
      <c r="J197" s="24"/>
      <c r="K197" s="24"/>
    </row>
    <row r="198" ht="15.75" customHeight="1">
      <c r="B198" s="22"/>
      <c r="E198" s="23"/>
      <c r="F198" s="23"/>
      <c r="G198" s="24"/>
      <c r="H198" s="24"/>
      <c r="J198" s="24"/>
      <c r="K198" s="24"/>
    </row>
    <row r="199" ht="15.75" customHeight="1">
      <c r="B199" s="22"/>
      <c r="E199" s="23"/>
      <c r="F199" s="23"/>
      <c r="G199" s="24"/>
      <c r="H199" s="24"/>
      <c r="J199" s="24"/>
      <c r="K199" s="24"/>
    </row>
    <row r="200" ht="15.75" customHeight="1">
      <c r="B200" s="22"/>
      <c r="E200" s="23"/>
      <c r="F200" s="23"/>
      <c r="G200" s="24"/>
      <c r="H200" s="24"/>
      <c r="J200" s="24"/>
      <c r="K200" s="24"/>
    </row>
    <row r="201" ht="15.75" customHeight="1">
      <c r="B201" s="22"/>
      <c r="E201" s="23"/>
      <c r="F201" s="23"/>
      <c r="G201" s="24"/>
      <c r="H201" s="24"/>
      <c r="J201" s="24"/>
      <c r="K201" s="24"/>
    </row>
    <row r="202" ht="15.75" customHeight="1">
      <c r="B202" s="22"/>
      <c r="E202" s="23"/>
      <c r="F202" s="23"/>
      <c r="G202" s="24"/>
      <c r="H202" s="24"/>
      <c r="J202" s="24"/>
      <c r="K202" s="24"/>
    </row>
    <row r="203" ht="15.75" customHeight="1">
      <c r="B203" s="22"/>
      <c r="E203" s="23"/>
      <c r="F203" s="23"/>
      <c r="G203" s="24"/>
      <c r="H203" s="24"/>
      <c r="J203" s="24"/>
      <c r="K203" s="24"/>
    </row>
    <row r="204" ht="15.75" customHeight="1">
      <c r="B204" s="22"/>
      <c r="E204" s="23"/>
      <c r="F204" s="23"/>
      <c r="G204" s="24"/>
      <c r="H204" s="24"/>
      <c r="J204" s="24"/>
      <c r="K204" s="24"/>
    </row>
    <row r="205" ht="15.75" customHeight="1">
      <c r="B205" s="22"/>
      <c r="E205" s="23"/>
      <c r="F205" s="23"/>
      <c r="G205" s="24"/>
      <c r="H205" s="24"/>
      <c r="J205" s="24"/>
      <c r="K205" s="24"/>
    </row>
    <row r="206" ht="15.75" customHeight="1">
      <c r="B206" s="22"/>
      <c r="E206" s="23"/>
      <c r="F206" s="23"/>
      <c r="G206" s="24"/>
      <c r="H206" s="24"/>
      <c r="J206" s="24"/>
      <c r="K206" s="24"/>
    </row>
    <row r="207" ht="15.75" customHeight="1">
      <c r="B207" s="22"/>
      <c r="E207" s="23"/>
      <c r="F207" s="23"/>
      <c r="G207" s="24"/>
      <c r="H207" s="24"/>
      <c r="J207" s="24"/>
      <c r="K207" s="24"/>
    </row>
    <row r="208" ht="15.75" customHeight="1">
      <c r="B208" s="22"/>
      <c r="E208" s="23"/>
      <c r="F208" s="23"/>
      <c r="G208" s="24"/>
      <c r="H208" s="24"/>
      <c r="J208" s="24"/>
      <c r="K208" s="24"/>
    </row>
    <row r="209" ht="15.75" customHeight="1">
      <c r="B209" s="22"/>
      <c r="E209" s="23"/>
      <c r="F209" s="23"/>
      <c r="G209" s="24"/>
      <c r="H209" s="24"/>
      <c r="J209" s="24"/>
      <c r="K209" s="24"/>
    </row>
    <row r="210" ht="15.75" customHeight="1">
      <c r="B210" s="22"/>
      <c r="E210" s="23"/>
      <c r="F210" s="23"/>
      <c r="G210" s="24"/>
      <c r="H210" s="24"/>
      <c r="J210" s="24"/>
      <c r="K210" s="24"/>
    </row>
    <row r="211" ht="15.75" customHeight="1">
      <c r="B211" s="22"/>
      <c r="E211" s="23"/>
      <c r="F211" s="23"/>
      <c r="G211" s="24"/>
      <c r="H211" s="24"/>
      <c r="J211" s="24"/>
      <c r="K211" s="24"/>
    </row>
    <row r="212" ht="15.75" customHeight="1">
      <c r="B212" s="22"/>
      <c r="E212" s="23"/>
      <c r="F212" s="23"/>
      <c r="G212" s="24"/>
      <c r="H212" s="24"/>
      <c r="J212" s="24"/>
      <c r="K212" s="24"/>
    </row>
    <row r="213" ht="15.75" customHeight="1">
      <c r="B213" s="22"/>
      <c r="E213" s="23"/>
      <c r="F213" s="23"/>
      <c r="G213" s="24"/>
      <c r="H213" s="24"/>
      <c r="J213" s="24"/>
      <c r="K213" s="24"/>
    </row>
    <row r="214" ht="15.75" customHeight="1">
      <c r="B214" s="22"/>
      <c r="E214" s="23"/>
      <c r="F214" s="23"/>
      <c r="G214" s="24"/>
      <c r="H214" s="24"/>
      <c r="J214" s="24"/>
      <c r="K214" s="24"/>
    </row>
    <row r="215" ht="15.75" customHeight="1">
      <c r="B215" s="22"/>
      <c r="E215" s="23"/>
      <c r="F215" s="23"/>
      <c r="G215" s="24"/>
      <c r="H215" s="24"/>
      <c r="J215" s="24"/>
      <c r="K215" s="24"/>
    </row>
    <row r="216" ht="15.75" customHeight="1">
      <c r="B216" s="22"/>
      <c r="E216" s="23"/>
      <c r="F216" s="23"/>
      <c r="G216" s="24"/>
      <c r="H216" s="24"/>
      <c r="J216" s="24"/>
      <c r="K216" s="24"/>
    </row>
    <row r="217" ht="15.75" customHeight="1">
      <c r="B217" s="22"/>
      <c r="E217" s="23"/>
      <c r="F217" s="23"/>
      <c r="G217" s="24"/>
      <c r="H217" s="24"/>
      <c r="J217" s="24"/>
      <c r="K217" s="24"/>
    </row>
    <row r="218" ht="15.75" customHeight="1">
      <c r="B218" s="22"/>
      <c r="E218" s="23"/>
      <c r="F218" s="23"/>
      <c r="G218" s="24"/>
      <c r="H218" s="24"/>
      <c r="J218" s="24"/>
      <c r="K218" s="24"/>
    </row>
    <row r="219" ht="15.75" customHeight="1">
      <c r="B219" s="22"/>
      <c r="E219" s="23"/>
      <c r="F219" s="23"/>
      <c r="G219" s="24"/>
      <c r="H219" s="24"/>
      <c r="J219" s="24"/>
      <c r="K219" s="24"/>
    </row>
    <row r="220" ht="15.75" customHeight="1">
      <c r="B220" s="22"/>
      <c r="E220" s="23"/>
      <c r="F220" s="23"/>
      <c r="G220" s="24"/>
      <c r="H220" s="24"/>
      <c r="J220" s="24"/>
      <c r="K220" s="24"/>
    </row>
    <row r="221" ht="15.75" customHeight="1">
      <c r="B221" s="22"/>
      <c r="E221" s="23"/>
      <c r="F221" s="23"/>
      <c r="G221" s="24"/>
      <c r="H221" s="24"/>
      <c r="J221" s="24"/>
      <c r="K221" s="24"/>
    </row>
    <row r="222" ht="15.75" customHeight="1">
      <c r="B222" s="22"/>
      <c r="E222" s="23"/>
      <c r="F222" s="23"/>
      <c r="G222" s="24"/>
      <c r="H222" s="24"/>
      <c r="J222" s="24"/>
      <c r="K222" s="24"/>
    </row>
    <row r="223" ht="15.75" customHeight="1">
      <c r="B223" s="22"/>
      <c r="E223" s="23"/>
      <c r="F223" s="23"/>
      <c r="G223" s="24"/>
      <c r="H223" s="24"/>
      <c r="J223" s="24"/>
      <c r="K223" s="24"/>
    </row>
    <row r="224" ht="15.75" customHeight="1">
      <c r="B224" s="22"/>
      <c r="E224" s="23"/>
      <c r="F224" s="23"/>
      <c r="G224" s="24"/>
      <c r="H224" s="24"/>
      <c r="J224" s="24"/>
      <c r="K224" s="24"/>
    </row>
    <row r="225" ht="15.75" customHeight="1">
      <c r="B225" s="22"/>
      <c r="E225" s="23"/>
      <c r="F225" s="23"/>
      <c r="G225" s="24"/>
      <c r="H225" s="24"/>
      <c r="J225" s="24"/>
      <c r="K225" s="24"/>
    </row>
    <row r="226" ht="15.75" customHeight="1">
      <c r="B226" s="22"/>
      <c r="E226" s="23"/>
      <c r="F226" s="23"/>
      <c r="G226" s="24"/>
      <c r="H226" s="24"/>
      <c r="J226" s="24"/>
      <c r="K226" s="24"/>
    </row>
    <row r="227" ht="15.75" customHeight="1">
      <c r="B227" s="22"/>
      <c r="E227" s="23"/>
      <c r="F227" s="23"/>
      <c r="G227" s="24"/>
      <c r="H227" s="24"/>
      <c r="J227" s="24"/>
      <c r="K227" s="24"/>
    </row>
    <row r="228" ht="15.75" customHeight="1">
      <c r="B228" s="22"/>
      <c r="E228" s="23"/>
      <c r="F228" s="23"/>
      <c r="G228" s="24"/>
      <c r="H228" s="24"/>
      <c r="J228" s="24"/>
      <c r="K228" s="24"/>
    </row>
    <row r="229" ht="15.75" customHeight="1">
      <c r="B229" s="22"/>
      <c r="E229" s="23"/>
      <c r="F229" s="23"/>
      <c r="G229" s="24"/>
      <c r="H229" s="24"/>
      <c r="J229" s="24"/>
      <c r="K229" s="24"/>
    </row>
    <row r="230" ht="15.75" customHeight="1">
      <c r="B230" s="22"/>
      <c r="E230" s="23"/>
      <c r="F230" s="23"/>
      <c r="G230" s="24"/>
      <c r="H230" s="24"/>
      <c r="J230" s="24"/>
      <c r="K230" s="24"/>
    </row>
    <row r="231" ht="15.75" customHeight="1">
      <c r="B231" s="22"/>
      <c r="E231" s="23"/>
      <c r="F231" s="23"/>
      <c r="G231" s="24"/>
      <c r="H231" s="24"/>
      <c r="J231" s="24"/>
      <c r="K231" s="24"/>
    </row>
    <row r="232" ht="15.75" customHeight="1">
      <c r="B232" s="22"/>
      <c r="E232" s="23"/>
      <c r="F232" s="23"/>
      <c r="G232" s="24"/>
      <c r="H232" s="24"/>
      <c r="J232" s="24"/>
      <c r="K232" s="24"/>
    </row>
    <row r="233" ht="15.75" customHeight="1">
      <c r="B233" s="22"/>
      <c r="E233" s="23"/>
      <c r="F233" s="23"/>
      <c r="G233" s="24"/>
      <c r="H233" s="24"/>
      <c r="J233" s="24"/>
      <c r="K233" s="24"/>
    </row>
    <row r="234" ht="15.75" customHeight="1">
      <c r="B234" s="22"/>
      <c r="E234" s="23"/>
      <c r="F234" s="23"/>
      <c r="G234" s="24"/>
      <c r="H234" s="24"/>
      <c r="J234" s="24"/>
      <c r="K234" s="24"/>
    </row>
    <row r="235" ht="15.75" customHeight="1">
      <c r="B235" s="22"/>
      <c r="E235" s="23"/>
      <c r="F235" s="23"/>
      <c r="G235" s="24"/>
      <c r="H235" s="24"/>
      <c r="J235" s="24"/>
      <c r="K235" s="24"/>
    </row>
    <row r="236" ht="15.75" customHeight="1">
      <c r="B236" s="22"/>
      <c r="E236" s="23"/>
      <c r="F236" s="23"/>
      <c r="G236" s="24"/>
      <c r="H236" s="24"/>
      <c r="J236" s="24"/>
      <c r="K236" s="24"/>
    </row>
    <row r="237" ht="15.75" customHeight="1">
      <c r="B237" s="22"/>
      <c r="E237" s="23"/>
      <c r="F237" s="23"/>
      <c r="G237" s="24"/>
      <c r="H237" s="24"/>
      <c r="J237" s="24"/>
      <c r="K237" s="24"/>
    </row>
    <row r="238" ht="15.75" customHeight="1">
      <c r="B238" s="22"/>
      <c r="E238" s="23"/>
      <c r="F238" s="23"/>
      <c r="G238" s="24"/>
      <c r="H238" s="24"/>
      <c r="J238" s="24"/>
      <c r="K238" s="24"/>
    </row>
    <row r="239" ht="15.75" customHeight="1">
      <c r="B239" s="22"/>
      <c r="E239" s="23"/>
      <c r="F239" s="23"/>
      <c r="G239" s="24"/>
      <c r="H239" s="24"/>
      <c r="J239" s="24"/>
      <c r="K239" s="24"/>
    </row>
    <row r="240" ht="15.75" customHeight="1">
      <c r="B240" s="22"/>
      <c r="E240" s="23"/>
      <c r="F240" s="23"/>
      <c r="G240" s="24"/>
      <c r="H240" s="24"/>
      <c r="J240" s="24"/>
      <c r="K240" s="24"/>
    </row>
    <row r="241" ht="15.75" customHeight="1">
      <c r="B241" s="22"/>
      <c r="E241" s="23"/>
      <c r="F241" s="23"/>
      <c r="G241" s="24"/>
      <c r="H241" s="24"/>
      <c r="J241" s="24"/>
      <c r="K241" s="24"/>
    </row>
    <row r="242" ht="15.75" customHeight="1">
      <c r="B242" s="22"/>
      <c r="E242" s="23"/>
      <c r="F242" s="23"/>
      <c r="G242" s="24"/>
      <c r="H242" s="24"/>
      <c r="J242" s="24"/>
      <c r="K242" s="24"/>
    </row>
    <row r="243" ht="15.75" customHeight="1">
      <c r="B243" s="22"/>
      <c r="E243" s="23"/>
      <c r="F243" s="23"/>
      <c r="G243" s="24"/>
      <c r="H243" s="24"/>
      <c r="J243" s="24"/>
      <c r="K243" s="24"/>
    </row>
    <row r="244" ht="15.75" customHeight="1">
      <c r="B244" s="22"/>
      <c r="E244" s="23"/>
      <c r="F244" s="23"/>
      <c r="G244" s="24"/>
      <c r="H244" s="24"/>
      <c r="J244" s="24"/>
      <c r="K244" s="24"/>
    </row>
    <row r="245" ht="15.75" customHeight="1">
      <c r="B245" s="22"/>
      <c r="E245" s="23"/>
      <c r="F245" s="23"/>
      <c r="G245" s="24"/>
      <c r="H245" s="24"/>
      <c r="J245" s="24"/>
      <c r="K245" s="24"/>
    </row>
    <row r="246" ht="15.75" customHeight="1">
      <c r="B246" s="22"/>
      <c r="E246" s="23"/>
      <c r="F246" s="23"/>
      <c r="G246" s="24"/>
      <c r="H246" s="24"/>
      <c r="J246" s="24"/>
      <c r="K246" s="24"/>
    </row>
    <row r="247" ht="15.75" customHeight="1">
      <c r="B247" s="22"/>
      <c r="E247" s="23"/>
      <c r="F247" s="23"/>
      <c r="G247" s="24"/>
      <c r="H247" s="24"/>
      <c r="J247" s="24"/>
      <c r="K247" s="24"/>
    </row>
    <row r="248" ht="15.75" customHeight="1">
      <c r="B248" s="22"/>
      <c r="E248" s="23"/>
      <c r="F248" s="23"/>
      <c r="G248" s="24"/>
      <c r="H248" s="24"/>
      <c r="J248" s="24"/>
      <c r="K248" s="24"/>
    </row>
    <row r="249" ht="15.75" customHeight="1">
      <c r="B249" s="22"/>
      <c r="E249" s="23"/>
      <c r="F249" s="23"/>
      <c r="G249" s="24"/>
      <c r="H249" s="24"/>
      <c r="J249" s="24"/>
      <c r="K249" s="24"/>
    </row>
    <row r="250" ht="15.75" customHeight="1">
      <c r="B250" s="22"/>
      <c r="E250" s="23"/>
      <c r="F250" s="23"/>
      <c r="G250" s="24"/>
      <c r="H250" s="24"/>
      <c r="J250" s="24"/>
      <c r="K250" s="24"/>
    </row>
    <row r="251" ht="15.75" customHeight="1">
      <c r="B251" s="22"/>
      <c r="E251" s="23"/>
      <c r="F251" s="23"/>
      <c r="G251" s="24"/>
      <c r="H251" s="24"/>
      <c r="J251" s="24"/>
      <c r="K251" s="24"/>
    </row>
    <row r="252" ht="15.75" customHeight="1">
      <c r="B252" s="22"/>
      <c r="E252" s="23"/>
      <c r="F252" s="23"/>
      <c r="G252" s="24"/>
      <c r="H252" s="24"/>
      <c r="J252" s="24"/>
      <c r="K252" s="24"/>
    </row>
    <row r="253" ht="15.75" customHeight="1">
      <c r="B253" s="22"/>
      <c r="E253" s="23"/>
      <c r="F253" s="23"/>
      <c r="G253" s="24"/>
      <c r="H253" s="24"/>
      <c r="J253" s="24"/>
      <c r="K253" s="24"/>
    </row>
    <row r="254" ht="15.75" customHeight="1">
      <c r="B254" s="22"/>
      <c r="E254" s="23"/>
      <c r="F254" s="23"/>
      <c r="G254" s="24"/>
      <c r="H254" s="24"/>
      <c r="J254" s="24"/>
      <c r="K254" s="24"/>
    </row>
    <row r="255" ht="15.75" customHeight="1">
      <c r="B255" s="22"/>
      <c r="E255" s="23"/>
      <c r="F255" s="23"/>
      <c r="G255" s="24"/>
      <c r="H255" s="24"/>
      <c r="J255" s="24"/>
      <c r="K255" s="24"/>
    </row>
    <row r="256" ht="15.75" customHeight="1">
      <c r="B256" s="22"/>
      <c r="E256" s="23"/>
      <c r="F256" s="23"/>
      <c r="G256" s="24"/>
      <c r="H256" s="24"/>
      <c r="J256" s="24"/>
      <c r="K256" s="24"/>
    </row>
    <row r="257" ht="15.75" customHeight="1">
      <c r="B257" s="22"/>
      <c r="E257" s="23"/>
      <c r="F257" s="23"/>
      <c r="G257" s="24"/>
      <c r="H257" s="24"/>
      <c r="J257" s="24"/>
      <c r="K257" s="24"/>
    </row>
    <row r="258" ht="15.75" customHeight="1">
      <c r="B258" s="22"/>
      <c r="E258" s="23"/>
      <c r="F258" s="23"/>
      <c r="G258" s="24"/>
      <c r="H258" s="24"/>
      <c r="J258" s="24"/>
      <c r="K258" s="24"/>
    </row>
    <row r="259" ht="15.75" customHeight="1">
      <c r="B259" s="22"/>
      <c r="E259" s="23"/>
      <c r="F259" s="23"/>
      <c r="G259" s="24"/>
      <c r="H259" s="24"/>
      <c r="J259" s="24"/>
      <c r="K259" s="24"/>
    </row>
    <row r="260" ht="15.75" customHeight="1">
      <c r="B260" s="22"/>
      <c r="E260" s="23"/>
      <c r="F260" s="23"/>
      <c r="G260" s="24"/>
      <c r="H260" s="24"/>
      <c r="J260" s="24"/>
      <c r="K260" s="24"/>
    </row>
    <row r="261" ht="15.75" customHeight="1">
      <c r="B261" s="22"/>
      <c r="E261" s="23"/>
      <c r="F261" s="23"/>
      <c r="G261" s="24"/>
      <c r="H261" s="24"/>
      <c r="J261" s="24"/>
      <c r="K261" s="24"/>
    </row>
    <row r="262" ht="15.75" customHeight="1">
      <c r="B262" s="22"/>
      <c r="E262" s="23"/>
      <c r="F262" s="23"/>
      <c r="G262" s="24"/>
      <c r="H262" s="24"/>
      <c r="J262" s="24"/>
      <c r="K262" s="24"/>
    </row>
    <row r="263" ht="15.75" customHeight="1">
      <c r="B263" s="22"/>
      <c r="E263" s="23"/>
      <c r="F263" s="23"/>
      <c r="G263" s="24"/>
      <c r="H263" s="24"/>
      <c r="J263" s="24"/>
      <c r="K263" s="24"/>
    </row>
    <row r="264" ht="15.75" customHeight="1">
      <c r="B264" s="22"/>
      <c r="E264" s="23"/>
      <c r="F264" s="23"/>
      <c r="G264" s="24"/>
      <c r="H264" s="24"/>
      <c r="J264" s="24"/>
      <c r="K264" s="24"/>
    </row>
    <row r="265" ht="15.75" customHeight="1">
      <c r="B265" s="22"/>
      <c r="E265" s="23"/>
      <c r="F265" s="23"/>
      <c r="G265" s="24"/>
      <c r="H265" s="24"/>
      <c r="J265" s="24"/>
      <c r="K265" s="24"/>
    </row>
    <row r="266" ht="15.75" customHeight="1">
      <c r="B266" s="22"/>
      <c r="E266" s="23"/>
      <c r="F266" s="23"/>
      <c r="G266" s="24"/>
      <c r="H266" s="24"/>
      <c r="J266" s="24"/>
      <c r="K266" s="24"/>
    </row>
    <row r="267" ht="15.75" customHeight="1">
      <c r="B267" s="22"/>
      <c r="E267" s="23"/>
      <c r="F267" s="23"/>
      <c r="G267" s="24"/>
      <c r="H267" s="24"/>
      <c r="J267" s="24"/>
      <c r="K267" s="24"/>
    </row>
    <row r="268" ht="15.75" customHeight="1">
      <c r="B268" s="22"/>
      <c r="E268" s="23"/>
      <c r="F268" s="23"/>
      <c r="G268" s="24"/>
      <c r="H268" s="24"/>
      <c r="J268" s="24"/>
      <c r="K268" s="24"/>
    </row>
    <row r="269" ht="15.75" customHeight="1">
      <c r="B269" s="22"/>
      <c r="E269" s="23"/>
      <c r="F269" s="23"/>
      <c r="G269" s="24"/>
      <c r="H269" s="24"/>
      <c r="J269" s="24"/>
      <c r="K269" s="24"/>
    </row>
    <row r="270" ht="15.75" customHeight="1">
      <c r="B270" s="22"/>
      <c r="E270" s="23"/>
      <c r="F270" s="23"/>
      <c r="G270" s="24"/>
      <c r="H270" s="24"/>
      <c r="J270" s="24"/>
      <c r="K270" s="24"/>
    </row>
    <row r="271" ht="15.75" customHeight="1">
      <c r="B271" s="22"/>
      <c r="E271" s="23"/>
      <c r="F271" s="23"/>
      <c r="G271" s="24"/>
      <c r="H271" s="24"/>
      <c r="J271" s="24"/>
      <c r="K271" s="24"/>
    </row>
    <row r="272" ht="15.75" customHeight="1">
      <c r="B272" s="22"/>
      <c r="E272" s="23"/>
      <c r="F272" s="23"/>
      <c r="G272" s="24"/>
      <c r="H272" s="24"/>
      <c r="J272" s="24"/>
      <c r="K272" s="24"/>
    </row>
    <row r="273" ht="15.75" customHeight="1">
      <c r="B273" s="22"/>
      <c r="E273" s="23"/>
      <c r="F273" s="23"/>
      <c r="G273" s="24"/>
      <c r="H273" s="24"/>
      <c r="J273" s="24"/>
      <c r="K273" s="24"/>
    </row>
    <row r="274" ht="15.75" customHeight="1">
      <c r="B274" s="22"/>
      <c r="E274" s="23"/>
      <c r="F274" s="23"/>
      <c r="G274" s="24"/>
      <c r="H274" s="24"/>
      <c r="J274" s="24"/>
      <c r="K274" s="24"/>
    </row>
    <row r="275" ht="15.75" customHeight="1">
      <c r="B275" s="22"/>
      <c r="E275" s="23"/>
      <c r="F275" s="23"/>
      <c r="G275" s="24"/>
      <c r="H275" s="24"/>
      <c r="J275" s="24"/>
      <c r="K275" s="24"/>
    </row>
    <row r="276" ht="15.75" customHeight="1">
      <c r="B276" s="22"/>
      <c r="E276" s="23"/>
      <c r="F276" s="23"/>
      <c r="G276" s="24"/>
      <c r="H276" s="24"/>
      <c r="J276" s="24"/>
      <c r="K276" s="24"/>
    </row>
    <row r="277" ht="15.75" customHeight="1">
      <c r="B277" s="22"/>
      <c r="E277" s="23"/>
      <c r="F277" s="23"/>
      <c r="G277" s="24"/>
      <c r="H277" s="24"/>
      <c r="J277" s="24"/>
      <c r="K277" s="24"/>
    </row>
    <row r="278" ht="15.75" customHeight="1">
      <c r="B278" s="22"/>
      <c r="E278" s="23"/>
      <c r="F278" s="23"/>
      <c r="G278" s="24"/>
      <c r="H278" s="24"/>
      <c r="J278" s="24"/>
      <c r="K278" s="24"/>
    </row>
    <row r="279" ht="15.75" customHeight="1">
      <c r="B279" s="22"/>
      <c r="E279" s="23"/>
      <c r="F279" s="23"/>
      <c r="G279" s="24"/>
      <c r="H279" s="24"/>
      <c r="J279" s="24"/>
      <c r="K279" s="24"/>
    </row>
    <row r="280" ht="15.75" customHeight="1">
      <c r="B280" s="22"/>
      <c r="E280" s="23"/>
      <c r="F280" s="23"/>
      <c r="G280" s="24"/>
      <c r="H280" s="24"/>
      <c r="J280" s="24"/>
      <c r="K280" s="24"/>
    </row>
    <row r="281" ht="15.75" customHeight="1">
      <c r="B281" s="22"/>
      <c r="E281" s="23"/>
      <c r="F281" s="23"/>
      <c r="G281" s="24"/>
      <c r="H281" s="24"/>
      <c r="J281" s="24"/>
      <c r="K281" s="24"/>
    </row>
    <row r="282" ht="15.75" customHeight="1">
      <c r="B282" s="22"/>
      <c r="E282" s="23"/>
      <c r="F282" s="23"/>
      <c r="G282" s="24"/>
      <c r="H282" s="24"/>
      <c r="J282" s="24"/>
      <c r="K282" s="24"/>
    </row>
    <row r="283" ht="15.75" customHeight="1">
      <c r="B283" s="22"/>
      <c r="E283" s="23"/>
      <c r="F283" s="23"/>
      <c r="G283" s="24"/>
      <c r="H283" s="24"/>
      <c r="J283" s="24"/>
      <c r="K283" s="24"/>
    </row>
    <row r="284" ht="15.75" customHeight="1">
      <c r="B284" s="22"/>
      <c r="E284" s="23"/>
      <c r="F284" s="23"/>
      <c r="G284" s="24"/>
      <c r="H284" s="24"/>
      <c r="J284" s="24"/>
      <c r="K284" s="24"/>
    </row>
    <row r="285" ht="15.75" customHeight="1">
      <c r="B285" s="22"/>
      <c r="E285" s="23"/>
      <c r="F285" s="23"/>
      <c r="G285" s="24"/>
      <c r="H285" s="24"/>
      <c r="J285" s="24"/>
      <c r="K285" s="24"/>
    </row>
    <row r="286" ht="15.75" customHeight="1">
      <c r="B286" s="22"/>
      <c r="E286" s="23"/>
      <c r="F286" s="23"/>
      <c r="G286" s="24"/>
      <c r="H286" s="24"/>
      <c r="J286" s="24"/>
      <c r="K286" s="24"/>
    </row>
    <row r="287" ht="15.75" customHeight="1">
      <c r="B287" s="22"/>
      <c r="E287" s="23"/>
      <c r="F287" s="23"/>
      <c r="G287" s="24"/>
      <c r="H287" s="24"/>
      <c r="J287" s="24"/>
      <c r="K287" s="24"/>
    </row>
    <row r="288" ht="15.75" customHeight="1">
      <c r="B288" s="22"/>
      <c r="E288" s="23"/>
      <c r="F288" s="23"/>
      <c r="G288" s="24"/>
      <c r="H288" s="24"/>
      <c r="J288" s="24"/>
      <c r="K288" s="24"/>
    </row>
    <row r="289" ht="15.75" customHeight="1">
      <c r="B289" s="22"/>
      <c r="E289" s="23"/>
      <c r="F289" s="23"/>
      <c r="G289" s="24"/>
      <c r="H289" s="24"/>
      <c r="J289" s="24"/>
      <c r="K289" s="24"/>
    </row>
    <row r="290" ht="15.75" customHeight="1">
      <c r="B290" s="22"/>
      <c r="E290" s="23"/>
      <c r="F290" s="23"/>
      <c r="G290" s="24"/>
      <c r="H290" s="24"/>
      <c r="J290" s="24"/>
      <c r="K290" s="24"/>
    </row>
    <row r="291" ht="15.75" customHeight="1">
      <c r="B291" s="22"/>
      <c r="E291" s="23"/>
      <c r="F291" s="23"/>
      <c r="G291" s="24"/>
      <c r="H291" s="24"/>
      <c r="J291" s="24"/>
      <c r="K291" s="24"/>
    </row>
    <row r="292" ht="15.75" customHeight="1">
      <c r="B292" s="22"/>
      <c r="E292" s="23"/>
      <c r="F292" s="23"/>
      <c r="G292" s="24"/>
      <c r="H292" s="24"/>
      <c r="J292" s="24"/>
      <c r="K292" s="24"/>
    </row>
    <row r="293" ht="15.75" customHeight="1">
      <c r="B293" s="22"/>
      <c r="E293" s="23"/>
      <c r="F293" s="23"/>
      <c r="G293" s="24"/>
      <c r="H293" s="24"/>
      <c r="J293" s="24"/>
      <c r="K293" s="24"/>
    </row>
    <row r="294" ht="15.75" customHeight="1">
      <c r="B294" s="22"/>
      <c r="E294" s="23"/>
      <c r="F294" s="23"/>
      <c r="G294" s="24"/>
      <c r="H294" s="24"/>
      <c r="J294" s="24"/>
      <c r="K294" s="24"/>
    </row>
    <row r="295" ht="15.75" customHeight="1">
      <c r="B295" s="22"/>
      <c r="E295" s="23"/>
      <c r="F295" s="23"/>
      <c r="G295" s="24"/>
      <c r="H295" s="24"/>
      <c r="J295" s="24"/>
      <c r="K295" s="24"/>
    </row>
    <row r="296" ht="15.75" customHeight="1">
      <c r="B296" s="22"/>
      <c r="E296" s="23"/>
      <c r="F296" s="23"/>
      <c r="G296" s="24"/>
      <c r="H296" s="24"/>
      <c r="J296" s="24"/>
      <c r="K296" s="24"/>
    </row>
    <row r="297" ht="15.75" customHeight="1">
      <c r="B297" s="22"/>
      <c r="E297" s="23"/>
      <c r="F297" s="23"/>
      <c r="G297" s="24"/>
      <c r="H297" s="24"/>
      <c r="J297" s="24"/>
      <c r="K297" s="24"/>
    </row>
    <row r="298" ht="15.75" customHeight="1">
      <c r="B298" s="22"/>
      <c r="E298" s="23"/>
      <c r="F298" s="23"/>
      <c r="G298" s="24"/>
      <c r="H298" s="24"/>
      <c r="J298" s="24"/>
      <c r="K298" s="24"/>
    </row>
    <row r="299" ht="15.75" customHeight="1">
      <c r="B299" s="22"/>
      <c r="E299" s="23"/>
      <c r="F299" s="23"/>
      <c r="G299" s="24"/>
      <c r="H299" s="24"/>
      <c r="J299" s="24"/>
      <c r="K299" s="24"/>
    </row>
    <row r="300" ht="15.75" customHeight="1">
      <c r="B300" s="22"/>
      <c r="E300" s="23"/>
      <c r="F300" s="23"/>
      <c r="G300" s="24"/>
      <c r="H300" s="24"/>
      <c r="J300" s="24"/>
      <c r="K300" s="24"/>
    </row>
    <row r="301" ht="15.75" customHeight="1">
      <c r="B301" s="22"/>
      <c r="E301" s="23"/>
      <c r="F301" s="23"/>
      <c r="G301" s="24"/>
      <c r="H301" s="24"/>
      <c r="J301" s="24"/>
      <c r="K301" s="24"/>
    </row>
    <row r="302" ht="15.75" customHeight="1">
      <c r="B302" s="22"/>
      <c r="E302" s="23"/>
      <c r="F302" s="23"/>
      <c r="G302" s="24"/>
      <c r="H302" s="24"/>
      <c r="J302" s="24"/>
      <c r="K302" s="24"/>
    </row>
    <row r="303" ht="15.75" customHeight="1">
      <c r="B303" s="22"/>
      <c r="E303" s="23"/>
      <c r="F303" s="23"/>
      <c r="G303" s="24"/>
      <c r="H303" s="24"/>
      <c r="J303" s="24"/>
      <c r="K303" s="24"/>
    </row>
    <row r="304" ht="15.75" customHeight="1">
      <c r="B304" s="22"/>
      <c r="E304" s="23"/>
      <c r="F304" s="23"/>
      <c r="G304" s="24"/>
      <c r="H304" s="24"/>
      <c r="J304" s="24"/>
      <c r="K304" s="24"/>
    </row>
    <row r="305" ht="15.75" customHeight="1">
      <c r="B305" s="22"/>
      <c r="E305" s="23"/>
      <c r="F305" s="23"/>
      <c r="G305" s="24"/>
      <c r="H305" s="24"/>
      <c r="J305" s="24"/>
      <c r="K305" s="24"/>
    </row>
    <row r="306" ht="15.75" customHeight="1">
      <c r="B306" s="22"/>
      <c r="E306" s="23"/>
      <c r="F306" s="23"/>
      <c r="G306" s="24"/>
      <c r="H306" s="24"/>
      <c r="J306" s="24"/>
      <c r="K306" s="24"/>
    </row>
    <row r="307" ht="15.75" customHeight="1">
      <c r="B307" s="22"/>
      <c r="E307" s="23"/>
      <c r="F307" s="23"/>
      <c r="G307" s="24"/>
      <c r="H307" s="24"/>
      <c r="J307" s="24"/>
      <c r="K307" s="24"/>
    </row>
    <row r="308" ht="15.75" customHeight="1">
      <c r="B308" s="22"/>
      <c r="E308" s="23"/>
      <c r="F308" s="23"/>
      <c r="G308" s="24"/>
      <c r="H308" s="24"/>
      <c r="J308" s="24"/>
      <c r="K308" s="24"/>
    </row>
    <row r="309" ht="15.75" customHeight="1">
      <c r="B309" s="22"/>
      <c r="E309" s="23"/>
      <c r="F309" s="23"/>
      <c r="G309" s="24"/>
      <c r="H309" s="24"/>
      <c r="J309" s="24"/>
      <c r="K309" s="24"/>
    </row>
    <row r="310" ht="15.75" customHeight="1">
      <c r="B310" s="22"/>
      <c r="E310" s="23"/>
      <c r="F310" s="23"/>
      <c r="G310" s="24"/>
      <c r="H310" s="24"/>
      <c r="J310" s="24"/>
      <c r="K310" s="24"/>
    </row>
    <row r="311" ht="15.75" customHeight="1">
      <c r="B311" s="22"/>
      <c r="E311" s="23"/>
      <c r="F311" s="23"/>
      <c r="G311" s="24"/>
      <c r="H311" s="24"/>
      <c r="J311" s="24"/>
      <c r="K311" s="24"/>
    </row>
    <row r="312" ht="15.75" customHeight="1">
      <c r="B312" s="22"/>
      <c r="E312" s="23"/>
      <c r="F312" s="23"/>
      <c r="G312" s="24"/>
      <c r="H312" s="24"/>
      <c r="J312" s="24"/>
      <c r="K312" s="24"/>
    </row>
    <row r="313" ht="15.75" customHeight="1">
      <c r="B313" s="22"/>
      <c r="E313" s="23"/>
      <c r="F313" s="23"/>
      <c r="G313" s="24"/>
      <c r="H313" s="24"/>
      <c r="J313" s="24"/>
      <c r="K313" s="24"/>
    </row>
    <row r="314" ht="15.75" customHeight="1">
      <c r="B314" s="22"/>
      <c r="E314" s="23"/>
      <c r="F314" s="23"/>
      <c r="G314" s="24"/>
      <c r="H314" s="24"/>
      <c r="J314" s="24"/>
      <c r="K314" s="24"/>
    </row>
    <row r="315" ht="15.75" customHeight="1">
      <c r="B315" s="22"/>
      <c r="E315" s="23"/>
      <c r="F315" s="23"/>
      <c r="G315" s="24"/>
      <c r="H315" s="24"/>
      <c r="J315" s="24"/>
      <c r="K315" s="24"/>
    </row>
    <row r="316" ht="15.75" customHeight="1">
      <c r="B316" s="22"/>
      <c r="E316" s="23"/>
      <c r="F316" s="23"/>
      <c r="G316" s="24"/>
      <c r="H316" s="24"/>
      <c r="J316" s="24"/>
      <c r="K316" s="24"/>
    </row>
    <row r="317" ht="15.75" customHeight="1">
      <c r="B317" s="22"/>
      <c r="E317" s="23"/>
      <c r="F317" s="23"/>
      <c r="G317" s="24"/>
      <c r="H317" s="24"/>
      <c r="J317" s="24"/>
      <c r="K317" s="24"/>
    </row>
    <row r="318" ht="15.75" customHeight="1">
      <c r="B318" s="22"/>
      <c r="E318" s="23"/>
      <c r="F318" s="23"/>
      <c r="G318" s="24"/>
      <c r="H318" s="24"/>
      <c r="J318" s="24"/>
      <c r="K318" s="24"/>
    </row>
    <row r="319" ht="15.75" customHeight="1">
      <c r="B319" s="22"/>
      <c r="E319" s="23"/>
      <c r="F319" s="23"/>
      <c r="G319" s="24"/>
      <c r="H319" s="24"/>
      <c r="J319" s="24"/>
      <c r="K319" s="24"/>
    </row>
    <row r="320" ht="15.75" customHeight="1">
      <c r="B320" s="22"/>
      <c r="E320" s="23"/>
      <c r="F320" s="23"/>
      <c r="G320" s="24"/>
      <c r="H320" s="24"/>
      <c r="J320" s="24"/>
      <c r="K320" s="24"/>
    </row>
    <row r="321" ht="15.75" customHeight="1">
      <c r="B321" s="22"/>
      <c r="E321" s="23"/>
      <c r="F321" s="23"/>
      <c r="G321" s="24"/>
      <c r="H321" s="24"/>
      <c r="J321" s="24"/>
      <c r="K321" s="24"/>
    </row>
    <row r="322" ht="15.75" customHeight="1">
      <c r="B322" s="22"/>
      <c r="E322" s="23"/>
      <c r="F322" s="23"/>
      <c r="G322" s="24"/>
      <c r="H322" s="24"/>
      <c r="J322" s="24"/>
      <c r="K322" s="24"/>
    </row>
    <row r="323" ht="15.75" customHeight="1">
      <c r="B323" s="22"/>
      <c r="E323" s="23"/>
      <c r="F323" s="23"/>
      <c r="G323" s="24"/>
      <c r="H323" s="24"/>
      <c r="J323" s="24"/>
      <c r="K323" s="24"/>
    </row>
    <row r="324" ht="15.75" customHeight="1">
      <c r="B324" s="22"/>
      <c r="E324" s="23"/>
      <c r="F324" s="23"/>
      <c r="G324" s="24"/>
      <c r="H324" s="24"/>
      <c r="J324" s="24"/>
      <c r="K324" s="24"/>
    </row>
    <row r="325" ht="15.75" customHeight="1">
      <c r="B325" s="22"/>
      <c r="E325" s="23"/>
      <c r="F325" s="23"/>
      <c r="G325" s="24"/>
      <c r="H325" s="24"/>
      <c r="J325" s="24"/>
      <c r="K325" s="24"/>
    </row>
    <row r="326" ht="15.75" customHeight="1">
      <c r="B326" s="22"/>
      <c r="E326" s="23"/>
      <c r="F326" s="23"/>
      <c r="G326" s="24"/>
      <c r="H326" s="24"/>
      <c r="J326" s="24"/>
      <c r="K326" s="24"/>
    </row>
    <row r="327" ht="15.75" customHeight="1">
      <c r="B327" s="22"/>
      <c r="E327" s="23"/>
      <c r="F327" s="23"/>
      <c r="G327" s="24"/>
      <c r="H327" s="24"/>
      <c r="J327" s="24"/>
      <c r="K327" s="24"/>
    </row>
    <row r="328" ht="15.75" customHeight="1">
      <c r="B328" s="22"/>
      <c r="E328" s="23"/>
      <c r="F328" s="23"/>
      <c r="G328" s="24"/>
      <c r="H328" s="24"/>
      <c r="J328" s="24"/>
      <c r="K328" s="24"/>
    </row>
    <row r="329" ht="15.75" customHeight="1">
      <c r="B329" s="22"/>
      <c r="E329" s="23"/>
      <c r="F329" s="23"/>
      <c r="G329" s="24"/>
      <c r="H329" s="24"/>
      <c r="J329" s="24"/>
      <c r="K329" s="24"/>
    </row>
    <row r="330" ht="15.75" customHeight="1">
      <c r="B330" s="22"/>
      <c r="E330" s="23"/>
      <c r="F330" s="23"/>
      <c r="G330" s="24"/>
      <c r="H330" s="24"/>
      <c r="J330" s="24"/>
      <c r="K330" s="24"/>
    </row>
    <row r="331" ht="15.75" customHeight="1">
      <c r="B331" s="22"/>
      <c r="E331" s="23"/>
      <c r="F331" s="23"/>
      <c r="G331" s="24"/>
      <c r="H331" s="24"/>
      <c r="J331" s="24"/>
      <c r="K331" s="24"/>
    </row>
    <row r="332" ht="15.75" customHeight="1">
      <c r="B332" s="22"/>
      <c r="E332" s="23"/>
      <c r="F332" s="23"/>
      <c r="G332" s="24"/>
      <c r="H332" s="24"/>
      <c r="J332" s="24"/>
      <c r="K332" s="24"/>
    </row>
    <row r="333" ht="15.75" customHeight="1">
      <c r="B333" s="22"/>
      <c r="E333" s="23"/>
      <c r="F333" s="23"/>
      <c r="G333" s="24"/>
      <c r="H333" s="24"/>
      <c r="J333" s="24"/>
      <c r="K333" s="24"/>
    </row>
    <row r="334" ht="15.75" customHeight="1">
      <c r="B334" s="22"/>
      <c r="E334" s="23"/>
      <c r="F334" s="23"/>
      <c r="G334" s="24"/>
      <c r="H334" s="24"/>
      <c r="J334" s="24"/>
      <c r="K334" s="24"/>
    </row>
    <row r="335" ht="15.75" customHeight="1">
      <c r="B335" s="22"/>
      <c r="E335" s="23"/>
      <c r="F335" s="23"/>
      <c r="G335" s="24"/>
      <c r="H335" s="24"/>
      <c r="J335" s="24"/>
      <c r="K335" s="24"/>
    </row>
    <row r="336" ht="15.75" customHeight="1">
      <c r="B336" s="22"/>
      <c r="E336" s="23"/>
      <c r="F336" s="23"/>
      <c r="G336" s="24"/>
      <c r="H336" s="24"/>
      <c r="J336" s="24"/>
      <c r="K336" s="24"/>
    </row>
    <row r="337" ht="15.75" customHeight="1">
      <c r="B337" s="22"/>
      <c r="E337" s="23"/>
      <c r="F337" s="23"/>
      <c r="G337" s="24"/>
      <c r="H337" s="24"/>
      <c r="J337" s="24"/>
      <c r="K337" s="24"/>
    </row>
    <row r="338" ht="15.75" customHeight="1">
      <c r="B338" s="22"/>
      <c r="E338" s="23"/>
      <c r="F338" s="23"/>
      <c r="G338" s="24"/>
      <c r="H338" s="24"/>
      <c r="J338" s="24"/>
      <c r="K338" s="24"/>
    </row>
    <row r="339" ht="15.75" customHeight="1">
      <c r="B339" s="22"/>
      <c r="E339" s="23"/>
      <c r="F339" s="23"/>
      <c r="G339" s="24"/>
      <c r="H339" s="24"/>
      <c r="J339" s="24"/>
      <c r="K339" s="24"/>
    </row>
    <row r="340" ht="15.75" customHeight="1">
      <c r="B340" s="22"/>
      <c r="E340" s="23"/>
      <c r="F340" s="23"/>
      <c r="G340" s="24"/>
      <c r="H340" s="24"/>
      <c r="J340" s="24"/>
      <c r="K340" s="24"/>
    </row>
    <row r="341" ht="15.75" customHeight="1">
      <c r="B341" s="22"/>
      <c r="E341" s="23"/>
      <c r="F341" s="23"/>
      <c r="G341" s="24"/>
      <c r="H341" s="24"/>
      <c r="J341" s="24"/>
      <c r="K341" s="24"/>
    </row>
    <row r="342" ht="15.75" customHeight="1">
      <c r="B342" s="22"/>
      <c r="E342" s="23"/>
      <c r="F342" s="23"/>
      <c r="G342" s="24"/>
      <c r="H342" s="24"/>
      <c r="J342" s="24"/>
      <c r="K342" s="24"/>
    </row>
    <row r="343" ht="15.75" customHeight="1">
      <c r="B343" s="22"/>
      <c r="E343" s="23"/>
      <c r="F343" s="23"/>
      <c r="G343" s="24"/>
      <c r="H343" s="24"/>
      <c r="J343" s="24"/>
      <c r="K343" s="24"/>
    </row>
    <row r="344" ht="15.75" customHeight="1">
      <c r="B344" s="22"/>
      <c r="E344" s="23"/>
      <c r="F344" s="23"/>
      <c r="G344" s="24"/>
      <c r="H344" s="24"/>
      <c r="J344" s="24"/>
      <c r="K344" s="24"/>
    </row>
    <row r="345" ht="15.75" customHeight="1">
      <c r="B345" s="22"/>
      <c r="E345" s="23"/>
      <c r="F345" s="23"/>
      <c r="G345" s="24"/>
      <c r="H345" s="24"/>
      <c r="J345" s="24"/>
      <c r="K345" s="24"/>
    </row>
    <row r="346" ht="15.75" customHeight="1">
      <c r="B346" s="22"/>
      <c r="E346" s="23"/>
      <c r="F346" s="23"/>
      <c r="G346" s="24"/>
      <c r="H346" s="24"/>
      <c r="J346" s="24"/>
      <c r="K346" s="24"/>
    </row>
    <row r="347" ht="15.75" customHeight="1">
      <c r="B347" s="22"/>
      <c r="E347" s="23"/>
      <c r="F347" s="23"/>
      <c r="G347" s="24"/>
      <c r="H347" s="24"/>
      <c r="J347" s="24"/>
      <c r="K347" s="24"/>
    </row>
    <row r="348" ht="15.75" customHeight="1">
      <c r="B348" s="22"/>
      <c r="E348" s="23"/>
      <c r="F348" s="23"/>
      <c r="G348" s="24"/>
      <c r="H348" s="24"/>
      <c r="J348" s="24"/>
      <c r="K348" s="24"/>
    </row>
    <row r="349" ht="15.75" customHeight="1">
      <c r="B349" s="22"/>
      <c r="E349" s="23"/>
      <c r="F349" s="23"/>
      <c r="G349" s="24"/>
      <c r="H349" s="24"/>
      <c r="J349" s="24"/>
      <c r="K349" s="24"/>
    </row>
    <row r="350" ht="15.75" customHeight="1">
      <c r="B350" s="22"/>
      <c r="E350" s="23"/>
      <c r="F350" s="23"/>
      <c r="G350" s="24"/>
      <c r="H350" s="24"/>
      <c r="J350" s="24"/>
      <c r="K350" s="24"/>
    </row>
    <row r="351" ht="15.75" customHeight="1">
      <c r="B351" s="22"/>
      <c r="E351" s="23"/>
      <c r="F351" s="23"/>
      <c r="G351" s="24"/>
      <c r="H351" s="24"/>
      <c r="J351" s="24"/>
      <c r="K351" s="24"/>
    </row>
    <row r="352" ht="15.75" customHeight="1">
      <c r="B352" s="22"/>
      <c r="E352" s="23"/>
      <c r="F352" s="23"/>
      <c r="G352" s="24"/>
      <c r="H352" s="24"/>
      <c r="J352" s="24"/>
      <c r="K352" s="24"/>
    </row>
    <row r="353" ht="15.75" customHeight="1">
      <c r="B353" s="22"/>
      <c r="E353" s="23"/>
      <c r="F353" s="23"/>
      <c r="G353" s="24"/>
      <c r="H353" s="24"/>
      <c r="J353" s="24"/>
      <c r="K353" s="24"/>
    </row>
    <row r="354" ht="15.75" customHeight="1">
      <c r="B354" s="22"/>
      <c r="E354" s="23"/>
      <c r="F354" s="23"/>
      <c r="G354" s="24"/>
      <c r="H354" s="24"/>
      <c r="J354" s="24"/>
      <c r="K354" s="24"/>
    </row>
    <row r="355" ht="15.75" customHeight="1">
      <c r="B355" s="22"/>
      <c r="E355" s="23"/>
      <c r="F355" s="23"/>
      <c r="G355" s="24"/>
      <c r="H355" s="24"/>
      <c r="J355" s="24"/>
      <c r="K355" s="24"/>
    </row>
    <row r="356" ht="15.75" customHeight="1">
      <c r="B356" s="22"/>
      <c r="E356" s="23"/>
      <c r="F356" s="23"/>
      <c r="G356" s="24"/>
      <c r="H356" s="24"/>
      <c r="J356" s="24"/>
      <c r="K356" s="24"/>
    </row>
    <row r="357" ht="15.75" customHeight="1">
      <c r="B357" s="22"/>
      <c r="E357" s="23"/>
      <c r="F357" s="23"/>
      <c r="G357" s="24"/>
      <c r="H357" s="24"/>
      <c r="J357" s="24"/>
      <c r="K357" s="24"/>
    </row>
    <row r="358" ht="15.75" customHeight="1">
      <c r="B358" s="22"/>
      <c r="E358" s="23"/>
      <c r="F358" s="23"/>
      <c r="G358" s="24"/>
      <c r="H358" s="24"/>
      <c r="J358" s="24"/>
      <c r="K358" s="24"/>
    </row>
    <row r="359" ht="15.75" customHeight="1">
      <c r="B359" s="22"/>
      <c r="E359" s="23"/>
      <c r="F359" s="23"/>
      <c r="G359" s="24"/>
      <c r="H359" s="24"/>
      <c r="J359" s="24"/>
      <c r="K359" s="24"/>
    </row>
    <row r="360" ht="15.75" customHeight="1">
      <c r="B360" s="22"/>
      <c r="E360" s="23"/>
      <c r="F360" s="23"/>
      <c r="G360" s="24"/>
      <c r="H360" s="24"/>
      <c r="J360" s="24"/>
      <c r="K360" s="24"/>
    </row>
    <row r="361" ht="15.75" customHeight="1">
      <c r="B361" s="22"/>
      <c r="E361" s="23"/>
      <c r="F361" s="23"/>
      <c r="G361" s="24"/>
      <c r="H361" s="24"/>
      <c r="J361" s="24"/>
      <c r="K361" s="24"/>
    </row>
    <row r="362" ht="15.75" customHeight="1">
      <c r="B362" s="22"/>
      <c r="E362" s="23"/>
      <c r="F362" s="23"/>
      <c r="G362" s="24"/>
      <c r="H362" s="24"/>
      <c r="J362" s="24"/>
      <c r="K362" s="24"/>
    </row>
    <row r="363" ht="15.75" customHeight="1">
      <c r="B363" s="22"/>
      <c r="E363" s="23"/>
      <c r="F363" s="23"/>
      <c r="G363" s="24"/>
      <c r="H363" s="24"/>
      <c r="J363" s="24"/>
      <c r="K363" s="24"/>
    </row>
    <row r="364" ht="15.75" customHeight="1">
      <c r="B364" s="22"/>
      <c r="E364" s="23"/>
      <c r="F364" s="23"/>
      <c r="G364" s="24"/>
      <c r="H364" s="24"/>
      <c r="J364" s="24"/>
      <c r="K364" s="24"/>
    </row>
    <row r="365" ht="15.75" customHeight="1">
      <c r="B365" s="22"/>
      <c r="E365" s="23"/>
      <c r="F365" s="23"/>
      <c r="G365" s="24"/>
      <c r="H365" s="24"/>
      <c r="J365" s="24"/>
      <c r="K365" s="24"/>
    </row>
    <row r="366" ht="15.75" customHeight="1">
      <c r="B366" s="22"/>
      <c r="E366" s="23"/>
      <c r="F366" s="23"/>
      <c r="G366" s="24"/>
      <c r="H366" s="24"/>
      <c r="J366" s="24"/>
      <c r="K366" s="24"/>
    </row>
    <row r="367" ht="15.75" customHeight="1">
      <c r="B367" s="22"/>
      <c r="E367" s="23"/>
      <c r="F367" s="23"/>
      <c r="G367" s="24"/>
      <c r="H367" s="24"/>
      <c r="J367" s="24"/>
      <c r="K367" s="24"/>
    </row>
    <row r="368" ht="15.75" customHeight="1">
      <c r="B368" s="22"/>
      <c r="E368" s="23"/>
      <c r="F368" s="23"/>
      <c r="G368" s="24"/>
      <c r="H368" s="24"/>
      <c r="J368" s="24"/>
      <c r="K368" s="24"/>
    </row>
    <row r="369" ht="15.75" customHeight="1">
      <c r="B369" s="22"/>
      <c r="E369" s="23"/>
      <c r="F369" s="23"/>
      <c r="G369" s="24"/>
      <c r="H369" s="24"/>
      <c r="J369" s="24"/>
      <c r="K369" s="24"/>
    </row>
    <row r="370" ht="15.75" customHeight="1">
      <c r="B370" s="22"/>
      <c r="E370" s="23"/>
      <c r="F370" s="23"/>
      <c r="G370" s="24"/>
      <c r="H370" s="24"/>
      <c r="J370" s="24"/>
      <c r="K370" s="24"/>
    </row>
    <row r="371" ht="15.75" customHeight="1">
      <c r="B371" s="22"/>
      <c r="E371" s="23"/>
      <c r="F371" s="23"/>
      <c r="G371" s="24"/>
      <c r="H371" s="24"/>
      <c r="J371" s="24"/>
      <c r="K371" s="24"/>
    </row>
    <row r="372" ht="15.75" customHeight="1">
      <c r="B372" s="22"/>
      <c r="E372" s="23"/>
      <c r="F372" s="23"/>
      <c r="G372" s="24"/>
      <c r="H372" s="24"/>
      <c r="J372" s="24"/>
      <c r="K372" s="24"/>
    </row>
    <row r="373" ht="15.75" customHeight="1">
      <c r="B373" s="22"/>
      <c r="E373" s="23"/>
      <c r="F373" s="23"/>
      <c r="G373" s="24"/>
      <c r="H373" s="24"/>
      <c r="J373" s="24"/>
      <c r="K373" s="24"/>
    </row>
    <row r="374" ht="15.75" customHeight="1">
      <c r="B374" s="22"/>
      <c r="E374" s="23"/>
      <c r="F374" s="23"/>
      <c r="G374" s="24"/>
      <c r="H374" s="24"/>
      <c r="J374" s="24"/>
      <c r="K374" s="24"/>
    </row>
    <row r="375" ht="15.75" customHeight="1">
      <c r="B375" s="22"/>
      <c r="E375" s="23"/>
      <c r="F375" s="23"/>
      <c r="G375" s="24"/>
      <c r="H375" s="24"/>
      <c r="J375" s="24"/>
      <c r="K375" s="24"/>
    </row>
    <row r="376" ht="15.75" customHeight="1">
      <c r="B376" s="22"/>
      <c r="E376" s="23"/>
      <c r="F376" s="23"/>
      <c r="G376" s="24"/>
      <c r="H376" s="24"/>
      <c r="J376" s="24"/>
      <c r="K376" s="24"/>
    </row>
    <row r="377" ht="15.75" customHeight="1">
      <c r="B377" s="22"/>
      <c r="E377" s="23"/>
      <c r="F377" s="23"/>
      <c r="G377" s="24"/>
      <c r="H377" s="24"/>
      <c r="J377" s="24"/>
      <c r="K377" s="24"/>
    </row>
    <row r="378" ht="15.75" customHeight="1">
      <c r="B378" s="22"/>
      <c r="E378" s="23"/>
      <c r="F378" s="23"/>
      <c r="G378" s="24"/>
      <c r="H378" s="24"/>
      <c r="J378" s="24"/>
      <c r="K378" s="24"/>
    </row>
    <row r="379" ht="15.75" customHeight="1">
      <c r="B379" s="22"/>
      <c r="E379" s="23"/>
      <c r="F379" s="23"/>
      <c r="G379" s="24"/>
      <c r="H379" s="24"/>
      <c r="J379" s="24"/>
      <c r="K379" s="24"/>
    </row>
    <row r="380" ht="15.75" customHeight="1">
      <c r="B380" s="22"/>
      <c r="E380" s="23"/>
      <c r="F380" s="23"/>
      <c r="G380" s="24"/>
      <c r="H380" s="24"/>
      <c r="J380" s="24"/>
      <c r="K380" s="24"/>
    </row>
    <row r="381" ht="15.75" customHeight="1">
      <c r="B381" s="22"/>
      <c r="E381" s="23"/>
      <c r="F381" s="23"/>
      <c r="G381" s="24"/>
      <c r="H381" s="24"/>
      <c r="J381" s="24"/>
      <c r="K381" s="24"/>
    </row>
    <row r="382" ht="15.75" customHeight="1">
      <c r="B382" s="22"/>
      <c r="E382" s="23"/>
      <c r="F382" s="23"/>
      <c r="G382" s="24"/>
      <c r="H382" s="24"/>
      <c r="J382" s="24"/>
      <c r="K382" s="24"/>
    </row>
    <row r="383" ht="15.75" customHeight="1">
      <c r="B383" s="22"/>
      <c r="E383" s="23"/>
      <c r="F383" s="23"/>
      <c r="G383" s="24"/>
      <c r="H383" s="24"/>
      <c r="J383" s="24"/>
      <c r="K383" s="24"/>
    </row>
    <row r="384" ht="15.75" customHeight="1">
      <c r="B384" s="22"/>
      <c r="E384" s="23"/>
      <c r="F384" s="23"/>
      <c r="G384" s="24"/>
      <c r="H384" s="24"/>
      <c r="J384" s="24"/>
      <c r="K384" s="24"/>
    </row>
    <row r="385" ht="15.75" customHeight="1">
      <c r="B385" s="22"/>
      <c r="E385" s="23"/>
      <c r="F385" s="23"/>
      <c r="G385" s="24"/>
      <c r="H385" s="24"/>
      <c r="J385" s="24"/>
      <c r="K385" s="24"/>
    </row>
    <row r="386" ht="15.75" customHeight="1">
      <c r="B386" s="22"/>
      <c r="E386" s="23"/>
      <c r="F386" s="23"/>
      <c r="G386" s="24"/>
      <c r="H386" s="24"/>
      <c r="J386" s="24"/>
      <c r="K386" s="24"/>
    </row>
    <row r="387" ht="15.75" customHeight="1">
      <c r="B387" s="22"/>
      <c r="E387" s="23"/>
      <c r="F387" s="23"/>
      <c r="G387" s="24"/>
      <c r="H387" s="24"/>
      <c r="J387" s="24"/>
      <c r="K387" s="24"/>
    </row>
    <row r="388" ht="15.75" customHeight="1">
      <c r="B388" s="22"/>
      <c r="E388" s="23"/>
      <c r="F388" s="23"/>
      <c r="G388" s="24"/>
      <c r="H388" s="24"/>
      <c r="J388" s="24"/>
      <c r="K388" s="24"/>
    </row>
    <row r="389" ht="15.75" customHeight="1">
      <c r="B389" s="22"/>
      <c r="E389" s="23"/>
      <c r="F389" s="23"/>
      <c r="G389" s="24"/>
      <c r="H389" s="24"/>
      <c r="J389" s="24"/>
      <c r="K389" s="24"/>
    </row>
    <row r="390" ht="15.75" customHeight="1">
      <c r="B390" s="22"/>
      <c r="E390" s="23"/>
      <c r="F390" s="23"/>
      <c r="G390" s="24"/>
      <c r="H390" s="24"/>
      <c r="J390" s="24"/>
      <c r="K390" s="24"/>
    </row>
    <row r="391" ht="15.75" customHeight="1">
      <c r="B391" s="22"/>
      <c r="E391" s="23"/>
      <c r="F391" s="23"/>
      <c r="G391" s="24"/>
      <c r="H391" s="24"/>
      <c r="J391" s="24"/>
      <c r="K391" s="24"/>
    </row>
    <row r="392" ht="15.75" customHeight="1">
      <c r="B392" s="22"/>
      <c r="E392" s="23"/>
      <c r="F392" s="23"/>
      <c r="G392" s="24"/>
      <c r="H392" s="24"/>
      <c r="J392" s="24"/>
      <c r="K392" s="24"/>
    </row>
    <row r="393" ht="15.75" customHeight="1">
      <c r="B393" s="22"/>
      <c r="E393" s="23"/>
      <c r="F393" s="23"/>
      <c r="G393" s="24"/>
      <c r="H393" s="24"/>
      <c r="J393" s="24"/>
      <c r="K393" s="24"/>
    </row>
    <row r="394" ht="15.75" customHeight="1">
      <c r="B394" s="22"/>
      <c r="E394" s="23"/>
      <c r="F394" s="23"/>
      <c r="G394" s="24"/>
      <c r="H394" s="24"/>
      <c r="J394" s="24"/>
      <c r="K394" s="24"/>
    </row>
    <row r="395" ht="15.75" customHeight="1">
      <c r="B395" s="22"/>
      <c r="E395" s="23"/>
      <c r="F395" s="23"/>
      <c r="G395" s="24"/>
      <c r="H395" s="24"/>
      <c r="J395" s="24"/>
      <c r="K395" s="24"/>
    </row>
    <row r="396" ht="15.75" customHeight="1">
      <c r="B396" s="22"/>
      <c r="E396" s="23"/>
      <c r="F396" s="23"/>
      <c r="G396" s="24"/>
      <c r="H396" s="24"/>
      <c r="J396" s="24"/>
      <c r="K396" s="24"/>
    </row>
    <row r="397" ht="15.75" customHeight="1">
      <c r="B397" s="22"/>
      <c r="E397" s="23"/>
      <c r="F397" s="23"/>
      <c r="G397" s="24"/>
      <c r="H397" s="24"/>
      <c r="J397" s="24"/>
      <c r="K397" s="24"/>
    </row>
    <row r="398" ht="15.75" customHeight="1">
      <c r="B398" s="22"/>
      <c r="E398" s="23"/>
      <c r="F398" s="23"/>
      <c r="G398" s="24"/>
      <c r="H398" s="24"/>
      <c r="J398" s="24"/>
      <c r="K398" s="24"/>
    </row>
    <row r="399" ht="15.75" customHeight="1">
      <c r="B399" s="22"/>
      <c r="E399" s="23"/>
      <c r="F399" s="23"/>
      <c r="G399" s="24"/>
      <c r="H399" s="24"/>
      <c r="J399" s="24"/>
      <c r="K399" s="24"/>
    </row>
    <row r="400" ht="15.75" customHeight="1">
      <c r="B400" s="22"/>
      <c r="E400" s="23"/>
      <c r="F400" s="23"/>
      <c r="G400" s="24"/>
      <c r="H400" s="24"/>
      <c r="J400" s="24"/>
      <c r="K400" s="24"/>
    </row>
    <row r="401" ht="15.75" customHeight="1">
      <c r="B401" s="22"/>
      <c r="E401" s="23"/>
      <c r="F401" s="23"/>
      <c r="G401" s="24"/>
      <c r="H401" s="24"/>
      <c r="J401" s="24"/>
      <c r="K401" s="24"/>
    </row>
    <row r="402" ht="15.75" customHeight="1">
      <c r="B402" s="22"/>
      <c r="E402" s="23"/>
      <c r="F402" s="23"/>
      <c r="G402" s="24"/>
      <c r="H402" s="24"/>
      <c r="J402" s="24"/>
      <c r="K402" s="24"/>
    </row>
    <row r="403" ht="15.75" customHeight="1">
      <c r="B403" s="22"/>
      <c r="E403" s="23"/>
      <c r="F403" s="23"/>
      <c r="G403" s="24"/>
      <c r="H403" s="24"/>
      <c r="J403" s="24"/>
      <c r="K403" s="24"/>
    </row>
    <row r="404" ht="15.75" customHeight="1">
      <c r="B404" s="22"/>
      <c r="E404" s="23"/>
      <c r="F404" s="23"/>
      <c r="G404" s="24"/>
      <c r="H404" s="24"/>
      <c r="J404" s="24"/>
      <c r="K404" s="24"/>
    </row>
    <row r="405" ht="15.75" customHeight="1">
      <c r="B405" s="22"/>
      <c r="E405" s="23"/>
      <c r="F405" s="23"/>
      <c r="G405" s="24"/>
      <c r="H405" s="24"/>
      <c r="J405" s="24"/>
      <c r="K405" s="24"/>
    </row>
    <row r="406" ht="15.75" customHeight="1">
      <c r="B406" s="22"/>
      <c r="E406" s="23"/>
      <c r="F406" s="23"/>
      <c r="G406" s="24"/>
      <c r="H406" s="24"/>
      <c r="J406" s="24"/>
      <c r="K406" s="24"/>
    </row>
    <row r="407" ht="15.75" customHeight="1">
      <c r="B407" s="22"/>
      <c r="E407" s="23"/>
      <c r="F407" s="23"/>
      <c r="G407" s="24"/>
      <c r="H407" s="24"/>
      <c r="J407" s="24"/>
      <c r="K407" s="24"/>
    </row>
    <row r="408" ht="15.75" customHeight="1">
      <c r="B408" s="22"/>
      <c r="E408" s="23"/>
      <c r="F408" s="23"/>
      <c r="G408" s="24"/>
      <c r="H408" s="24"/>
      <c r="J408" s="24"/>
      <c r="K408" s="24"/>
    </row>
    <row r="409" ht="15.75" customHeight="1">
      <c r="B409" s="22"/>
      <c r="E409" s="23"/>
      <c r="F409" s="23"/>
      <c r="G409" s="24"/>
      <c r="H409" s="24"/>
      <c r="J409" s="24"/>
      <c r="K409" s="24"/>
    </row>
    <row r="410" ht="15.75" customHeight="1">
      <c r="B410" s="22"/>
      <c r="E410" s="23"/>
      <c r="F410" s="23"/>
      <c r="G410" s="24"/>
      <c r="H410" s="24"/>
      <c r="J410" s="24"/>
      <c r="K410" s="24"/>
    </row>
    <row r="411" ht="15.75" customHeight="1">
      <c r="B411" s="22"/>
      <c r="E411" s="23"/>
      <c r="F411" s="23"/>
      <c r="G411" s="24"/>
      <c r="H411" s="24"/>
      <c r="J411" s="24"/>
      <c r="K411" s="24"/>
    </row>
    <row r="412" ht="15.75" customHeight="1">
      <c r="B412" s="22"/>
      <c r="E412" s="23"/>
      <c r="F412" s="23"/>
      <c r="G412" s="24"/>
      <c r="H412" s="24"/>
      <c r="J412" s="24"/>
      <c r="K412" s="24"/>
    </row>
    <row r="413" ht="15.75" customHeight="1">
      <c r="B413" s="22"/>
      <c r="E413" s="23"/>
      <c r="F413" s="23"/>
      <c r="G413" s="24"/>
      <c r="H413" s="24"/>
      <c r="J413" s="24"/>
      <c r="K413" s="24"/>
    </row>
    <row r="414" ht="15.75" customHeight="1">
      <c r="B414" s="22"/>
      <c r="E414" s="23"/>
      <c r="F414" s="23"/>
      <c r="G414" s="24"/>
      <c r="H414" s="24"/>
      <c r="J414" s="24"/>
      <c r="K414" s="24"/>
    </row>
    <row r="415" ht="15.75" customHeight="1">
      <c r="B415" s="22"/>
      <c r="E415" s="23"/>
      <c r="F415" s="23"/>
      <c r="G415" s="24"/>
      <c r="H415" s="24"/>
      <c r="J415" s="24"/>
      <c r="K415" s="24"/>
    </row>
    <row r="416" ht="15.75" customHeight="1">
      <c r="B416" s="22"/>
      <c r="E416" s="23"/>
      <c r="F416" s="23"/>
      <c r="G416" s="24"/>
      <c r="H416" s="24"/>
      <c r="J416" s="24"/>
      <c r="K416" s="24"/>
    </row>
    <row r="417" ht="15.75" customHeight="1">
      <c r="B417" s="22"/>
      <c r="E417" s="23"/>
      <c r="F417" s="23"/>
      <c r="G417" s="24"/>
      <c r="H417" s="24"/>
      <c r="J417" s="24"/>
      <c r="K417" s="24"/>
    </row>
    <row r="418" ht="15.75" customHeight="1">
      <c r="B418" s="22"/>
      <c r="E418" s="23"/>
      <c r="F418" s="23"/>
      <c r="G418" s="24"/>
      <c r="H418" s="24"/>
      <c r="J418" s="24"/>
      <c r="K418" s="24"/>
    </row>
    <row r="419" ht="15.75" customHeight="1">
      <c r="B419" s="22"/>
      <c r="E419" s="23"/>
      <c r="F419" s="23"/>
      <c r="G419" s="24"/>
      <c r="H419" s="24"/>
      <c r="J419" s="24"/>
      <c r="K419" s="24"/>
    </row>
    <row r="420" ht="15.75" customHeight="1">
      <c r="B420" s="22"/>
      <c r="E420" s="23"/>
      <c r="F420" s="23"/>
      <c r="G420" s="24"/>
      <c r="H420" s="24"/>
      <c r="J420" s="24"/>
      <c r="K420" s="24"/>
    </row>
    <row r="421" ht="15.75" customHeight="1">
      <c r="B421" s="22"/>
      <c r="E421" s="23"/>
      <c r="F421" s="23"/>
      <c r="G421" s="24"/>
      <c r="H421" s="24"/>
      <c r="J421" s="24"/>
      <c r="K421" s="24"/>
    </row>
    <row r="422" ht="15.75" customHeight="1">
      <c r="B422" s="22"/>
      <c r="E422" s="23"/>
      <c r="F422" s="23"/>
      <c r="G422" s="24"/>
      <c r="H422" s="24"/>
      <c r="J422" s="24"/>
      <c r="K422" s="24"/>
    </row>
    <row r="423" ht="15.75" customHeight="1">
      <c r="B423" s="22"/>
      <c r="E423" s="23"/>
      <c r="F423" s="23"/>
      <c r="G423" s="24"/>
      <c r="H423" s="24"/>
      <c r="J423" s="24"/>
      <c r="K423" s="24"/>
    </row>
    <row r="424" ht="15.75" customHeight="1">
      <c r="B424" s="22"/>
      <c r="E424" s="23"/>
      <c r="F424" s="23"/>
      <c r="G424" s="24"/>
      <c r="H424" s="24"/>
      <c r="J424" s="24"/>
      <c r="K424" s="24"/>
    </row>
    <row r="425" ht="15.75" customHeight="1">
      <c r="B425" s="22"/>
      <c r="E425" s="23"/>
      <c r="F425" s="23"/>
      <c r="G425" s="24"/>
      <c r="H425" s="24"/>
      <c r="J425" s="24"/>
      <c r="K425" s="24"/>
    </row>
    <row r="426" ht="15.75" customHeight="1">
      <c r="B426" s="22"/>
      <c r="E426" s="23"/>
      <c r="F426" s="23"/>
      <c r="G426" s="24"/>
      <c r="H426" s="24"/>
      <c r="J426" s="24"/>
      <c r="K426" s="24"/>
    </row>
    <row r="427" ht="15.75" customHeight="1">
      <c r="B427" s="22"/>
      <c r="E427" s="23"/>
      <c r="F427" s="23"/>
      <c r="G427" s="24"/>
      <c r="H427" s="24"/>
      <c r="J427" s="24"/>
      <c r="K427" s="24"/>
    </row>
    <row r="428" ht="15.75" customHeight="1">
      <c r="B428" s="22"/>
      <c r="E428" s="23"/>
      <c r="F428" s="23"/>
      <c r="G428" s="24"/>
      <c r="H428" s="24"/>
      <c r="J428" s="24"/>
      <c r="K428" s="24"/>
    </row>
    <row r="429" ht="15.75" customHeight="1">
      <c r="B429" s="22"/>
      <c r="E429" s="23"/>
      <c r="F429" s="23"/>
      <c r="G429" s="24"/>
      <c r="H429" s="24"/>
      <c r="J429" s="24"/>
      <c r="K429" s="24"/>
    </row>
    <row r="430" ht="15.75" customHeight="1">
      <c r="B430" s="22"/>
      <c r="E430" s="23"/>
      <c r="F430" s="23"/>
      <c r="G430" s="24"/>
      <c r="H430" s="24"/>
      <c r="J430" s="24"/>
      <c r="K430" s="24"/>
    </row>
    <row r="431" ht="15.75" customHeight="1">
      <c r="B431" s="22"/>
      <c r="E431" s="23"/>
      <c r="F431" s="23"/>
      <c r="G431" s="24"/>
      <c r="H431" s="24"/>
      <c r="J431" s="24"/>
      <c r="K431" s="24"/>
    </row>
    <row r="432" ht="15.75" customHeight="1">
      <c r="B432" s="22"/>
      <c r="E432" s="23"/>
      <c r="F432" s="23"/>
      <c r="G432" s="24"/>
      <c r="H432" s="24"/>
      <c r="J432" s="24"/>
      <c r="K432" s="24"/>
    </row>
    <row r="433" ht="15.75" customHeight="1">
      <c r="B433" s="22"/>
      <c r="E433" s="23"/>
      <c r="F433" s="23"/>
      <c r="G433" s="24"/>
      <c r="H433" s="24"/>
      <c r="J433" s="24"/>
      <c r="K433" s="24"/>
    </row>
    <row r="434" ht="15.75" customHeight="1">
      <c r="B434" s="22"/>
      <c r="E434" s="23"/>
      <c r="F434" s="23"/>
      <c r="G434" s="24"/>
      <c r="H434" s="24"/>
      <c r="J434" s="24"/>
      <c r="K434" s="24"/>
    </row>
    <row r="435" ht="15.75" customHeight="1">
      <c r="B435" s="22"/>
      <c r="E435" s="23"/>
      <c r="F435" s="23"/>
      <c r="G435" s="24"/>
      <c r="H435" s="24"/>
      <c r="J435" s="24"/>
      <c r="K435" s="24"/>
    </row>
    <row r="436" ht="15.75" customHeight="1">
      <c r="B436" s="22"/>
      <c r="E436" s="23"/>
      <c r="F436" s="23"/>
      <c r="G436" s="24"/>
      <c r="H436" s="24"/>
      <c r="J436" s="24"/>
      <c r="K436" s="24"/>
    </row>
    <row r="437" ht="15.75" customHeight="1">
      <c r="B437" s="22"/>
      <c r="E437" s="23"/>
      <c r="F437" s="23"/>
      <c r="G437" s="24"/>
      <c r="H437" s="24"/>
      <c r="J437" s="24"/>
      <c r="K437" s="24"/>
    </row>
    <row r="438" ht="15.75" customHeight="1">
      <c r="B438" s="22"/>
      <c r="E438" s="23"/>
      <c r="F438" s="23"/>
      <c r="G438" s="24"/>
      <c r="H438" s="24"/>
      <c r="J438" s="24"/>
      <c r="K438" s="24"/>
    </row>
    <row r="439" ht="15.75" customHeight="1">
      <c r="B439" s="22"/>
      <c r="E439" s="23"/>
      <c r="F439" s="23"/>
      <c r="G439" s="24"/>
      <c r="H439" s="24"/>
      <c r="J439" s="24"/>
      <c r="K439" s="24"/>
    </row>
    <row r="440" ht="15.75" customHeight="1">
      <c r="B440" s="22"/>
      <c r="E440" s="23"/>
      <c r="F440" s="23"/>
      <c r="G440" s="24"/>
      <c r="H440" s="24"/>
      <c r="J440" s="24"/>
      <c r="K440" s="24"/>
    </row>
    <row r="441" ht="15.75" customHeight="1">
      <c r="B441" s="22"/>
      <c r="E441" s="23"/>
      <c r="F441" s="23"/>
      <c r="G441" s="24"/>
      <c r="H441" s="24"/>
      <c r="J441" s="24"/>
      <c r="K441" s="24"/>
    </row>
    <row r="442" ht="15.75" customHeight="1">
      <c r="B442" s="22"/>
      <c r="E442" s="23"/>
      <c r="F442" s="23"/>
      <c r="G442" s="24"/>
      <c r="H442" s="24"/>
      <c r="J442" s="24"/>
      <c r="K442" s="24"/>
    </row>
    <row r="443" ht="15.75" customHeight="1">
      <c r="B443" s="22"/>
      <c r="E443" s="23"/>
      <c r="F443" s="23"/>
      <c r="G443" s="24"/>
      <c r="H443" s="24"/>
      <c r="J443" s="24"/>
      <c r="K443" s="24"/>
    </row>
    <row r="444" ht="15.75" customHeight="1">
      <c r="B444" s="22"/>
      <c r="E444" s="23"/>
      <c r="F444" s="23"/>
      <c r="G444" s="24"/>
      <c r="H444" s="24"/>
      <c r="J444" s="24"/>
      <c r="K444" s="24"/>
    </row>
    <row r="445" ht="15.75" customHeight="1">
      <c r="B445" s="22"/>
      <c r="E445" s="23"/>
      <c r="F445" s="23"/>
      <c r="G445" s="24"/>
      <c r="H445" s="24"/>
      <c r="J445" s="24"/>
      <c r="K445" s="24"/>
    </row>
    <row r="446" ht="15.75" customHeight="1">
      <c r="B446" s="22"/>
      <c r="E446" s="23"/>
      <c r="F446" s="23"/>
      <c r="G446" s="24"/>
      <c r="H446" s="24"/>
      <c r="J446" s="24"/>
      <c r="K446" s="24"/>
    </row>
    <row r="447" ht="15.75" customHeight="1">
      <c r="B447" s="22"/>
      <c r="E447" s="23"/>
      <c r="F447" s="23"/>
      <c r="G447" s="24"/>
      <c r="H447" s="24"/>
      <c r="J447" s="24"/>
      <c r="K447" s="24"/>
    </row>
    <row r="448" ht="15.75" customHeight="1">
      <c r="B448" s="22"/>
      <c r="E448" s="23"/>
      <c r="F448" s="23"/>
      <c r="G448" s="24"/>
      <c r="H448" s="24"/>
      <c r="J448" s="24"/>
      <c r="K448" s="24"/>
    </row>
    <row r="449" ht="15.75" customHeight="1">
      <c r="B449" s="22"/>
      <c r="E449" s="23"/>
      <c r="F449" s="23"/>
      <c r="G449" s="24"/>
      <c r="H449" s="24"/>
      <c r="J449" s="24"/>
      <c r="K449" s="24"/>
    </row>
    <row r="450" ht="15.75" customHeight="1">
      <c r="B450" s="22"/>
      <c r="E450" s="23"/>
      <c r="F450" s="23"/>
      <c r="G450" s="24"/>
      <c r="H450" s="24"/>
      <c r="J450" s="24"/>
      <c r="K450" s="24"/>
    </row>
    <row r="451" ht="15.75" customHeight="1">
      <c r="B451" s="22"/>
      <c r="E451" s="23"/>
      <c r="F451" s="23"/>
      <c r="G451" s="24"/>
      <c r="H451" s="24"/>
      <c r="J451" s="24"/>
      <c r="K451" s="24"/>
    </row>
    <row r="452" ht="15.75" customHeight="1">
      <c r="B452" s="22"/>
      <c r="E452" s="23"/>
      <c r="F452" s="23"/>
      <c r="G452" s="24"/>
      <c r="H452" s="24"/>
      <c r="J452" s="24"/>
      <c r="K452" s="24"/>
    </row>
    <row r="453" ht="15.75" customHeight="1">
      <c r="B453" s="22"/>
      <c r="E453" s="23"/>
      <c r="F453" s="23"/>
      <c r="G453" s="24"/>
      <c r="H453" s="24"/>
      <c r="J453" s="24"/>
      <c r="K453" s="24"/>
    </row>
    <row r="454" ht="15.75" customHeight="1">
      <c r="B454" s="22"/>
      <c r="E454" s="23"/>
      <c r="F454" s="23"/>
      <c r="G454" s="24"/>
      <c r="H454" s="24"/>
      <c r="J454" s="24"/>
      <c r="K454" s="24"/>
    </row>
    <row r="455" ht="15.75" customHeight="1">
      <c r="B455" s="22"/>
      <c r="E455" s="23"/>
      <c r="F455" s="23"/>
      <c r="G455" s="24"/>
      <c r="H455" s="24"/>
      <c r="J455" s="24"/>
      <c r="K455" s="24"/>
    </row>
    <row r="456" ht="15.75" customHeight="1">
      <c r="B456" s="22"/>
      <c r="E456" s="23"/>
      <c r="F456" s="23"/>
      <c r="G456" s="24"/>
      <c r="H456" s="24"/>
      <c r="J456" s="24"/>
      <c r="K456" s="24"/>
    </row>
    <row r="457" ht="15.75" customHeight="1">
      <c r="B457" s="22"/>
      <c r="E457" s="23"/>
      <c r="F457" s="23"/>
      <c r="G457" s="24"/>
      <c r="H457" s="24"/>
      <c r="J457" s="24"/>
      <c r="K457" s="24"/>
    </row>
    <row r="458" ht="15.75" customHeight="1">
      <c r="B458" s="22"/>
      <c r="E458" s="23"/>
      <c r="F458" s="23"/>
      <c r="G458" s="24"/>
      <c r="H458" s="24"/>
      <c r="J458" s="24"/>
      <c r="K458" s="24"/>
    </row>
    <row r="459" ht="15.75" customHeight="1">
      <c r="B459" s="22"/>
      <c r="E459" s="23"/>
      <c r="F459" s="23"/>
      <c r="G459" s="24"/>
      <c r="H459" s="24"/>
      <c r="J459" s="24"/>
      <c r="K459" s="24"/>
    </row>
    <row r="460" ht="15.75" customHeight="1">
      <c r="B460" s="22"/>
      <c r="E460" s="23"/>
      <c r="F460" s="23"/>
      <c r="G460" s="24"/>
      <c r="H460" s="24"/>
      <c r="J460" s="24"/>
      <c r="K460" s="24"/>
    </row>
    <row r="461" ht="15.75" customHeight="1">
      <c r="B461" s="22"/>
      <c r="E461" s="23"/>
      <c r="F461" s="23"/>
      <c r="G461" s="24"/>
      <c r="H461" s="24"/>
      <c r="J461" s="24"/>
      <c r="K461" s="24"/>
    </row>
    <row r="462" ht="15.75" customHeight="1">
      <c r="B462" s="22"/>
      <c r="E462" s="23"/>
      <c r="F462" s="23"/>
      <c r="G462" s="24"/>
      <c r="H462" s="24"/>
      <c r="J462" s="24"/>
      <c r="K462" s="24"/>
    </row>
    <row r="463" ht="15.75" customHeight="1">
      <c r="B463" s="22"/>
      <c r="E463" s="23"/>
      <c r="F463" s="23"/>
      <c r="G463" s="24"/>
      <c r="H463" s="24"/>
      <c r="J463" s="24"/>
      <c r="K463" s="24"/>
    </row>
    <row r="464" ht="15.75" customHeight="1">
      <c r="B464" s="22"/>
      <c r="E464" s="23"/>
      <c r="F464" s="23"/>
      <c r="G464" s="24"/>
      <c r="H464" s="24"/>
      <c r="J464" s="24"/>
      <c r="K464" s="24"/>
    </row>
    <row r="465" ht="15.75" customHeight="1">
      <c r="B465" s="22"/>
      <c r="E465" s="23"/>
      <c r="F465" s="23"/>
      <c r="G465" s="24"/>
      <c r="H465" s="24"/>
      <c r="J465" s="24"/>
      <c r="K465" s="24"/>
    </row>
    <row r="466" ht="15.75" customHeight="1">
      <c r="B466" s="22"/>
      <c r="E466" s="23"/>
      <c r="F466" s="23"/>
      <c r="G466" s="24"/>
      <c r="H466" s="24"/>
      <c r="J466" s="24"/>
      <c r="K466" s="24"/>
    </row>
    <row r="467" ht="15.75" customHeight="1">
      <c r="B467" s="22"/>
      <c r="E467" s="23"/>
      <c r="F467" s="23"/>
      <c r="G467" s="24"/>
      <c r="H467" s="24"/>
      <c r="J467" s="24"/>
      <c r="K467" s="24"/>
    </row>
    <row r="468" ht="15.75" customHeight="1">
      <c r="B468" s="22"/>
      <c r="E468" s="23"/>
      <c r="F468" s="23"/>
      <c r="G468" s="24"/>
      <c r="H468" s="24"/>
      <c r="J468" s="24"/>
      <c r="K468" s="24"/>
    </row>
    <row r="469" ht="15.75" customHeight="1">
      <c r="B469" s="22"/>
      <c r="E469" s="23"/>
      <c r="F469" s="23"/>
      <c r="G469" s="24"/>
      <c r="H469" s="24"/>
      <c r="J469" s="24"/>
      <c r="K469" s="24"/>
    </row>
    <row r="470" ht="15.75" customHeight="1">
      <c r="B470" s="22"/>
      <c r="E470" s="23"/>
      <c r="F470" s="23"/>
      <c r="G470" s="24"/>
      <c r="H470" s="24"/>
      <c r="J470" s="24"/>
      <c r="K470" s="24"/>
    </row>
    <row r="471" ht="15.75" customHeight="1">
      <c r="B471" s="22"/>
      <c r="E471" s="23"/>
      <c r="F471" s="23"/>
      <c r="G471" s="24"/>
      <c r="H471" s="24"/>
      <c r="J471" s="24"/>
      <c r="K471" s="24"/>
    </row>
    <row r="472" ht="15.75" customHeight="1">
      <c r="B472" s="22"/>
      <c r="E472" s="23"/>
      <c r="F472" s="23"/>
      <c r="G472" s="24"/>
      <c r="H472" s="24"/>
      <c r="J472" s="24"/>
      <c r="K472" s="24"/>
    </row>
    <row r="473" ht="15.75" customHeight="1">
      <c r="B473" s="22"/>
      <c r="E473" s="23"/>
      <c r="F473" s="23"/>
      <c r="G473" s="24"/>
      <c r="H473" s="24"/>
      <c r="J473" s="24"/>
      <c r="K473" s="24"/>
    </row>
    <row r="474" ht="15.75" customHeight="1">
      <c r="B474" s="22"/>
      <c r="E474" s="23"/>
      <c r="F474" s="23"/>
      <c r="G474" s="24"/>
      <c r="H474" s="24"/>
      <c r="J474" s="24"/>
      <c r="K474" s="24"/>
    </row>
    <row r="475" ht="15.75" customHeight="1">
      <c r="B475" s="22"/>
      <c r="E475" s="23"/>
      <c r="F475" s="23"/>
      <c r="G475" s="24"/>
      <c r="H475" s="24"/>
      <c r="J475" s="24"/>
      <c r="K475" s="24"/>
    </row>
    <row r="476" ht="15.75" customHeight="1">
      <c r="B476" s="22"/>
      <c r="E476" s="23"/>
      <c r="F476" s="23"/>
      <c r="G476" s="24"/>
      <c r="H476" s="24"/>
      <c r="J476" s="24"/>
      <c r="K476" s="24"/>
    </row>
    <row r="477" ht="15.75" customHeight="1">
      <c r="B477" s="22"/>
      <c r="E477" s="23"/>
      <c r="F477" s="23"/>
      <c r="G477" s="24"/>
      <c r="H477" s="24"/>
      <c r="J477" s="24"/>
      <c r="K477" s="24"/>
    </row>
    <row r="478" ht="15.75" customHeight="1">
      <c r="B478" s="22"/>
      <c r="E478" s="23"/>
      <c r="F478" s="23"/>
      <c r="G478" s="24"/>
      <c r="H478" s="24"/>
      <c r="J478" s="24"/>
      <c r="K478" s="24"/>
    </row>
    <row r="479" ht="15.75" customHeight="1">
      <c r="B479" s="22"/>
      <c r="E479" s="23"/>
      <c r="F479" s="23"/>
      <c r="G479" s="24"/>
      <c r="H479" s="24"/>
      <c r="J479" s="24"/>
      <c r="K479" s="24"/>
    </row>
    <row r="480" ht="15.75" customHeight="1">
      <c r="B480" s="22"/>
      <c r="E480" s="23"/>
      <c r="F480" s="23"/>
      <c r="G480" s="24"/>
      <c r="H480" s="24"/>
      <c r="J480" s="24"/>
      <c r="K480" s="24"/>
    </row>
    <row r="481" ht="15.75" customHeight="1">
      <c r="B481" s="22"/>
      <c r="E481" s="23"/>
      <c r="F481" s="23"/>
      <c r="G481" s="24"/>
      <c r="H481" s="24"/>
      <c r="J481" s="24"/>
      <c r="K481" s="24"/>
    </row>
    <row r="482" ht="15.75" customHeight="1">
      <c r="B482" s="22"/>
      <c r="E482" s="23"/>
      <c r="F482" s="23"/>
      <c r="G482" s="24"/>
      <c r="H482" s="24"/>
      <c r="J482" s="24"/>
      <c r="K482" s="24"/>
    </row>
    <row r="483" ht="15.75" customHeight="1">
      <c r="B483" s="22"/>
      <c r="E483" s="23"/>
      <c r="F483" s="23"/>
      <c r="G483" s="24"/>
      <c r="H483" s="24"/>
      <c r="J483" s="24"/>
      <c r="K483" s="24"/>
    </row>
    <row r="484" ht="15.75" customHeight="1">
      <c r="B484" s="22"/>
      <c r="E484" s="23"/>
      <c r="F484" s="23"/>
      <c r="G484" s="24"/>
      <c r="H484" s="24"/>
      <c r="J484" s="24"/>
      <c r="K484" s="24"/>
    </row>
    <row r="485" ht="15.75" customHeight="1">
      <c r="B485" s="22"/>
      <c r="E485" s="23"/>
      <c r="F485" s="23"/>
      <c r="G485" s="24"/>
      <c r="H485" s="24"/>
      <c r="J485" s="24"/>
      <c r="K485" s="24"/>
    </row>
    <row r="486" ht="15.75" customHeight="1">
      <c r="B486" s="22"/>
      <c r="E486" s="23"/>
      <c r="F486" s="23"/>
      <c r="G486" s="24"/>
      <c r="H486" s="24"/>
      <c r="J486" s="24"/>
      <c r="K486" s="24"/>
    </row>
    <row r="487" ht="15.75" customHeight="1">
      <c r="B487" s="22"/>
      <c r="E487" s="23"/>
      <c r="F487" s="23"/>
      <c r="G487" s="24"/>
      <c r="H487" s="24"/>
      <c r="J487" s="24"/>
      <c r="K487" s="24"/>
    </row>
    <row r="488" ht="15.75" customHeight="1">
      <c r="B488" s="22"/>
      <c r="E488" s="23"/>
      <c r="F488" s="23"/>
      <c r="G488" s="24"/>
      <c r="H488" s="24"/>
      <c r="J488" s="24"/>
      <c r="K488" s="24"/>
    </row>
    <row r="489" ht="15.75" customHeight="1">
      <c r="B489" s="22"/>
      <c r="E489" s="23"/>
      <c r="F489" s="23"/>
      <c r="G489" s="24"/>
      <c r="H489" s="24"/>
      <c r="J489" s="24"/>
      <c r="K489" s="24"/>
    </row>
    <row r="490" ht="15.75" customHeight="1">
      <c r="B490" s="22"/>
      <c r="E490" s="23"/>
      <c r="F490" s="23"/>
      <c r="G490" s="24"/>
      <c r="H490" s="24"/>
      <c r="J490" s="24"/>
      <c r="K490" s="24"/>
    </row>
    <row r="491" ht="15.75" customHeight="1">
      <c r="B491" s="22"/>
      <c r="E491" s="23"/>
      <c r="F491" s="23"/>
      <c r="G491" s="24"/>
      <c r="H491" s="24"/>
      <c r="J491" s="24"/>
      <c r="K491" s="24"/>
    </row>
    <row r="492" ht="15.75" customHeight="1">
      <c r="B492" s="22"/>
      <c r="E492" s="23"/>
      <c r="F492" s="23"/>
      <c r="G492" s="24"/>
      <c r="H492" s="24"/>
      <c r="J492" s="24"/>
      <c r="K492" s="24"/>
    </row>
    <row r="493" ht="15.75" customHeight="1">
      <c r="B493" s="22"/>
      <c r="E493" s="23"/>
      <c r="F493" s="23"/>
      <c r="G493" s="24"/>
      <c r="H493" s="24"/>
      <c r="J493" s="24"/>
      <c r="K493" s="24"/>
    </row>
    <row r="494" ht="15.75" customHeight="1">
      <c r="B494" s="22"/>
      <c r="E494" s="23"/>
      <c r="F494" s="23"/>
      <c r="G494" s="24"/>
      <c r="H494" s="24"/>
      <c r="J494" s="24"/>
      <c r="K494" s="24"/>
    </row>
    <row r="495" ht="15.75" customHeight="1">
      <c r="B495" s="22"/>
      <c r="E495" s="23"/>
      <c r="F495" s="23"/>
      <c r="G495" s="24"/>
      <c r="H495" s="24"/>
      <c r="J495" s="24"/>
      <c r="K495" s="24"/>
    </row>
    <row r="496" ht="15.75" customHeight="1">
      <c r="B496" s="22"/>
      <c r="E496" s="23"/>
      <c r="F496" s="23"/>
      <c r="G496" s="24"/>
      <c r="H496" s="24"/>
      <c r="J496" s="24"/>
      <c r="K496" s="24"/>
    </row>
    <row r="497" ht="15.75" customHeight="1">
      <c r="B497" s="22"/>
      <c r="E497" s="23"/>
      <c r="F497" s="23"/>
      <c r="G497" s="24"/>
      <c r="H497" s="24"/>
      <c r="J497" s="24"/>
      <c r="K497" s="24"/>
    </row>
    <row r="498" ht="15.75" customHeight="1">
      <c r="B498" s="22"/>
      <c r="E498" s="23"/>
      <c r="F498" s="23"/>
      <c r="G498" s="24"/>
      <c r="H498" s="24"/>
      <c r="J498" s="24"/>
      <c r="K498" s="24"/>
    </row>
    <row r="499" ht="15.75" customHeight="1">
      <c r="B499" s="22"/>
      <c r="E499" s="23"/>
      <c r="F499" s="23"/>
      <c r="G499" s="24"/>
      <c r="H499" s="24"/>
      <c r="J499" s="24"/>
      <c r="K499" s="24"/>
    </row>
    <row r="500" ht="15.75" customHeight="1">
      <c r="B500" s="22"/>
      <c r="E500" s="23"/>
      <c r="F500" s="23"/>
      <c r="G500" s="24"/>
      <c r="H500" s="24"/>
      <c r="J500" s="24"/>
      <c r="K500" s="24"/>
    </row>
    <row r="501" ht="15.75" customHeight="1">
      <c r="B501" s="22"/>
      <c r="E501" s="23"/>
      <c r="F501" s="23"/>
      <c r="G501" s="24"/>
      <c r="H501" s="24"/>
      <c r="J501" s="24"/>
      <c r="K501" s="24"/>
    </row>
    <row r="502" ht="15.75" customHeight="1">
      <c r="B502" s="22"/>
      <c r="E502" s="23"/>
      <c r="F502" s="23"/>
      <c r="G502" s="24"/>
      <c r="H502" s="24"/>
      <c r="J502" s="24"/>
      <c r="K502" s="24"/>
    </row>
    <row r="503" ht="15.75" customHeight="1">
      <c r="B503" s="22"/>
      <c r="E503" s="23"/>
      <c r="F503" s="23"/>
      <c r="G503" s="24"/>
      <c r="H503" s="24"/>
      <c r="J503" s="24"/>
      <c r="K503" s="24"/>
    </row>
    <row r="504" ht="15.75" customHeight="1">
      <c r="B504" s="22"/>
      <c r="E504" s="23"/>
      <c r="F504" s="23"/>
      <c r="G504" s="24"/>
      <c r="H504" s="24"/>
      <c r="J504" s="24"/>
      <c r="K504" s="24"/>
    </row>
    <row r="505" ht="15.75" customHeight="1">
      <c r="B505" s="22"/>
      <c r="E505" s="23"/>
      <c r="F505" s="23"/>
      <c r="G505" s="24"/>
      <c r="H505" s="24"/>
      <c r="J505" s="24"/>
      <c r="K505" s="24"/>
    </row>
    <row r="506" ht="15.75" customHeight="1">
      <c r="B506" s="22"/>
      <c r="E506" s="23"/>
      <c r="F506" s="23"/>
      <c r="G506" s="24"/>
      <c r="H506" s="24"/>
      <c r="J506" s="24"/>
      <c r="K506" s="24"/>
    </row>
    <row r="507" ht="15.75" customHeight="1">
      <c r="B507" s="22"/>
      <c r="E507" s="23"/>
      <c r="F507" s="23"/>
      <c r="G507" s="24"/>
      <c r="H507" s="24"/>
      <c r="J507" s="24"/>
      <c r="K507" s="24"/>
    </row>
    <row r="508" ht="15.75" customHeight="1">
      <c r="B508" s="22"/>
      <c r="E508" s="23"/>
      <c r="F508" s="23"/>
      <c r="G508" s="24"/>
      <c r="H508" s="24"/>
      <c r="J508" s="24"/>
      <c r="K508" s="24"/>
    </row>
    <row r="509" ht="15.75" customHeight="1">
      <c r="B509" s="22"/>
      <c r="E509" s="23"/>
      <c r="F509" s="23"/>
      <c r="G509" s="24"/>
      <c r="H509" s="24"/>
      <c r="J509" s="24"/>
      <c r="K509" s="24"/>
    </row>
    <row r="510" ht="15.75" customHeight="1">
      <c r="B510" s="22"/>
      <c r="E510" s="23"/>
      <c r="F510" s="23"/>
      <c r="G510" s="24"/>
      <c r="H510" s="24"/>
      <c r="J510" s="24"/>
      <c r="K510" s="24"/>
    </row>
    <row r="511" ht="15.75" customHeight="1">
      <c r="B511" s="22"/>
      <c r="E511" s="23"/>
      <c r="F511" s="23"/>
      <c r="G511" s="24"/>
      <c r="H511" s="24"/>
      <c r="J511" s="24"/>
      <c r="K511" s="24"/>
    </row>
    <row r="512" ht="15.75" customHeight="1">
      <c r="B512" s="22"/>
      <c r="E512" s="23"/>
      <c r="F512" s="23"/>
      <c r="G512" s="24"/>
      <c r="H512" s="24"/>
      <c r="J512" s="24"/>
      <c r="K512" s="24"/>
    </row>
    <row r="513" ht="15.75" customHeight="1">
      <c r="B513" s="22"/>
      <c r="E513" s="23"/>
      <c r="F513" s="23"/>
      <c r="G513" s="24"/>
      <c r="H513" s="24"/>
      <c r="J513" s="24"/>
      <c r="K513" s="24"/>
    </row>
    <row r="514" ht="15.75" customHeight="1">
      <c r="B514" s="22"/>
      <c r="E514" s="23"/>
      <c r="F514" s="23"/>
      <c r="G514" s="24"/>
      <c r="H514" s="24"/>
      <c r="J514" s="24"/>
      <c r="K514" s="24"/>
    </row>
    <row r="515" ht="15.75" customHeight="1">
      <c r="B515" s="22"/>
      <c r="E515" s="23"/>
      <c r="F515" s="23"/>
      <c r="G515" s="24"/>
      <c r="H515" s="24"/>
      <c r="J515" s="24"/>
      <c r="K515" s="24"/>
    </row>
    <row r="516" ht="15.75" customHeight="1">
      <c r="B516" s="22"/>
      <c r="E516" s="23"/>
      <c r="F516" s="23"/>
      <c r="G516" s="24"/>
      <c r="H516" s="24"/>
      <c r="J516" s="24"/>
      <c r="K516" s="24"/>
    </row>
    <row r="517" ht="15.75" customHeight="1">
      <c r="B517" s="22"/>
      <c r="E517" s="23"/>
      <c r="F517" s="23"/>
      <c r="G517" s="24"/>
      <c r="H517" s="24"/>
      <c r="J517" s="24"/>
      <c r="K517" s="24"/>
    </row>
    <row r="518" ht="15.75" customHeight="1">
      <c r="B518" s="22"/>
      <c r="E518" s="23"/>
      <c r="F518" s="23"/>
      <c r="G518" s="24"/>
      <c r="H518" s="24"/>
      <c r="J518" s="24"/>
      <c r="K518" s="24"/>
    </row>
    <row r="519" ht="15.75" customHeight="1">
      <c r="B519" s="22"/>
      <c r="E519" s="23"/>
      <c r="F519" s="23"/>
      <c r="G519" s="24"/>
      <c r="H519" s="24"/>
      <c r="J519" s="24"/>
      <c r="K519" s="24"/>
    </row>
    <row r="520" ht="15.75" customHeight="1">
      <c r="B520" s="22"/>
      <c r="E520" s="23"/>
      <c r="F520" s="23"/>
      <c r="G520" s="24"/>
      <c r="H520" s="24"/>
      <c r="J520" s="24"/>
      <c r="K520" s="24"/>
    </row>
    <row r="521" ht="15.75" customHeight="1">
      <c r="B521" s="22"/>
      <c r="E521" s="23"/>
      <c r="F521" s="23"/>
      <c r="G521" s="24"/>
      <c r="H521" s="24"/>
      <c r="J521" s="24"/>
      <c r="K521" s="24"/>
    </row>
    <row r="522" ht="15.75" customHeight="1">
      <c r="B522" s="22"/>
      <c r="E522" s="23"/>
      <c r="F522" s="23"/>
      <c r="G522" s="24"/>
      <c r="H522" s="24"/>
      <c r="J522" s="24"/>
      <c r="K522" s="24"/>
    </row>
    <row r="523" ht="15.75" customHeight="1">
      <c r="B523" s="22"/>
      <c r="E523" s="23"/>
      <c r="F523" s="23"/>
      <c r="G523" s="24"/>
      <c r="H523" s="24"/>
      <c r="J523" s="24"/>
      <c r="K523" s="24"/>
    </row>
    <row r="524" ht="15.75" customHeight="1">
      <c r="B524" s="22"/>
      <c r="E524" s="23"/>
      <c r="F524" s="23"/>
      <c r="G524" s="24"/>
      <c r="H524" s="24"/>
      <c r="J524" s="24"/>
      <c r="K524" s="24"/>
    </row>
    <row r="525" ht="15.75" customHeight="1">
      <c r="B525" s="22"/>
      <c r="E525" s="23"/>
      <c r="F525" s="23"/>
      <c r="G525" s="24"/>
      <c r="H525" s="24"/>
      <c r="J525" s="24"/>
      <c r="K525" s="24"/>
    </row>
    <row r="526" ht="15.75" customHeight="1">
      <c r="B526" s="22"/>
      <c r="E526" s="23"/>
      <c r="F526" s="23"/>
      <c r="G526" s="24"/>
      <c r="H526" s="24"/>
      <c r="J526" s="24"/>
      <c r="K526" s="24"/>
    </row>
    <row r="527" ht="15.75" customHeight="1">
      <c r="B527" s="22"/>
      <c r="E527" s="23"/>
      <c r="F527" s="23"/>
      <c r="G527" s="24"/>
      <c r="H527" s="24"/>
      <c r="J527" s="24"/>
      <c r="K527" s="24"/>
    </row>
    <row r="528" ht="15.75" customHeight="1">
      <c r="B528" s="22"/>
      <c r="E528" s="23"/>
      <c r="F528" s="23"/>
      <c r="G528" s="24"/>
      <c r="H528" s="24"/>
      <c r="J528" s="24"/>
      <c r="K528" s="24"/>
    </row>
    <row r="529" ht="15.75" customHeight="1">
      <c r="B529" s="22"/>
      <c r="E529" s="23"/>
      <c r="F529" s="23"/>
      <c r="G529" s="24"/>
      <c r="H529" s="24"/>
      <c r="J529" s="24"/>
      <c r="K529" s="24"/>
    </row>
    <row r="530" ht="15.75" customHeight="1">
      <c r="B530" s="22"/>
      <c r="E530" s="23"/>
      <c r="F530" s="23"/>
      <c r="G530" s="24"/>
      <c r="H530" s="24"/>
      <c r="J530" s="24"/>
      <c r="K530" s="24"/>
    </row>
    <row r="531" ht="15.75" customHeight="1">
      <c r="B531" s="22"/>
      <c r="E531" s="23"/>
      <c r="F531" s="23"/>
      <c r="G531" s="24"/>
      <c r="H531" s="24"/>
      <c r="J531" s="24"/>
      <c r="K531" s="24"/>
    </row>
    <row r="532" ht="15.75" customHeight="1">
      <c r="B532" s="22"/>
      <c r="E532" s="23"/>
      <c r="F532" s="23"/>
      <c r="G532" s="24"/>
      <c r="H532" s="24"/>
      <c r="J532" s="24"/>
      <c r="K532" s="24"/>
    </row>
    <row r="533" ht="15.75" customHeight="1">
      <c r="B533" s="22"/>
      <c r="E533" s="23"/>
      <c r="F533" s="23"/>
      <c r="G533" s="24"/>
      <c r="H533" s="24"/>
      <c r="J533" s="24"/>
      <c r="K533" s="24"/>
    </row>
    <row r="534" ht="15.75" customHeight="1">
      <c r="B534" s="22"/>
      <c r="E534" s="23"/>
      <c r="F534" s="23"/>
      <c r="G534" s="24"/>
      <c r="H534" s="24"/>
      <c r="J534" s="24"/>
      <c r="K534" s="24"/>
    </row>
    <row r="535" ht="15.75" customHeight="1">
      <c r="B535" s="22"/>
      <c r="E535" s="23"/>
      <c r="F535" s="23"/>
      <c r="G535" s="24"/>
      <c r="H535" s="24"/>
      <c r="J535" s="24"/>
      <c r="K535" s="24"/>
    </row>
    <row r="536" ht="15.75" customHeight="1">
      <c r="B536" s="22"/>
      <c r="E536" s="23"/>
      <c r="F536" s="23"/>
      <c r="G536" s="24"/>
      <c r="H536" s="24"/>
      <c r="J536" s="24"/>
      <c r="K536" s="24"/>
    </row>
    <row r="537" ht="15.75" customHeight="1">
      <c r="B537" s="22"/>
      <c r="E537" s="23"/>
      <c r="F537" s="23"/>
      <c r="G537" s="24"/>
      <c r="H537" s="24"/>
      <c r="J537" s="24"/>
      <c r="K537" s="24"/>
    </row>
    <row r="538" ht="15.75" customHeight="1">
      <c r="B538" s="22"/>
      <c r="E538" s="23"/>
      <c r="F538" s="23"/>
      <c r="G538" s="24"/>
      <c r="H538" s="24"/>
      <c r="J538" s="24"/>
      <c r="K538" s="24"/>
    </row>
    <row r="539" ht="15.75" customHeight="1">
      <c r="B539" s="22"/>
      <c r="E539" s="23"/>
      <c r="F539" s="23"/>
      <c r="G539" s="24"/>
      <c r="H539" s="24"/>
      <c r="J539" s="24"/>
      <c r="K539" s="24"/>
    </row>
    <row r="540" ht="15.75" customHeight="1">
      <c r="B540" s="22"/>
      <c r="E540" s="23"/>
      <c r="F540" s="23"/>
      <c r="G540" s="24"/>
      <c r="H540" s="24"/>
      <c r="J540" s="24"/>
      <c r="K540" s="24"/>
    </row>
    <row r="541" ht="15.75" customHeight="1">
      <c r="B541" s="22"/>
      <c r="E541" s="23"/>
      <c r="F541" s="23"/>
      <c r="G541" s="24"/>
      <c r="H541" s="24"/>
      <c r="J541" s="24"/>
      <c r="K541" s="24"/>
    </row>
    <row r="542" ht="15.75" customHeight="1">
      <c r="B542" s="22"/>
      <c r="E542" s="23"/>
      <c r="F542" s="23"/>
      <c r="G542" s="24"/>
      <c r="H542" s="24"/>
      <c r="J542" s="24"/>
      <c r="K542" s="24"/>
    </row>
    <row r="543" ht="15.75" customHeight="1">
      <c r="B543" s="22"/>
      <c r="E543" s="23"/>
      <c r="F543" s="23"/>
      <c r="G543" s="24"/>
      <c r="H543" s="24"/>
      <c r="J543" s="24"/>
      <c r="K543" s="24"/>
    </row>
    <row r="544" ht="15.75" customHeight="1">
      <c r="B544" s="22"/>
      <c r="E544" s="23"/>
      <c r="F544" s="23"/>
      <c r="G544" s="24"/>
      <c r="H544" s="24"/>
      <c r="J544" s="24"/>
      <c r="K544" s="24"/>
    </row>
    <row r="545" ht="15.75" customHeight="1">
      <c r="B545" s="22"/>
      <c r="E545" s="23"/>
      <c r="F545" s="23"/>
      <c r="G545" s="24"/>
      <c r="H545" s="24"/>
      <c r="J545" s="24"/>
      <c r="K545" s="24"/>
    </row>
    <row r="546" ht="15.75" customHeight="1">
      <c r="B546" s="22"/>
      <c r="E546" s="23"/>
      <c r="F546" s="23"/>
      <c r="G546" s="24"/>
      <c r="H546" s="24"/>
      <c r="J546" s="24"/>
      <c r="K546" s="24"/>
    </row>
    <row r="547" ht="15.75" customHeight="1">
      <c r="B547" s="22"/>
      <c r="E547" s="23"/>
      <c r="F547" s="23"/>
      <c r="G547" s="24"/>
      <c r="H547" s="24"/>
      <c r="J547" s="24"/>
      <c r="K547" s="24"/>
    </row>
    <row r="548" ht="15.75" customHeight="1">
      <c r="B548" s="22"/>
      <c r="E548" s="23"/>
      <c r="F548" s="23"/>
      <c r="G548" s="24"/>
      <c r="H548" s="24"/>
      <c r="J548" s="24"/>
      <c r="K548" s="24"/>
    </row>
    <row r="549" ht="15.75" customHeight="1">
      <c r="B549" s="22"/>
      <c r="E549" s="23"/>
      <c r="F549" s="23"/>
      <c r="G549" s="24"/>
      <c r="H549" s="24"/>
      <c r="J549" s="24"/>
      <c r="K549" s="24"/>
    </row>
    <row r="550" ht="15.75" customHeight="1">
      <c r="B550" s="22"/>
      <c r="E550" s="23"/>
      <c r="F550" s="23"/>
      <c r="G550" s="24"/>
      <c r="H550" s="24"/>
      <c r="J550" s="24"/>
      <c r="K550" s="24"/>
    </row>
    <row r="551" ht="15.75" customHeight="1">
      <c r="B551" s="22"/>
      <c r="E551" s="23"/>
      <c r="F551" s="23"/>
      <c r="G551" s="24"/>
      <c r="H551" s="24"/>
      <c r="J551" s="24"/>
      <c r="K551" s="24"/>
    </row>
    <row r="552" ht="15.75" customHeight="1">
      <c r="B552" s="22"/>
      <c r="E552" s="23"/>
      <c r="F552" s="23"/>
      <c r="G552" s="24"/>
      <c r="H552" s="24"/>
      <c r="J552" s="24"/>
      <c r="K552" s="24"/>
    </row>
    <row r="553" ht="15.75" customHeight="1">
      <c r="B553" s="22"/>
      <c r="E553" s="23"/>
      <c r="F553" s="23"/>
      <c r="G553" s="24"/>
      <c r="H553" s="24"/>
      <c r="J553" s="24"/>
      <c r="K553" s="24"/>
    </row>
    <row r="554" ht="15.75" customHeight="1">
      <c r="B554" s="22"/>
      <c r="E554" s="23"/>
      <c r="F554" s="23"/>
      <c r="G554" s="24"/>
      <c r="H554" s="24"/>
      <c r="J554" s="24"/>
      <c r="K554" s="24"/>
    </row>
    <row r="555" ht="15.75" customHeight="1">
      <c r="B555" s="22"/>
      <c r="E555" s="23"/>
      <c r="F555" s="23"/>
      <c r="G555" s="24"/>
      <c r="H555" s="24"/>
      <c r="J555" s="24"/>
      <c r="K555" s="24"/>
    </row>
    <row r="556" ht="15.75" customHeight="1">
      <c r="B556" s="22"/>
      <c r="E556" s="23"/>
      <c r="F556" s="23"/>
      <c r="G556" s="24"/>
      <c r="H556" s="24"/>
      <c r="J556" s="24"/>
      <c r="K556" s="24"/>
    </row>
    <row r="557" ht="15.75" customHeight="1">
      <c r="B557" s="22"/>
      <c r="E557" s="23"/>
      <c r="F557" s="23"/>
      <c r="G557" s="24"/>
      <c r="H557" s="24"/>
      <c r="J557" s="24"/>
      <c r="K557" s="24"/>
    </row>
    <row r="558" ht="15.75" customHeight="1">
      <c r="B558" s="22"/>
      <c r="E558" s="23"/>
      <c r="F558" s="23"/>
      <c r="G558" s="24"/>
      <c r="H558" s="24"/>
      <c r="J558" s="24"/>
      <c r="K558" s="24"/>
    </row>
    <row r="559" ht="15.75" customHeight="1">
      <c r="B559" s="22"/>
      <c r="E559" s="23"/>
      <c r="F559" s="23"/>
      <c r="G559" s="24"/>
      <c r="H559" s="24"/>
      <c r="J559" s="24"/>
      <c r="K559" s="24"/>
    </row>
    <row r="560" ht="15.75" customHeight="1">
      <c r="B560" s="22"/>
      <c r="E560" s="23"/>
      <c r="F560" s="23"/>
      <c r="G560" s="24"/>
      <c r="H560" s="24"/>
      <c r="J560" s="24"/>
      <c r="K560" s="24"/>
    </row>
    <row r="561" ht="15.75" customHeight="1">
      <c r="B561" s="22"/>
      <c r="E561" s="23"/>
      <c r="F561" s="23"/>
      <c r="G561" s="24"/>
      <c r="H561" s="24"/>
      <c r="J561" s="24"/>
      <c r="K561" s="24"/>
    </row>
    <row r="562" ht="15.75" customHeight="1">
      <c r="B562" s="22"/>
      <c r="E562" s="23"/>
      <c r="F562" s="23"/>
      <c r="G562" s="24"/>
      <c r="H562" s="24"/>
      <c r="J562" s="24"/>
      <c r="K562" s="24"/>
    </row>
    <row r="563" ht="15.75" customHeight="1">
      <c r="B563" s="22"/>
      <c r="E563" s="23"/>
      <c r="F563" s="23"/>
      <c r="G563" s="24"/>
      <c r="H563" s="24"/>
      <c r="J563" s="24"/>
      <c r="K563" s="24"/>
    </row>
    <row r="564" ht="15.75" customHeight="1">
      <c r="B564" s="22"/>
      <c r="E564" s="23"/>
      <c r="F564" s="23"/>
      <c r="G564" s="24"/>
      <c r="H564" s="24"/>
      <c r="J564" s="24"/>
      <c r="K564" s="24"/>
    </row>
    <row r="565" ht="15.75" customHeight="1">
      <c r="B565" s="22"/>
      <c r="E565" s="23"/>
      <c r="F565" s="23"/>
      <c r="G565" s="24"/>
      <c r="H565" s="24"/>
      <c r="J565" s="24"/>
      <c r="K565" s="24"/>
    </row>
    <row r="566" ht="15.75" customHeight="1">
      <c r="B566" s="22"/>
      <c r="E566" s="23"/>
      <c r="F566" s="23"/>
      <c r="G566" s="24"/>
      <c r="H566" s="24"/>
      <c r="J566" s="24"/>
      <c r="K566" s="24"/>
    </row>
    <row r="567" ht="15.75" customHeight="1">
      <c r="B567" s="22"/>
      <c r="E567" s="23"/>
      <c r="F567" s="23"/>
      <c r="G567" s="24"/>
      <c r="H567" s="24"/>
      <c r="J567" s="24"/>
      <c r="K567" s="24"/>
    </row>
    <row r="568" ht="15.75" customHeight="1">
      <c r="B568" s="22"/>
      <c r="E568" s="23"/>
      <c r="F568" s="23"/>
      <c r="G568" s="24"/>
      <c r="H568" s="24"/>
      <c r="J568" s="24"/>
      <c r="K568" s="24"/>
    </row>
    <row r="569" ht="15.75" customHeight="1">
      <c r="B569" s="22"/>
      <c r="E569" s="23"/>
      <c r="F569" s="23"/>
      <c r="G569" s="24"/>
      <c r="H569" s="24"/>
      <c r="J569" s="24"/>
      <c r="K569" s="24"/>
    </row>
    <row r="570" ht="15.75" customHeight="1">
      <c r="B570" s="22"/>
      <c r="E570" s="23"/>
      <c r="F570" s="23"/>
      <c r="G570" s="24"/>
      <c r="H570" s="24"/>
      <c r="J570" s="24"/>
      <c r="K570" s="24"/>
    </row>
    <row r="571" ht="15.75" customHeight="1">
      <c r="B571" s="22"/>
      <c r="E571" s="23"/>
      <c r="F571" s="23"/>
      <c r="G571" s="24"/>
      <c r="H571" s="24"/>
      <c r="J571" s="24"/>
      <c r="K571" s="24"/>
    </row>
    <row r="572" ht="15.75" customHeight="1">
      <c r="B572" s="22"/>
      <c r="E572" s="23"/>
      <c r="F572" s="23"/>
      <c r="G572" s="24"/>
      <c r="H572" s="24"/>
      <c r="J572" s="24"/>
      <c r="K572" s="24"/>
    </row>
    <row r="573" ht="15.75" customHeight="1">
      <c r="B573" s="22"/>
      <c r="E573" s="23"/>
      <c r="F573" s="23"/>
      <c r="G573" s="24"/>
      <c r="H573" s="24"/>
      <c r="J573" s="24"/>
      <c r="K573" s="24"/>
    </row>
    <row r="574" ht="15.75" customHeight="1">
      <c r="B574" s="22"/>
      <c r="E574" s="23"/>
      <c r="F574" s="23"/>
      <c r="G574" s="24"/>
      <c r="H574" s="24"/>
      <c r="J574" s="24"/>
      <c r="K574" s="24"/>
    </row>
    <row r="575" ht="15.75" customHeight="1">
      <c r="B575" s="22"/>
      <c r="E575" s="23"/>
      <c r="F575" s="23"/>
      <c r="G575" s="24"/>
      <c r="H575" s="24"/>
      <c r="J575" s="24"/>
      <c r="K575" s="24"/>
    </row>
    <row r="576" ht="15.75" customHeight="1">
      <c r="B576" s="22"/>
      <c r="E576" s="23"/>
      <c r="F576" s="23"/>
      <c r="G576" s="24"/>
      <c r="H576" s="24"/>
      <c r="J576" s="24"/>
      <c r="K576" s="24"/>
    </row>
    <row r="577" ht="15.75" customHeight="1">
      <c r="B577" s="22"/>
      <c r="E577" s="23"/>
      <c r="F577" s="23"/>
      <c r="G577" s="24"/>
      <c r="H577" s="24"/>
      <c r="J577" s="24"/>
      <c r="K577" s="24"/>
    </row>
    <row r="578" ht="15.75" customHeight="1">
      <c r="B578" s="22"/>
      <c r="E578" s="23"/>
      <c r="F578" s="23"/>
      <c r="G578" s="24"/>
      <c r="H578" s="24"/>
      <c r="J578" s="24"/>
      <c r="K578" s="24"/>
    </row>
    <row r="579" ht="15.75" customHeight="1">
      <c r="B579" s="22"/>
      <c r="E579" s="23"/>
      <c r="F579" s="23"/>
      <c r="G579" s="24"/>
      <c r="H579" s="24"/>
      <c r="J579" s="24"/>
      <c r="K579" s="24"/>
    </row>
    <row r="580" ht="15.75" customHeight="1">
      <c r="B580" s="22"/>
      <c r="E580" s="23"/>
      <c r="F580" s="23"/>
      <c r="G580" s="24"/>
      <c r="H580" s="24"/>
      <c r="J580" s="24"/>
      <c r="K580" s="24"/>
    </row>
    <row r="581" ht="15.75" customHeight="1">
      <c r="B581" s="22"/>
      <c r="E581" s="23"/>
      <c r="F581" s="23"/>
      <c r="G581" s="24"/>
      <c r="H581" s="24"/>
      <c r="J581" s="24"/>
      <c r="K581" s="24"/>
    </row>
    <row r="582" ht="15.75" customHeight="1">
      <c r="B582" s="22"/>
      <c r="E582" s="23"/>
      <c r="F582" s="23"/>
      <c r="G582" s="24"/>
      <c r="H582" s="24"/>
      <c r="J582" s="24"/>
      <c r="K582" s="24"/>
    </row>
    <row r="583" ht="15.75" customHeight="1">
      <c r="B583" s="22"/>
      <c r="E583" s="23"/>
      <c r="F583" s="23"/>
      <c r="G583" s="24"/>
      <c r="H583" s="24"/>
      <c r="J583" s="24"/>
      <c r="K583" s="24"/>
    </row>
    <row r="584" ht="15.75" customHeight="1">
      <c r="B584" s="22"/>
      <c r="E584" s="23"/>
      <c r="F584" s="23"/>
      <c r="G584" s="24"/>
      <c r="H584" s="24"/>
      <c r="J584" s="24"/>
      <c r="K584" s="24"/>
    </row>
    <row r="585" ht="15.75" customHeight="1">
      <c r="B585" s="22"/>
      <c r="E585" s="23"/>
      <c r="F585" s="23"/>
      <c r="G585" s="24"/>
      <c r="H585" s="24"/>
      <c r="J585" s="24"/>
      <c r="K585" s="24"/>
    </row>
    <row r="586" ht="15.75" customHeight="1">
      <c r="B586" s="22"/>
      <c r="E586" s="23"/>
      <c r="F586" s="23"/>
      <c r="G586" s="24"/>
      <c r="H586" s="24"/>
      <c r="J586" s="24"/>
      <c r="K586" s="24"/>
    </row>
    <row r="587" ht="15.75" customHeight="1">
      <c r="B587" s="22"/>
      <c r="E587" s="23"/>
      <c r="F587" s="23"/>
      <c r="G587" s="24"/>
      <c r="H587" s="24"/>
      <c r="J587" s="24"/>
      <c r="K587" s="24"/>
    </row>
    <row r="588" ht="15.75" customHeight="1">
      <c r="B588" s="22"/>
      <c r="E588" s="23"/>
      <c r="F588" s="23"/>
      <c r="G588" s="24"/>
      <c r="H588" s="24"/>
      <c r="J588" s="24"/>
      <c r="K588" s="24"/>
    </row>
    <row r="589" ht="15.75" customHeight="1">
      <c r="B589" s="22"/>
      <c r="E589" s="23"/>
      <c r="F589" s="23"/>
      <c r="G589" s="24"/>
      <c r="H589" s="24"/>
      <c r="J589" s="24"/>
      <c r="K589" s="24"/>
    </row>
    <row r="590" ht="15.75" customHeight="1">
      <c r="B590" s="22"/>
      <c r="E590" s="23"/>
      <c r="F590" s="23"/>
      <c r="G590" s="24"/>
      <c r="H590" s="24"/>
      <c r="J590" s="24"/>
      <c r="K590" s="24"/>
    </row>
    <row r="591" ht="15.75" customHeight="1">
      <c r="B591" s="22"/>
      <c r="E591" s="23"/>
      <c r="F591" s="23"/>
      <c r="G591" s="24"/>
      <c r="H591" s="24"/>
      <c r="J591" s="24"/>
      <c r="K591" s="24"/>
    </row>
    <row r="592" ht="15.75" customHeight="1">
      <c r="B592" s="22"/>
      <c r="E592" s="23"/>
      <c r="F592" s="23"/>
      <c r="G592" s="24"/>
      <c r="H592" s="24"/>
      <c r="J592" s="24"/>
      <c r="K592" s="24"/>
    </row>
    <row r="593" ht="15.75" customHeight="1">
      <c r="B593" s="22"/>
      <c r="E593" s="23"/>
      <c r="F593" s="23"/>
      <c r="G593" s="24"/>
      <c r="H593" s="24"/>
      <c r="J593" s="24"/>
      <c r="K593" s="24"/>
    </row>
    <row r="594" ht="15.75" customHeight="1">
      <c r="B594" s="22"/>
      <c r="E594" s="23"/>
      <c r="F594" s="23"/>
      <c r="G594" s="24"/>
      <c r="H594" s="24"/>
      <c r="J594" s="24"/>
      <c r="K594" s="24"/>
    </row>
    <row r="595" ht="15.75" customHeight="1">
      <c r="B595" s="22"/>
      <c r="E595" s="23"/>
      <c r="F595" s="23"/>
      <c r="G595" s="24"/>
      <c r="H595" s="24"/>
      <c r="J595" s="24"/>
      <c r="K595" s="24"/>
    </row>
    <row r="596" ht="15.75" customHeight="1">
      <c r="B596" s="22"/>
      <c r="E596" s="23"/>
      <c r="F596" s="23"/>
      <c r="G596" s="24"/>
      <c r="H596" s="24"/>
      <c r="J596" s="24"/>
      <c r="K596" s="24"/>
    </row>
    <row r="597" ht="15.75" customHeight="1">
      <c r="B597" s="22"/>
      <c r="E597" s="23"/>
      <c r="F597" s="23"/>
      <c r="G597" s="24"/>
      <c r="H597" s="24"/>
      <c r="J597" s="24"/>
      <c r="K597" s="24"/>
    </row>
    <row r="598" ht="15.75" customHeight="1">
      <c r="B598" s="22"/>
      <c r="E598" s="23"/>
      <c r="F598" s="23"/>
      <c r="G598" s="24"/>
      <c r="H598" s="24"/>
      <c r="J598" s="24"/>
      <c r="K598" s="24"/>
    </row>
    <row r="599" ht="15.75" customHeight="1">
      <c r="B599" s="22"/>
      <c r="E599" s="23"/>
      <c r="F599" s="23"/>
      <c r="G599" s="24"/>
      <c r="H599" s="24"/>
      <c r="J599" s="24"/>
      <c r="K599" s="24"/>
    </row>
    <row r="600" ht="15.75" customHeight="1">
      <c r="B600" s="22"/>
      <c r="E600" s="23"/>
      <c r="F600" s="23"/>
      <c r="G600" s="24"/>
      <c r="H600" s="24"/>
      <c r="J600" s="24"/>
      <c r="K600" s="24"/>
    </row>
    <row r="601" ht="15.75" customHeight="1">
      <c r="B601" s="22"/>
      <c r="E601" s="23"/>
      <c r="F601" s="23"/>
      <c r="G601" s="24"/>
      <c r="H601" s="24"/>
      <c r="J601" s="24"/>
      <c r="K601" s="24"/>
    </row>
    <row r="602" ht="15.75" customHeight="1">
      <c r="B602" s="22"/>
      <c r="E602" s="23"/>
      <c r="F602" s="23"/>
      <c r="G602" s="24"/>
      <c r="H602" s="24"/>
      <c r="J602" s="24"/>
      <c r="K602" s="24"/>
    </row>
    <row r="603" ht="15.75" customHeight="1">
      <c r="B603" s="22"/>
      <c r="E603" s="23"/>
      <c r="F603" s="23"/>
      <c r="G603" s="24"/>
      <c r="H603" s="24"/>
      <c r="J603" s="24"/>
      <c r="K603" s="24"/>
    </row>
    <row r="604" ht="15.75" customHeight="1">
      <c r="B604" s="22"/>
      <c r="E604" s="23"/>
      <c r="F604" s="23"/>
      <c r="G604" s="24"/>
      <c r="H604" s="24"/>
      <c r="J604" s="24"/>
      <c r="K604" s="24"/>
    </row>
    <row r="605" ht="15.75" customHeight="1">
      <c r="B605" s="22"/>
      <c r="E605" s="23"/>
      <c r="F605" s="23"/>
      <c r="G605" s="24"/>
      <c r="H605" s="24"/>
      <c r="J605" s="24"/>
      <c r="K605" s="24"/>
    </row>
    <row r="606" ht="15.75" customHeight="1">
      <c r="B606" s="22"/>
      <c r="E606" s="23"/>
      <c r="F606" s="23"/>
      <c r="G606" s="24"/>
      <c r="H606" s="24"/>
      <c r="J606" s="24"/>
      <c r="K606" s="24"/>
    </row>
    <row r="607" ht="15.75" customHeight="1">
      <c r="B607" s="22"/>
      <c r="E607" s="23"/>
      <c r="F607" s="23"/>
      <c r="G607" s="24"/>
      <c r="H607" s="24"/>
      <c r="J607" s="24"/>
      <c r="K607" s="24"/>
    </row>
    <row r="608" ht="15.75" customHeight="1">
      <c r="B608" s="22"/>
      <c r="E608" s="23"/>
      <c r="F608" s="23"/>
      <c r="G608" s="24"/>
      <c r="H608" s="24"/>
      <c r="J608" s="24"/>
      <c r="K608" s="24"/>
    </row>
    <row r="609" ht="15.75" customHeight="1">
      <c r="B609" s="22"/>
      <c r="E609" s="23"/>
      <c r="F609" s="23"/>
      <c r="G609" s="24"/>
      <c r="H609" s="24"/>
      <c r="J609" s="24"/>
      <c r="K609" s="24"/>
    </row>
    <row r="610" ht="15.75" customHeight="1">
      <c r="B610" s="22"/>
      <c r="E610" s="23"/>
      <c r="F610" s="23"/>
      <c r="G610" s="24"/>
      <c r="H610" s="24"/>
      <c r="J610" s="24"/>
      <c r="K610" s="24"/>
    </row>
    <row r="611" ht="15.75" customHeight="1">
      <c r="B611" s="22"/>
      <c r="E611" s="23"/>
      <c r="F611" s="23"/>
      <c r="G611" s="24"/>
      <c r="H611" s="24"/>
      <c r="J611" s="24"/>
      <c r="K611" s="24"/>
    </row>
    <row r="612" ht="15.75" customHeight="1">
      <c r="B612" s="22"/>
      <c r="E612" s="23"/>
      <c r="F612" s="23"/>
      <c r="G612" s="24"/>
      <c r="H612" s="24"/>
      <c r="J612" s="24"/>
      <c r="K612" s="24"/>
    </row>
    <row r="613" ht="15.75" customHeight="1">
      <c r="B613" s="22"/>
      <c r="E613" s="23"/>
      <c r="F613" s="23"/>
      <c r="G613" s="24"/>
      <c r="H613" s="24"/>
      <c r="J613" s="24"/>
      <c r="K613" s="24"/>
    </row>
    <row r="614" ht="15.75" customHeight="1">
      <c r="B614" s="22"/>
      <c r="E614" s="23"/>
      <c r="F614" s="23"/>
      <c r="G614" s="24"/>
      <c r="H614" s="24"/>
      <c r="J614" s="24"/>
      <c r="K614" s="24"/>
    </row>
    <row r="615" ht="15.75" customHeight="1">
      <c r="B615" s="22"/>
      <c r="E615" s="23"/>
      <c r="F615" s="23"/>
      <c r="G615" s="24"/>
      <c r="H615" s="24"/>
      <c r="J615" s="24"/>
      <c r="K615" s="24"/>
    </row>
    <row r="616" ht="15.75" customHeight="1">
      <c r="B616" s="22"/>
      <c r="E616" s="23"/>
      <c r="F616" s="23"/>
      <c r="G616" s="24"/>
      <c r="H616" s="24"/>
      <c r="J616" s="24"/>
      <c r="K616" s="24"/>
    </row>
    <row r="617" ht="15.75" customHeight="1">
      <c r="B617" s="22"/>
      <c r="E617" s="23"/>
      <c r="F617" s="23"/>
      <c r="G617" s="24"/>
      <c r="H617" s="24"/>
      <c r="J617" s="24"/>
      <c r="K617" s="24"/>
    </row>
    <row r="618" ht="15.75" customHeight="1">
      <c r="B618" s="22"/>
      <c r="E618" s="23"/>
      <c r="F618" s="23"/>
      <c r="G618" s="24"/>
      <c r="H618" s="24"/>
      <c r="J618" s="24"/>
      <c r="K618" s="24"/>
    </row>
    <row r="619" ht="15.75" customHeight="1">
      <c r="B619" s="22"/>
      <c r="E619" s="23"/>
      <c r="F619" s="23"/>
      <c r="G619" s="24"/>
      <c r="H619" s="24"/>
      <c r="J619" s="24"/>
      <c r="K619" s="24"/>
    </row>
    <row r="620" ht="15.75" customHeight="1">
      <c r="B620" s="22"/>
      <c r="E620" s="23"/>
      <c r="F620" s="23"/>
      <c r="G620" s="24"/>
      <c r="H620" s="24"/>
      <c r="J620" s="24"/>
      <c r="K620" s="24"/>
    </row>
    <row r="621" ht="15.75" customHeight="1">
      <c r="B621" s="22"/>
      <c r="E621" s="23"/>
      <c r="F621" s="23"/>
      <c r="G621" s="24"/>
      <c r="H621" s="24"/>
      <c r="J621" s="24"/>
      <c r="K621" s="24"/>
    </row>
    <row r="622" ht="15.75" customHeight="1">
      <c r="B622" s="22"/>
      <c r="E622" s="23"/>
      <c r="F622" s="23"/>
      <c r="G622" s="24"/>
      <c r="H622" s="24"/>
      <c r="J622" s="24"/>
      <c r="K622" s="24"/>
    </row>
    <row r="623" ht="15.75" customHeight="1">
      <c r="B623" s="22"/>
      <c r="E623" s="23"/>
      <c r="F623" s="23"/>
      <c r="G623" s="24"/>
      <c r="H623" s="24"/>
      <c r="J623" s="24"/>
      <c r="K623" s="24"/>
    </row>
    <row r="624" ht="15.75" customHeight="1">
      <c r="B624" s="22"/>
      <c r="E624" s="23"/>
      <c r="F624" s="23"/>
      <c r="G624" s="24"/>
      <c r="H624" s="24"/>
      <c r="J624" s="24"/>
      <c r="K624" s="24"/>
    </row>
    <row r="625" ht="15.75" customHeight="1">
      <c r="B625" s="22"/>
      <c r="E625" s="23"/>
      <c r="F625" s="23"/>
      <c r="G625" s="24"/>
      <c r="H625" s="24"/>
      <c r="J625" s="24"/>
      <c r="K625" s="24"/>
    </row>
    <row r="626" ht="15.75" customHeight="1">
      <c r="B626" s="22"/>
      <c r="E626" s="23"/>
      <c r="F626" s="23"/>
      <c r="G626" s="24"/>
      <c r="H626" s="24"/>
      <c r="J626" s="24"/>
      <c r="K626" s="24"/>
    </row>
    <row r="627" ht="15.75" customHeight="1">
      <c r="B627" s="22"/>
      <c r="E627" s="23"/>
      <c r="F627" s="23"/>
      <c r="G627" s="24"/>
      <c r="H627" s="24"/>
      <c r="J627" s="24"/>
      <c r="K627" s="24"/>
    </row>
    <row r="628" ht="15.75" customHeight="1">
      <c r="B628" s="22"/>
      <c r="E628" s="23"/>
      <c r="F628" s="23"/>
      <c r="G628" s="24"/>
      <c r="H628" s="24"/>
      <c r="J628" s="24"/>
      <c r="K628" s="24"/>
    </row>
    <row r="629" ht="15.75" customHeight="1">
      <c r="B629" s="22"/>
      <c r="E629" s="23"/>
      <c r="F629" s="23"/>
      <c r="G629" s="24"/>
      <c r="H629" s="24"/>
      <c r="J629" s="24"/>
      <c r="K629" s="24"/>
    </row>
    <row r="630" ht="15.75" customHeight="1">
      <c r="B630" s="22"/>
      <c r="E630" s="23"/>
      <c r="F630" s="23"/>
      <c r="G630" s="24"/>
      <c r="H630" s="24"/>
      <c r="J630" s="24"/>
      <c r="K630" s="24"/>
    </row>
    <row r="631" ht="15.75" customHeight="1">
      <c r="B631" s="22"/>
      <c r="E631" s="23"/>
      <c r="F631" s="23"/>
      <c r="G631" s="24"/>
      <c r="H631" s="24"/>
      <c r="J631" s="24"/>
      <c r="K631" s="24"/>
    </row>
    <row r="632" ht="15.75" customHeight="1">
      <c r="B632" s="22"/>
      <c r="E632" s="23"/>
      <c r="F632" s="23"/>
      <c r="G632" s="24"/>
      <c r="H632" s="24"/>
      <c r="J632" s="24"/>
      <c r="K632" s="24"/>
    </row>
    <row r="633" ht="15.75" customHeight="1">
      <c r="B633" s="22"/>
      <c r="E633" s="23"/>
      <c r="F633" s="23"/>
      <c r="G633" s="24"/>
      <c r="H633" s="24"/>
      <c r="J633" s="24"/>
      <c r="K633" s="24"/>
    </row>
    <row r="634" ht="15.75" customHeight="1">
      <c r="B634" s="22"/>
      <c r="E634" s="23"/>
      <c r="F634" s="23"/>
      <c r="G634" s="24"/>
      <c r="H634" s="24"/>
      <c r="J634" s="24"/>
      <c r="K634" s="24"/>
    </row>
    <row r="635" ht="15.75" customHeight="1">
      <c r="B635" s="22"/>
      <c r="E635" s="23"/>
      <c r="F635" s="23"/>
      <c r="G635" s="24"/>
      <c r="H635" s="24"/>
      <c r="J635" s="24"/>
      <c r="K635" s="24"/>
    </row>
    <row r="636" ht="15.75" customHeight="1">
      <c r="B636" s="22"/>
      <c r="E636" s="23"/>
      <c r="F636" s="23"/>
      <c r="G636" s="24"/>
      <c r="H636" s="24"/>
      <c r="J636" s="24"/>
      <c r="K636" s="24"/>
    </row>
    <row r="637" ht="15.75" customHeight="1">
      <c r="B637" s="22"/>
      <c r="E637" s="23"/>
      <c r="F637" s="23"/>
      <c r="G637" s="24"/>
      <c r="H637" s="24"/>
      <c r="J637" s="24"/>
      <c r="K637" s="24"/>
    </row>
    <row r="638" ht="15.75" customHeight="1">
      <c r="B638" s="22"/>
      <c r="E638" s="23"/>
      <c r="F638" s="23"/>
      <c r="G638" s="24"/>
      <c r="H638" s="24"/>
      <c r="J638" s="24"/>
      <c r="K638" s="24"/>
    </row>
    <row r="639" ht="15.75" customHeight="1">
      <c r="B639" s="22"/>
      <c r="E639" s="23"/>
      <c r="F639" s="23"/>
      <c r="G639" s="24"/>
      <c r="H639" s="24"/>
      <c r="J639" s="24"/>
      <c r="K639" s="24"/>
    </row>
    <row r="640" ht="15.75" customHeight="1">
      <c r="B640" s="22"/>
      <c r="E640" s="23"/>
      <c r="F640" s="23"/>
      <c r="G640" s="24"/>
      <c r="H640" s="24"/>
      <c r="J640" s="24"/>
      <c r="K640" s="24"/>
    </row>
    <row r="641" ht="15.75" customHeight="1">
      <c r="B641" s="22"/>
      <c r="E641" s="23"/>
      <c r="F641" s="23"/>
      <c r="G641" s="24"/>
      <c r="H641" s="24"/>
      <c r="J641" s="24"/>
      <c r="K641" s="24"/>
    </row>
    <row r="642" ht="15.75" customHeight="1">
      <c r="B642" s="22"/>
      <c r="E642" s="23"/>
      <c r="F642" s="23"/>
      <c r="G642" s="24"/>
      <c r="H642" s="24"/>
      <c r="J642" s="24"/>
      <c r="K642" s="24"/>
    </row>
    <row r="643" ht="15.75" customHeight="1">
      <c r="B643" s="22"/>
      <c r="E643" s="23"/>
      <c r="F643" s="23"/>
      <c r="G643" s="24"/>
      <c r="H643" s="24"/>
      <c r="J643" s="24"/>
      <c r="K643" s="24"/>
    </row>
    <row r="644" ht="15.75" customHeight="1">
      <c r="B644" s="22"/>
      <c r="E644" s="23"/>
      <c r="F644" s="23"/>
      <c r="G644" s="24"/>
      <c r="H644" s="24"/>
      <c r="J644" s="24"/>
      <c r="K644" s="24"/>
    </row>
    <row r="645" ht="15.75" customHeight="1">
      <c r="B645" s="22"/>
      <c r="E645" s="23"/>
      <c r="F645" s="23"/>
      <c r="G645" s="24"/>
      <c r="H645" s="24"/>
      <c r="J645" s="24"/>
      <c r="K645" s="24"/>
    </row>
    <row r="646" ht="15.75" customHeight="1">
      <c r="B646" s="22"/>
      <c r="E646" s="23"/>
      <c r="F646" s="23"/>
      <c r="G646" s="24"/>
      <c r="H646" s="24"/>
      <c r="J646" s="24"/>
      <c r="K646" s="24"/>
    </row>
    <row r="647" ht="15.75" customHeight="1">
      <c r="B647" s="22"/>
      <c r="E647" s="23"/>
      <c r="F647" s="23"/>
      <c r="G647" s="24"/>
      <c r="H647" s="24"/>
      <c r="J647" s="24"/>
      <c r="K647" s="24"/>
    </row>
    <row r="648" ht="15.75" customHeight="1">
      <c r="B648" s="22"/>
      <c r="E648" s="23"/>
      <c r="F648" s="23"/>
      <c r="G648" s="24"/>
      <c r="H648" s="24"/>
      <c r="J648" s="24"/>
      <c r="K648" s="24"/>
    </row>
    <row r="649" ht="15.75" customHeight="1">
      <c r="B649" s="22"/>
      <c r="E649" s="23"/>
      <c r="F649" s="23"/>
      <c r="G649" s="24"/>
      <c r="H649" s="24"/>
      <c r="J649" s="24"/>
      <c r="K649" s="24"/>
    </row>
    <row r="650" ht="15.75" customHeight="1">
      <c r="B650" s="22"/>
      <c r="E650" s="23"/>
      <c r="F650" s="23"/>
      <c r="G650" s="24"/>
      <c r="H650" s="24"/>
      <c r="J650" s="24"/>
      <c r="K650" s="24"/>
    </row>
    <row r="651" ht="15.75" customHeight="1">
      <c r="B651" s="22"/>
      <c r="E651" s="23"/>
      <c r="F651" s="23"/>
      <c r="G651" s="24"/>
      <c r="H651" s="24"/>
      <c r="J651" s="24"/>
      <c r="K651" s="24"/>
    </row>
    <row r="652" ht="15.75" customHeight="1">
      <c r="B652" s="22"/>
      <c r="E652" s="23"/>
      <c r="F652" s="23"/>
      <c r="G652" s="24"/>
      <c r="H652" s="24"/>
      <c r="J652" s="24"/>
      <c r="K652" s="24"/>
    </row>
    <row r="653" ht="15.75" customHeight="1">
      <c r="B653" s="22"/>
      <c r="E653" s="23"/>
      <c r="F653" s="23"/>
      <c r="G653" s="24"/>
      <c r="H653" s="24"/>
      <c r="J653" s="24"/>
      <c r="K653" s="24"/>
    </row>
    <row r="654" ht="15.75" customHeight="1">
      <c r="B654" s="22"/>
      <c r="E654" s="23"/>
      <c r="F654" s="23"/>
      <c r="G654" s="24"/>
      <c r="H654" s="24"/>
      <c r="J654" s="24"/>
      <c r="K654" s="24"/>
    </row>
    <row r="655" ht="15.75" customHeight="1">
      <c r="B655" s="22"/>
      <c r="E655" s="23"/>
      <c r="F655" s="23"/>
      <c r="G655" s="24"/>
      <c r="H655" s="24"/>
      <c r="J655" s="24"/>
      <c r="K655" s="24"/>
    </row>
    <row r="656" ht="15.75" customHeight="1">
      <c r="B656" s="22"/>
      <c r="E656" s="23"/>
      <c r="F656" s="23"/>
      <c r="G656" s="24"/>
      <c r="H656" s="24"/>
      <c r="J656" s="24"/>
      <c r="K656" s="24"/>
    </row>
    <row r="657" ht="15.75" customHeight="1">
      <c r="B657" s="22"/>
      <c r="E657" s="23"/>
      <c r="F657" s="23"/>
      <c r="G657" s="24"/>
      <c r="H657" s="24"/>
      <c r="J657" s="24"/>
      <c r="K657" s="24"/>
    </row>
    <row r="658" ht="15.75" customHeight="1">
      <c r="B658" s="22"/>
      <c r="E658" s="23"/>
      <c r="F658" s="23"/>
      <c r="G658" s="24"/>
      <c r="H658" s="24"/>
      <c r="J658" s="24"/>
      <c r="K658" s="24"/>
    </row>
    <row r="659" ht="15.75" customHeight="1">
      <c r="B659" s="22"/>
      <c r="E659" s="23"/>
      <c r="F659" s="23"/>
      <c r="G659" s="24"/>
      <c r="H659" s="24"/>
      <c r="J659" s="24"/>
      <c r="K659" s="24"/>
    </row>
    <row r="660" ht="15.75" customHeight="1">
      <c r="B660" s="22"/>
      <c r="E660" s="23"/>
      <c r="F660" s="23"/>
      <c r="G660" s="24"/>
      <c r="H660" s="24"/>
      <c r="J660" s="24"/>
      <c r="K660" s="24"/>
    </row>
    <row r="661" ht="15.75" customHeight="1">
      <c r="B661" s="22"/>
      <c r="E661" s="23"/>
      <c r="F661" s="23"/>
      <c r="G661" s="24"/>
      <c r="H661" s="24"/>
      <c r="J661" s="24"/>
      <c r="K661" s="24"/>
    </row>
    <row r="662" ht="15.75" customHeight="1">
      <c r="B662" s="22"/>
      <c r="E662" s="23"/>
      <c r="F662" s="23"/>
      <c r="G662" s="24"/>
      <c r="H662" s="24"/>
      <c r="J662" s="24"/>
      <c r="K662" s="24"/>
    </row>
    <row r="663" ht="15.75" customHeight="1">
      <c r="B663" s="22"/>
      <c r="E663" s="23"/>
      <c r="F663" s="23"/>
      <c r="G663" s="24"/>
      <c r="H663" s="24"/>
      <c r="J663" s="24"/>
      <c r="K663" s="24"/>
    </row>
    <row r="664" ht="15.75" customHeight="1">
      <c r="B664" s="22"/>
      <c r="E664" s="23"/>
      <c r="F664" s="23"/>
      <c r="G664" s="24"/>
      <c r="H664" s="24"/>
      <c r="J664" s="24"/>
      <c r="K664" s="24"/>
    </row>
    <row r="665" ht="15.75" customHeight="1">
      <c r="B665" s="22"/>
      <c r="E665" s="23"/>
      <c r="F665" s="23"/>
      <c r="G665" s="24"/>
      <c r="H665" s="24"/>
      <c r="J665" s="24"/>
      <c r="K665" s="24"/>
    </row>
    <row r="666" ht="15.75" customHeight="1">
      <c r="B666" s="22"/>
      <c r="E666" s="23"/>
      <c r="F666" s="23"/>
      <c r="G666" s="24"/>
      <c r="H666" s="24"/>
      <c r="J666" s="24"/>
      <c r="K666" s="24"/>
    </row>
    <row r="667" ht="15.75" customHeight="1">
      <c r="B667" s="22"/>
      <c r="E667" s="23"/>
      <c r="F667" s="23"/>
      <c r="G667" s="24"/>
      <c r="H667" s="24"/>
      <c r="J667" s="24"/>
      <c r="K667" s="24"/>
    </row>
    <row r="668" ht="15.75" customHeight="1">
      <c r="B668" s="22"/>
      <c r="E668" s="23"/>
      <c r="F668" s="23"/>
      <c r="G668" s="24"/>
      <c r="H668" s="24"/>
      <c r="J668" s="24"/>
      <c r="K668" s="24"/>
    </row>
    <row r="669" ht="15.75" customHeight="1">
      <c r="B669" s="22"/>
      <c r="E669" s="23"/>
      <c r="F669" s="23"/>
      <c r="G669" s="24"/>
      <c r="H669" s="24"/>
      <c r="J669" s="24"/>
      <c r="K669" s="24"/>
    </row>
    <row r="670" ht="15.75" customHeight="1">
      <c r="B670" s="22"/>
      <c r="E670" s="23"/>
      <c r="F670" s="23"/>
      <c r="G670" s="24"/>
      <c r="H670" s="24"/>
      <c r="J670" s="24"/>
      <c r="K670" s="24"/>
    </row>
    <row r="671" ht="15.75" customHeight="1">
      <c r="B671" s="22"/>
      <c r="E671" s="23"/>
      <c r="F671" s="23"/>
      <c r="G671" s="24"/>
      <c r="H671" s="24"/>
      <c r="J671" s="24"/>
      <c r="K671" s="24"/>
    </row>
    <row r="672" ht="15.75" customHeight="1">
      <c r="B672" s="22"/>
      <c r="E672" s="23"/>
      <c r="F672" s="23"/>
      <c r="G672" s="24"/>
      <c r="H672" s="24"/>
      <c r="J672" s="24"/>
      <c r="K672" s="24"/>
    </row>
    <row r="673" ht="15.75" customHeight="1">
      <c r="B673" s="22"/>
      <c r="E673" s="23"/>
      <c r="F673" s="23"/>
      <c r="G673" s="24"/>
      <c r="H673" s="24"/>
      <c r="J673" s="24"/>
      <c r="K673" s="24"/>
    </row>
    <row r="674" ht="15.75" customHeight="1">
      <c r="B674" s="22"/>
      <c r="E674" s="23"/>
      <c r="F674" s="23"/>
      <c r="G674" s="24"/>
      <c r="H674" s="24"/>
      <c r="J674" s="24"/>
      <c r="K674" s="24"/>
    </row>
    <row r="675" ht="15.75" customHeight="1">
      <c r="B675" s="22"/>
      <c r="E675" s="23"/>
      <c r="F675" s="23"/>
      <c r="G675" s="24"/>
      <c r="H675" s="24"/>
      <c r="J675" s="24"/>
      <c r="K675" s="24"/>
    </row>
    <row r="676" ht="15.75" customHeight="1">
      <c r="B676" s="22"/>
      <c r="E676" s="23"/>
      <c r="F676" s="23"/>
      <c r="G676" s="24"/>
      <c r="H676" s="24"/>
      <c r="J676" s="24"/>
      <c r="K676" s="24"/>
    </row>
    <row r="677" ht="15.75" customHeight="1">
      <c r="B677" s="22"/>
      <c r="E677" s="23"/>
      <c r="F677" s="23"/>
      <c r="G677" s="24"/>
      <c r="H677" s="24"/>
      <c r="J677" s="24"/>
      <c r="K677" s="24"/>
    </row>
    <row r="678" ht="15.75" customHeight="1">
      <c r="B678" s="22"/>
      <c r="E678" s="23"/>
      <c r="F678" s="23"/>
      <c r="G678" s="24"/>
      <c r="H678" s="24"/>
      <c r="J678" s="24"/>
      <c r="K678" s="24"/>
    </row>
    <row r="679" ht="15.75" customHeight="1">
      <c r="B679" s="22"/>
      <c r="E679" s="23"/>
      <c r="F679" s="23"/>
      <c r="G679" s="24"/>
      <c r="H679" s="24"/>
      <c r="J679" s="24"/>
      <c r="K679" s="24"/>
    </row>
    <row r="680" ht="15.75" customHeight="1">
      <c r="B680" s="22"/>
      <c r="E680" s="23"/>
      <c r="F680" s="23"/>
      <c r="G680" s="24"/>
      <c r="H680" s="24"/>
      <c r="J680" s="24"/>
      <c r="K680" s="24"/>
    </row>
    <row r="681" ht="15.75" customHeight="1">
      <c r="B681" s="22"/>
      <c r="E681" s="23"/>
      <c r="F681" s="23"/>
      <c r="G681" s="24"/>
      <c r="H681" s="24"/>
      <c r="J681" s="24"/>
      <c r="K681" s="24"/>
    </row>
    <row r="682" ht="15.75" customHeight="1">
      <c r="B682" s="22"/>
      <c r="E682" s="23"/>
      <c r="F682" s="23"/>
      <c r="G682" s="24"/>
      <c r="H682" s="24"/>
      <c r="J682" s="24"/>
      <c r="K682" s="24"/>
    </row>
    <row r="683" ht="15.75" customHeight="1">
      <c r="B683" s="22"/>
      <c r="E683" s="23"/>
      <c r="F683" s="23"/>
      <c r="G683" s="24"/>
      <c r="H683" s="24"/>
      <c r="J683" s="24"/>
      <c r="K683" s="24"/>
    </row>
    <row r="684" ht="15.75" customHeight="1">
      <c r="B684" s="22"/>
      <c r="E684" s="23"/>
      <c r="F684" s="23"/>
      <c r="G684" s="24"/>
      <c r="H684" s="24"/>
      <c r="J684" s="24"/>
      <c r="K684" s="24"/>
    </row>
    <row r="685" ht="15.75" customHeight="1">
      <c r="B685" s="22"/>
      <c r="E685" s="23"/>
      <c r="F685" s="23"/>
      <c r="G685" s="24"/>
      <c r="H685" s="24"/>
      <c r="J685" s="24"/>
      <c r="K685" s="24"/>
    </row>
    <row r="686" ht="15.75" customHeight="1">
      <c r="B686" s="22"/>
      <c r="E686" s="23"/>
      <c r="F686" s="23"/>
      <c r="G686" s="24"/>
      <c r="H686" s="24"/>
      <c r="J686" s="24"/>
      <c r="K686" s="24"/>
    </row>
    <row r="687" ht="15.75" customHeight="1">
      <c r="B687" s="22"/>
      <c r="E687" s="23"/>
      <c r="F687" s="23"/>
      <c r="G687" s="24"/>
      <c r="H687" s="24"/>
      <c r="J687" s="24"/>
      <c r="K687" s="24"/>
    </row>
    <row r="688" ht="15.75" customHeight="1">
      <c r="B688" s="22"/>
      <c r="E688" s="23"/>
      <c r="F688" s="23"/>
      <c r="G688" s="24"/>
      <c r="H688" s="24"/>
      <c r="J688" s="24"/>
      <c r="K688" s="24"/>
    </row>
    <row r="689" ht="15.75" customHeight="1">
      <c r="B689" s="22"/>
      <c r="E689" s="23"/>
      <c r="F689" s="23"/>
      <c r="G689" s="24"/>
      <c r="H689" s="24"/>
      <c r="J689" s="24"/>
      <c r="K689" s="24"/>
    </row>
    <row r="690" ht="15.75" customHeight="1">
      <c r="B690" s="22"/>
      <c r="E690" s="23"/>
      <c r="F690" s="23"/>
      <c r="G690" s="24"/>
      <c r="H690" s="24"/>
      <c r="J690" s="24"/>
      <c r="K690" s="24"/>
    </row>
    <row r="691" ht="15.75" customHeight="1">
      <c r="B691" s="22"/>
      <c r="E691" s="23"/>
      <c r="F691" s="23"/>
      <c r="G691" s="24"/>
      <c r="H691" s="24"/>
      <c r="J691" s="24"/>
      <c r="K691" s="24"/>
    </row>
    <row r="692" ht="15.75" customHeight="1">
      <c r="B692" s="22"/>
      <c r="E692" s="23"/>
      <c r="F692" s="23"/>
      <c r="G692" s="24"/>
      <c r="H692" s="24"/>
      <c r="J692" s="24"/>
      <c r="K692" s="24"/>
    </row>
    <row r="693" ht="15.75" customHeight="1">
      <c r="B693" s="22"/>
      <c r="E693" s="23"/>
      <c r="F693" s="23"/>
      <c r="G693" s="24"/>
      <c r="H693" s="24"/>
      <c r="J693" s="24"/>
      <c r="K693" s="24"/>
    </row>
    <row r="694" ht="15.75" customHeight="1">
      <c r="B694" s="22"/>
      <c r="E694" s="23"/>
      <c r="F694" s="23"/>
      <c r="G694" s="24"/>
      <c r="H694" s="24"/>
      <c r="J694" s="24"/>
      <c r="K694" s="24"/>
    </row>
    <row r="695" ht="15.75" customHeight="1">
      <c r="B695" s="22"/>
      <c r="E695" s="23"/>
      <c r="F695" s="23"/>
      <c r="G695" s="24"/>
      <c r="H695" s="24"/>
      <c r="J695" s="24"/>
      <c r="K695" s="24"/>
    </row>
    <row r="696" ht="15.75" customHeight="1">
      <c r="B696" s="22"/>
      <c r="E696" s="23"/>
      <c r="F696" s="23"/>
      <c r="G696" s="24"/>
      <c r="H696" s="24"/>
      <c r="J696" s="24"/>
      <c r="K696" s="24"/>
    </row>
    <row r="697" ht="15.75" customHeight="1">
      <c r="B697" s="22"/>
      <c r="E697" s="23"/>
      <c r="F697" s="23"/>
      <c r="G697" s="24"/>
      <c r="H697" s="24"/>
      <c r="J697" s="24"/>
      <c r="K697" s="24"/>
    </row>
    <row r="698" ht="15.75" customHeight="1">
      <c r="B698" s="22"/>
      <c r="E698" s="23"/>
      <c r="F698" s="23"/>
      <c r="G698" s="24"/>
      <c r="H698" s="24"/>
      <c r="J698" s="24"/>
      <c r="K698" s="24"/>
    </row>
    <row r="699" ht="15.75" customHeight="1">
      <c r="B699" s="22"/>
      <c r="E699" s="23"/>
      <c r="F699" s="23"/>
      <c r="G699" s="24"/>
      <c r="H699" s="24"/>
      <c r="J699" s="24"/>
      <c r="K699" s="24"/>
    </row>
    <row r="700" ht="15.75" customHeight="1">
      <c r="B700" s="22"/>
      <c r="E700" s="23"/>
      <c r="F700" s="23"/>
      <c r="G700" s="24"/>
      <c r="H700" s="24"/>
      <c r="J700" s="24"/>
      <c r="K700" s="24"/>
    </row>
    <row r="701" ht="15.75" customHeight="1">
      <c r="B701" s="22"/>
      <c r="E701" s="23"/>
      <c r="F701" s="23"/>
      <c r="G701" s="24"/>
      <c r="H701" s="24"/>
      <c r="J701" s="24"/>
      <c r="K701" s="24"/>
    </row>
    <row r="702" ht="15.75" customHeight="1">
      <c r="B702" s="22"/>
      <c r="E702" s="23"/>
      <c r="F702" s="23"/>
      <c r="G702" s="24"/>
      <c r="H702" s="24"/>
      <c r="J702" s="24"/>
      <c r="K702" s="24"/>
    </row>
    <row r="703" ht="15.75" customHeight="1">
      <c r="B703" s="22"/>
      <c r="E703" s="23"/>
      <c r="F703" s="23"/>
      <c r="G703" s="24"/>
      <c r="H703" s="24"/>
      <c r="J703" s="24"/>
      <c r="K703" s="24"/>
    </row>
    <row r="704" ht="15.75" customHeight="1">
      <c r="B704" s="22"/>
      <c r="E704" s="23"/>
      <c r="F704" s="23"/>
      <c r="G704" s="24"/>
      <c r="H704" s="24"/>
      <c r="J704" s="24"/>
      <c r="K704" s="24"/>
    </row>
    <row r="705" ht="15.75" customHeight="1">
      <c r="B705" s="22"/>
      <c r="E705" s="23"/>
      <c r="F705" s="23"/>
      <c r="G705" s="24"/>
      <c r="H705" s="24"/>
      <c r="J705" s="24"/>
      <c r="K705" s="24"/>
    </row>
    <row r="706" ht="15.75" customHeight="1">
      <c r="B706" s="22"/>
      <c r="E706" s="23"/>
      <c r="F706" s="23"/>
      <c r="G706" s="24"/>
      <c r="H706" s="24"/>
      <c r="J706" s="24"/>
      <c r="K706" s="24"/>
    </row>
    <row r="707" ht="15.75" customHeight="1">
      <c r="B707" s="22"/>
      <c r="E707" s="23"/>
      <c r="F707" s="23"/>
      <c r="G707" s="24"/>
      <c r="H707" s="24"/>
      <c r="J707" s="24"/>
      <c r="K707" s="24"/>
    </row>
    <row r="708" ht="15.75" customHeight="1">
      <c r="B708" s="22"/>
      <c r="E708" s="23"/>
      <c r="F708" s="23"/>
      <c r="G708" s="24"/>
      <c r="H708" s="24"/>
      <c r="J708" s="24"/>
      <c r="K708" s="24"/>
    </row>
    <row r="709" ht="15.75" customHeight="1">
      <c r="B709" s="22"/>
      <c r="E709" s="23"/>
      <c r="F709" s="23"/>
      <c r="G709" s="24"/>
      <c r="H709" s="24"/>
      <c r="J709" s="24"/>
      <c r="K709" s="24"/>
    </row>
    <row r="710" ht="15.75" customHeight="1">
      <c r="B710" s="22"/>
      <c r="E710" s="23"/>
      <c r="F710" s="23"/>
      <c r="G710" s="24"/>
      <c r="H710" s="24"/>
      <c r="J710" s="24"/>
      <c r="K710" s="24"/>
    </row>
    <row r="711" ht="15.75" customHeight="1">
      <c r="B711" s="22"/>
      <c r="E711" s="23"/>
      <c r="F711" s="23"/>
      <c r="G711" s="24"/>
      <c r="H711" s="24"/>
      <c r="J711" s="24"/>
      <c r="K711" s="24"/>
    </row>
    <row r="712" ht="15.75" customHeight="1">
      <c r="B712" s="22"/>
      <c r="E712" s="23"/>
      <c r="F712" s="23"/>
      <c r="G712" s="24"/>
      <c r="H712" s="24"/>
      <c r="J712" s="24"/>
      <c r="K712" s="24"/>
    </row>
    <row r="713" ht="15.75" customHeight="1">
      <c r="B713" s="22"/>
      <c r="E713" s="23"/>
      <c r="F713" s="23"/>
      <c r="G713" s="24"/>
      <c r="H713" s="24"/>
      <c r="J713" s="24"/>
      <c r="K713" s="24"/>
    </row>
    <row r="714" ht="15.75" customHeight="1">
      <c r="B714" s="22"/>
      <c r="E714" s="23"/>
      <c r="F714" s="23"/>
      <c r="G714" s="24"/>
      <c r="H714" s="24"/>
      <c r="J714" s="24"/>
      <c r="K714" s="24"/>
    </row>
    <row r="715" ht="15.75" customHeight="1">
      <c r="B715" s="22"/>
      <c r="E715" s="23"/>
      <c r="F715" s="23"/>
      <c r="G715" s="24"/>
      <c r="H715" s="24"/>
      <c r="J715" s="24"/>
      <c r="K715" s="24"/>
    </row>
    <row r="716" ht="15.75" customHeight="1">
      <c r="B716" s="22"/>
      <c r="E716" s="23"/>
      <c r="F716" s="23"/>
      <c r="G716" s="24"/>
      <c r="H716" s="24"/>
      <c r="J716" s="24"/>
      <c r="K716" s="24"/>
    </row>
    <row r="717" ht="15.75" customHeight="1">
      <c r="B717" s="22"/>
      <c r="E717" s="23"/>
      <c r="F717" s="23"/>
      <c r="G717" s="24"/>
      <c r="H717" s="24"/>
      <c r="J717" s="24"/>
      <c r="K717" s="24"/>
    </row>
    <row r="718" ht="15.75" customHeight="1">
      <c r="B718" s="22"/>
      <c r="E718" s="23"/>
      <c r="F718" s="23"/>
      <c r="G718" s="24"/>
      <c r="H718" s="24"/>
      <c r="J718" s="24"/>
      <c r="K718" s="24"/>
    </row>
    <row r="719" ht="15.75" customHeight="1">
      <c r="B719" s="22"/>
      <c r="E719" s="23"/>
      <c r="F719" s="23"/>
      <c r="G719" s="24"/>
      <c r="H719" s="24"/>
      <c r="J719" s="24"/>
      <c r="K719" s="24"/>
    </row>
    <row r="720" ht="15.75" customHeight="1">
      <c r="B720" s="22"/>
      <c r="E720" s="23"/>
      <c r="F720" s="23"/>
      <c r="G720" s="24"/>
      <c r="H720" s="24"/>
      <c r="J720" s="24"/>
      <c r="K720" s="24"/>
    </row>
    <row r="721" ht="15.75" customHeight="1">
      <c r="B721" s="22"/>
      <c r="E721" s="23"/>
      <c r="F721" s="23"/>
      <c r="G721" s="24"/>
      <c r="H721" s="24"/>
      <c r="J721" s="24"/>
      <c r="K721" s="24"/>
    </row>
    <row r="722" ht="15.75" customHeight="1">
      <c r="B722" s="22"/>
      <c r="E722" s="23"/>
      <c r="F722" s="23"/>
      <c r="G722" s="24"/>
      <c r="H722" s="24"/>
      <c r="J722" s="24"/>
      <c r="K722" s="24"/>
    </row>
    <row r="723" ht="15.75" customHeight="1">
      <c r="B723" s="22"/>
      <c r="E723" s="23"/>
      <c r="F723" s="23"/>
      <c r="G723" s="24"/>
      <c r="H723" s="24"/>
      <c r="J723" s="24"/>
      <c r="K723" s="24"/>
    </row>
    <row r="724" ht="15.75" customHeight="1">
      <c r="B724" s="22"/>
      <c r="E724" s="23"/>
      <c r="F724" s="23"/>
      <c r="G724" s="24"/>
      <c r="H724" s="24"/>
      <c r="J724" s="24"/>
      <c r="K724" s="24"/>
    </row>
    <row r="725" ht="15.75" customHeight="1">
      <c r="B725" s="22"/>
      <c r="E725" s="23"/>
      <c r="F725" s="23"/>
      <c r="G725" s="24"/>
      <c r="H725" s="24"/>
      <c r="J725" s="24"/>
      <c r="K725" s="24"/>
    </row>
    <row r="726" ht="15.75" customHeight="1">
      <c r="B726" s="22"/>
      <c r="E726" s="23"/>
      <c r="F726" s="23"/>
      <c r="G726" s="24"/>
      <c r="H726" s="24"/>
      <c r="J726" s="24"/>
      <c r="K726" s="24"/>
    </row>
    <row r="727" ht="15.75" customHeight="1">
      <c r="B727" s="22"/>
      <c r="E727" s="23"/>
      <c r="F727" s="23"/>
      <c r="G727" s="24"/>
      <c r="H727" s="24"/>
      <c r="J727" s="24"/>
      <c r="K727" s="24"/>
    </row>
    <row r="728" ht="15.75" customHeight="1">
      <c r="B728" s="22"/>
      <c r="E728" s="23"/>
      <c r="F728" s="23"/>
      <c r="G728" s="24"/>
      <c r="H728" s="24"/>
      <c r="J728" s="24"/>
      <c r="K728" s="24"/>
    </row>
    <row r="729" ht="15.75" customHeight="1">
      <c r="B729" s="22"/>
      <c r="E729" s="23"/>
      <c r="F729" s="23"/>
      <c r="G729" s="24"/>
      <c r="H729" s="24"/>
      <c r="J729" s="24"/>
      <c r="K729" s="24"/>
    </row>
    <row r="730" ht="15.75" customHeight="1">
      <c r="B730" s="22"/>
      <c r="E730" s="23"/>
      <c r="F730" s="23"/>
      <c r="G730" s="24"/>
      <c r="H730" s="24"/>
      <c r="J730" s="24"/>
      <c r="K730" s="24"/>
    </row>
    <row r="731" ht="15.75" customHeight="1">
      <c r="B731" s="22"/>
      <c r="E731" s="23"/>
      <c r="F731" s="23"/>
      <c r="G731" s="24"/>
      <c r="H731" s="24"/>
      <c r="J731" s="24"/>
      <c r="K731" s="24"/>
    </row>
    <row r="732" ht="15.75" customHeight="1">
      <c r="B732" s="22"/>
      <c r="E732" s="23"/>
      <c r="F732" s="23"/>
      <c r="G732" s="24"/>
      <c r="H732" s="24"/>
      <c r="J732" s="24"/>
      <c r="K732" s="24"/>
    </row>
    <row r="733" ht="15.75" customHeight="1">
      <c r="B733" s="22"/>
      <c r="E733" s="23"/>
      <c r="F733" s="23"/>
      <c r="G733" s="24"/>
      <c r="H733" s="24"/>
      <c r="J733" s="24"/>
      <c r="K733" s="24"/>
    </row>
    <row r="734" ht="15.75" customHeight="1">
      <c r="B734" s="22"/>
      <c r="E734" s="23"/>
      <c r="F734" s="23"/>
      <c r="G734" s="24"/>
      <c r="H734" s="24"/>
      <c r="J734" s="24"/>
      <c r="K734" s="24"/>
    </row>
    <row r="735" ht="15.75" customHeight="1">
      <c r="B735" s="22"/>
      <c r="E735" s="23"/>
      <c r="F735" s="23"/>
      <c r="G735" s="24"/>
      <c r="H735" s="24"/>
      <c r="J735" s="24"/>
      <c r="K735" s="24"/>
    </row>
    <row r="736" ht="15.75" customHeight="1">
      <c r="B736" s="22"/>
      <c r="E736" s="23"/>
      <c r="F736" s="23"/>
      <c r="G736" s="24"/>
      <c r="H736" s="24"/>
      <c r="J736" s="24"/>
      <c r="K736" s="24"/>
    </row>
    <row r="737" ht="15.75" customHeight="1">
      <c r="B737" s="22"/>
      <c r="E737" s="23"/>
      <c r="F737" s="23"/>
      <c r="G737" s="24"/>
      <c r="H737" s="24"/>
      <c r="J737" s="24"/>
      <c r="K737" s="24"/>
    </row>
    <row r="738" ht="15.75" customHeight="1">
      <c r="B738" s="22"/>
      <c r="E738" s="23"/>
      <c r="F738" s="23"/>
      <c r="G738" s="24"/>
      <c r="H738" s="24"/>
      <c r="J738" s="24"/>
      <c r="K738" s="24"/>
    </row>
    <row r="739" ht="15.75" customHeight="1">
      <c r="B739" s="22"/>
      <c r="E739" s="23"/>
      <c r="F739" s="23"/>
      <c r="G739" s="24"/>
      <c r="H739" s="24"/>
      <c r="J739" s="24"/>
      <c r="K739" s="24"/>
    </row>
    <row r="740" ht="15.75" customHeight="1">
      <c r="B740" s="22"/>
      <c r="E740" s="23"/>
      <c r="F740" s="23"/>
      <c r="G740" s="24"/>
      <c r="H740" s="24"/>
      <c r="J740" s="24"/>
      <c r="K740" s="24"/>
    </row>
    <row r="741" ht="15.75" customHeight="1">
      <c r="B741" s="22"/>
      <c r="E741" s="23"/>
      <c r="F741" s="23"/>
      <c r="G741" s="24"/>
      <c r="H741" s="24"/>
      <c r="J741" s="24"/>
      <c r="K741" s="24"/>
    </row>
    <row r="742" ht="15.75" customHeight="1">
      <c r="B742" s="22"/>
      <c r="E742" s="23"/>
      <c r="F742" s="23"/>
      <c r="G742" s="24"/>
      <c r="H742" s="24"/>
      <c r="J742" s="24"/>
      <c r="K742" s="24"/>
    </row>
    <row r="743" ht="15.75" customHeight="1">
      <c r="B743" s="22"/>
      <c r="E743" s="23"/>
      <c r="F743" s="23"/>
      <c r="G743" s="24"/>
      <c r="H743" s="24"/>
      <c r="J743" s="24"/>
      <c r="K743" s="24"/>
    </row>
    <row r="744" ht="15.75" customHeight="1">
      <c r="B744" s="22"/>
      <c r="E744" s="23"/>
      <c r="F744" s="23"/>
      <c r="G744" s="24"/>
      <c r="H744" s="24"/>
      <c r="J744" s="24"/>
      <c r="K744" s="24"/>
    </row>
    <row r="745" ht="15.75" customHeight="1">
      <c r="B745" s="22"/>
      <c r="E745" s="23"/>
      <c r="F745" s="23"/>
      <c r="G745" s="24"/>
      <c r="H745" s="24"/>
      <c r="J745" s="24"/>
      <c r="K745" s="24"/>
    </row>
    <row r="746" ht="15.75" customHeight="1">
      <c r="B746" s="22"/>
      <c r="E746" s="23"/>
      <c r="F746" s="23"/>
      <c r="G746" s="24"/>
      <c r="H746" s="24"/>
      <c r="J746" s="24"/>
      <c r="K746" s="24"/>
    </row>
    <row r="747" ht="15.75" customHeight="1">
      <c r="B747" s="22"/>
      <c r="E747" s="23"/>
      <c r="F747" s="23"/>
      <c r="G747" s="24"/>
      <c r="H747" s="24"/>
      <c r="J747" s="24"/>
      <c r="K747" s="24"/>
    </row>
    <row r="748" ht="15.75" customHeight="1">
      <c r="B748" s="22"/>
      <c r="E748" s="23"/>
      <c r="F748" s="23"/>
      <c r="G748" s="24"/>
      <c r="H748" s="24"/>
      <c r="J748" s="24"/>
      <c r="K748" s="24"/>
    </row>
    <row r="749" ht="15.75" customHeight="1">
      <c r="B749" s="22"/>
      <c r="E749" s="23"/>
      <c r="F749" s="23"/>
      <c r="G749" s="24"/>
      <c r="H749" s="24"/>
      <c r="J749" s="24"/>
      <c r="K749" s="24"/>
    </row>
    <row r="750" ht="15.75" customHeight="1">
      <c r="B750" s="22"/>
      <c r="E750" s="23"/>
      <c r="F750" s="23"/>
      <c r="G750" s="24"/>
      <c r="H750" s="24"/>
      <c r="J750" s="24"/>
      <c r="K750" s="24"/>
    </row>
    <row r="751" ht="15.75" customHeight="1">
      <c r="B751" s="22"/>
      <c r="E751" s="23"/>
      <c r="F751" s="23"/>
      <c r="G751" s="24"/>
      <c r="H751" s="24"/>
      <c r="J751" s="24"/>
      <c r="K751" s="24"/>
    </row>
    <row r="752" ht="15.75" customHeight="1">
      <c r="B752" s="22"/>
      <c r="E752" s="23"/>
      <c r="F752" s="23"/>
      <c r="G752" s="24"/>
      <c r="H752" s="24"/>
      <c r="J752" s="24"/>
      <c r="K752" s="24"/>
    </row>
    <row r="753" ht="15.75" customHeight="1">
      <c r="B753" s="22"/>
      <c r="E753" s="23"/>
      <c r="F753" s="23"/>
      <c r="G753" s="24"/>
      <c r="H753" s="24"/>
      <c r="J753" s="24"/>
      <c r="K753" s="24"/>
    </row>
    <row r="754" ht="15.75" customHeight="1">
      <c r="B754" s="22"/>
      <c r="E754" s="23"/>
      <c r="F754" s="23"/>
      <c r="G754" s="24"/>
      <c r="H754" s="24"/>
      <c r="J754" s="24"/>
      <c r="K754" s="24"/>
    </row>
    <row r="755" ht="15.75" customHeight="1">
      <c r="B755" s="22"/>
      <c r="E755" s="23"/>
      <c r="F755" s="23"/>
      <c r="G755" s="24"/>
      <c r="H755" s="24"/>
      <c r="J755" s="24"/>
      <c r="K755" s="24"/>
    </row>
    <row r="756" ht="15.75" customHeight="1">
      <c r="B756" s="22"/>
      <c r="E756" s="23"/>
      <c r="F756" s="23"/>
      <c r="G756" s="24"/>
      <c r="H756" s="24"/>
      <c r="J756" s="24"/>
      <c r="K756" s="24"/>
    </row>
    <row r="757" ht="15.75" customHeight="1">
      <c r="B757" s="22"/>
      <c r="E757" s="23"/>
      <c r="F757" s="23"/>
      <c r="G757" s="24"/>
      <c r="H757" s="24"/>
      <c r="J757" s="24"/>
      <c r="K757" s="24"/>
    </row>
    <row r="758" ht="15.75" customHeight="1">
      <c r="B758" s="22"/>
      <c r="E758" s="23"/>
      <c r="F758" s="23"/>
      <c r="G758" s="24"/>
      <c r="H758" s="24"/>
      <c r="J758" s="24"/>
      <c r="K758" s="24"/>
    </row>
    <row r="759" ht="15.75" customHeight="1">
      <c r="B759" s="22"/>
      <c r="E759" s="23"/>
      <c r="F759" s="23"/>
      <c r="G759" s="24"/>
      <c r="H759" s="24"/>
      <c r="J759" s="24"/>
      <c r="K759" s="24"/>
    </row>
    <row r="760" ht="15.75" customHeight="1">
      <c r="B760" s="22"/>
      <c r="E760" s="23"/>
      <c r="F760" s="23"/>
      <c r="G760" s="24"/>
      <c r="H760" s="24"/>
      <c r="J760" s="24"/>
      <c r="K760" s="24"/>
    </row>
    <row r="761" ht="15.75" customHeight="1">
      <c r="B761" s="22"/>
      <c r="E761" s="23"/>
      <c r="F761" s="23"/>
      <c r="G761" s="24"/>
      <c r="H761" s="24"/>
      <c r="J761" s="24"/>
      <c r="K761" s="24"/>
    </row>
    <row r="762" ht="15.75" customHeight="1">
      <c r="B762" s="22"/>
      <c r="E762" s="23"/>
      <c r="F762" s="23"/>
      <c r="G762" s="24"/>
      <c r="H762" s="24"/>
      <c r="J762" s="24"/>
      <c r="K762" s="24"/>
    </row>
    <row r="763" ht="15.75" customHeight="1">
      <c r="B763" s="22"/>
      <c r="E763" s="23"/>
      <c r="F763" s="23"/>
      <c r="G763" s="24"/>
      <c r="H763" s="24"/>
      <c r="J763" s="24"/>
      <c r="K763" s="24"/>
    </row>
    <row r="764" ht="15.75" customHeight="1">
      <c r="B764" s="22"/>
      <c r="E764" s="23"/>
      <c r="F764" s="23"/>
      <c r="G764" s="24"/>
      <c r="H764" s="24"/>
      <c r="J764" s="24"/>
      <c r="K764" s="24"/>
    </row>
    <row r="765" ht="15.75" customHeight="1">
      <c r="B765" s="22"/>
      <c r="E765" s="23"/>
      <c r="F765" s="23"/>
      <c r="G765" s="24"/>
      <c r="H765" s="24"/>
      <c r="J765" s="24"/>
      <c r="K765" s="24"/>
    </row>
    <row r="766" ht="15.75" customHeight="1">
      <c r="B766" s="22"/>
      <c r="E766" s="23"/>
      <c r="F766" s="23"/>
      <c r="G766" s="24"/>
      <c r="H766" s="24"/>
      <c r="J766" s="24"/>
      <c r="K766" s="24"/>
    </row>
    <row r="767" ht="15.75" customHeight="1">
      <c r="B767" s="22"/>
      <c r="E767" s="23"/>
      <c r="F767" s="23"/>
      <c r="G767" s="24"/>
      <c r="H767" s="24"/>
      <c r="J767" s="24"/>
      <c r="K767" s="24"/>
    </row>
    <row r="768" ht="15.75" customHeight="1">
      <c r="B768" s="22"/>
      <c r="E768" s="23"/>
      <c r="F768" s="23"/>
      <c r="G768" s="24"/>
      <c r="H768" s="24"/>
      <c r="J768" s="24"/>
      <c r="K768" s="24"/>
    </row>
    <row r="769" ht="15.75" customHeight="1">
      <c r="B769" s="22"/>
      <c r="E769" s="23"/>
      <c r="F769" s="23"/>
      <c r="G769" s="24"/>
      <c r="H769" s="24"/>
      <c r="J769" s="24"/>
      <c r="K769" s="24"/>
    </row>
    <row r="770" ht="15.75" customHeight="1">
      <c r="B770" s="22"/>
      <c r="E770" s="23"/>
      <c r="F770" s="23"/>
      <c r="G770" s="24"/>
      <c r="H770" s="24"/>
      <c r="J770" s="24"/>
      <c r="K770" s="24"/>
    </row>
    <row r="771" ht="15.75" customHeight="1">
      <c r="B771" s="22"/>
      <c r="E771" s="23"/>
      <c r="F771" s="23"/>
      <c r="G771" s="24"/>
      <c r="H771" s="24"/>
      <c r="J771" s="24"/>
      <c r="K771" s="24"/>
    </row>
    <row r="772" ht="15.75" customHeight="1">
      <c r="B772" s="22"/>
      <c r="E772" s="23"/>
      <c r="F772" s="23"/>
      <c r="G772" s="24"/>
      <c r="H772" s="24"/>
      <c r="J772" s="24"/>
      <c r="K772" s="24"/>
    </row>
    <row r="773" ht="15.75" customHeight="1">
      <c r="B773" s="22"/>
      <c r="E773" s="23"/>
      <c r="F773" s="23"/>
      <c r="G773" s="24"/>
      <c r="H773" s="24"/>
      <c r="J773" s="24"/>
      <c r="K773" s="24"/>
    </row>
    <row r="774" ht="15.75" customHeight="1">
      <c r="B774" s="22"/>
      <c r="E774" s="23"/>
      <c r="F774" s="23"/>
      <c r="G774" s="24"/>
      <c r="H774" s="24"/>
      <c r="J774" s="24"/>
      <c r="K774" s="24"/>
    </row>
    <row r="775" ht="15.75" customHeight="1">
      <c r="B775" s="22"/>
      <c r="E775" s="23"/>
      <c r="F775" s="23"/>
      <c r="G775" s="24"/>
      <c r="H775" s="24"/>
      <c r="J775" s="24"/>
      <c r="K775" s="24"/>
    </row>
    <row r="776" ht="15.75" customHeight="1">
      <c r="B776" s="22"/>
      <c r="E776" s="23"/>
      <c r="F776" s="23"/>
      <c r="G776" s="24"/>
      <c r="H776" s="24"/>
      <c r="J776" s="24"/>
      <c r="K776" s="24"/>
    </row>
    <row r="777" ht="15.75" customHeight="1">
      <c r="B777" s="22"/>
      <c r="E777" s="23"/>
      <c r="F777" s="23"/>
      <c r="G777" s="24"/>
      <c r="H777" s="24"/>
      <c r="J777" s="24"/>
      <c r="K777" s="24"/>
    </row>
    <row r="778" ht="15.75" customHeight="1">
      <c r="B778" s="22"/>
      <c r="E778" s="23"/>
      <c r="F778" s="23"/>
      <c r="G778" s="24"/>
      <c r="H778" s="24"/>
      <c r="J778" s="24"/>
      <c r="K778" s="24"/>
    </row>
    <row r="779" ht="15.75" customHeight="1">
      <c r="B779" s="22"/>
      <c r="E779" s="23"/>
      <c r="F779" s="23"/>
      <c r="G779" s="24"/>
      <c r="H779" s="24"/>
      <c r="J779" s="24"/>
      <c r="K779" s="24"/>
    </row>
    <row r="780" ht="15.75" customHeight="1">
      <c r="B780" s="22"/>
      <c r="E780" s="23"/>
      <c r="F780" s="23"/>
      <c r="G780" s="24"/>
      <c r="H780" s="24"/>
      <c r="J780" s="24"/>
      <c r="K780" s="24"/>
    </row>
    <row r="781" ht="15.75" customHeight="1">
      <c r="B781" s="22"/>
      <c r="E781" s="23"/>
      <c r="F781" s="23"/>
      <c r="G781" s="24"/>
      <c r="H781" s="24"/>
      <c r="J781" s="24"/>
      <c r="K781" s="24"/>
    </row>
    <row r="782" ht="15.75" customHeight="1">
      <c r="B782" s="22"/>
      <c r="E782" s="23"/>
      <c r="F782" s="23"/>
      <c r="G782" s="24"/>
      <c r="H782" s="24"/>
      <c r="J782" s="24"/>
      <c r="K782" s="24"/>
    </row>
    <row r="783" ht="15.75" customHeight="1">
      <c r="B783" s="22"/>
      <c r="E783" s="23"/>
      <c r="F783" s="23"/>
      <c r="G783" s="24"/>
      <c r="H783" s="24"/>
      <c r="J783" s="24"/>
      <c r="K783" s="24"/>
    </row>
    <row r="784" ht="15.75" customHeight="1">
      <c r="B784" s="22"/>
      <c r="E784" s="23"/>
      <c r="F784" s="23"/>
      <c r="G784" s="24"/>
      <c r="H784" s="24"/>
      <c r="J784" s="24"/>
      <c r="K784" s="24"/>
    </row>
    <row r="785" ht="15.75" customHeight="1">
      <c r="B785" s="22"/>
      <c r="E785" s="23"/>
      <c r="F785" s="23"/>
      <c r="G785" s="24"/>
      <c r="H785" s="24"/>
      <c r="J785" s="24"/>
      <c r="K785" s="24"/>
    </row>
    <row r="786" ht="15.75" customHeight="1">
      <c r="B786" s="22"/>
      <c r="E786" s="23"/>
      <c r="F786" s="23"/>
      <c r="G786" s="24"/>
      <c r="H786" s="24"/>
      <c r="J786" s="24"/>
      <c r="K786" s="24"/>
    </row>
    <row r="787" ht="15.75" customHeight="1">
      <c r="B787" s="22"/>
      <c r="E787" s="23"/>
      <c r="F787" s="23"/>
      <c r="G787" s="24"/>
      <c r="H787" s="24"/>
      <c r="J787" s="24"/>
      <c r="K787" s="24"/>
    </row>
    <row r="788" ht="15.75" customHeight="1">
      <c r="B788" s="22"/>
      <c r="E788" s="23"/>
      <c r="F788" s="23"/>
      <c r="G788" s="24"/>
      <c r="H788" s="24"/>
      <c r="J788" s="24"/>
      <c r="K788" s="24"/>
    </row>
    <row r="789" ht="15.75" customHeight="1">
      <c r="B789" s="22"/>
      <c r="E789" s="23"/>
      <c r="F789" s="23"/>
      <c r="G789" s="24"/>
      <c r="H789" s="24"/>
      <c r="J789" s="24"/>
      <c r="K789" s="24"/>
    </row>
    <row r="790" ht="15.75" customHeight="1">
      <c r="B790" s="22"/>
      <c r="E790" s="23"/>
      <c r="F790" s="23"/>
      <c r="G790" s="24"/>
      <c r="H790" s="24"/>
      <c r="J790" s="24"/>
      <c r="K790" s="24"/>
    </row>
    <row r="791" ht="15.75" customHeight="1">
      <c r="B791" s="22"/>
      <c r="E791" s="23"/>
      <c r="F791" s="23"/>
      <c r="G791" s="24"/>
      <c r="H791" s="24"/>
      <c r="J791" s="24"/>
      <c r="K791" s="24"/>
    </row>
    <row r="792" ht="15.75" customHeight="1">
      <c r="B792" s="22"/>
      <c r="E792" s="23"/>
      <c r="F792" s="23"/>
      <c r="G792" s="24"/>
      <c r="H792" s="24"/>
      <c r="J792" s="24"/>
      <c r="K792" s="24"/>
    </row>
    <row r="793" ht="15.75" customHeight="1">
      <c r="B793" s="22"/>
      <c r="E793" s="23"/>
      <c r="F793" s="23"/>
      <c r="G793" s="24"/>
      <c r="H793" s="24"/>
      <c r="J793" s="24"/>
      <c r="K793" s="24"/>
    </row>
    <row r="794" ht="15.75" customHeight="1">
      <c r="B794" s="22"/>
      <c r="E794" s="23"/>
      <c r="F794" s="23"/>
      <c r="G794" s="24"/>
      <c r="H794" s="24"/>
      <c r="J794" s="24"/>
      <c r="K794" s="24"/>
    </row>
    <row r="795" ht="15.75" customHeight="1">
      <c r="B795" s="22"/>
      <c r="E795" s="23"/>
      <c r="F795" s="23"/>
      <c r="G795" s="24"/>
      <c r="H795" s="24"/>
      <c r="J795" s="24"/>
      <c r="K795" s="24"/>
    </row>
    <row r="796" ht="15.75" customHeight="1">
      <c r="B796" s="22"/>
      <c r="E796" s="23"/>
      <c r="F796" s="23"/>
      <c r="G796" s="24"/>
      <c r="H796" s="24"/>
      <c r="J796" s="24"/>
      <c r="K796" s="24"/>
    </row>
    <row r="797" ht="15.75" customHeight="1">
      <c r="B797" s="22"/>
      <c r="E797" s="23"/>
      <c r="F797" s="23"/>
      <c r="G797" s="24"/>
      <c r="H797" s="24"/>
      <c r="J797" s="24"/>
      <c r="K797" s="24"/>
    </row>
    <row r="798" ht="15.75" customHeight="1">
      <c r="B798" s="22"/>
      <c r="E798" s="23"/>
      <c r="F798" s="23"/>
      <c r="G798" s="24"/>
      <c r="H798" s="24"/>
      <c r="J798" s="24"/>
      <c r="K798" s="24"/>
    </row>
    <row r="799" ht="15.75" customHeight="1">
      <c r="B799" s="22"/>
      <c r="E799" s="23"/>
      <c r="F799" s="23"/>
      <c r="G799" s="24"/>
      <c r="H799" s="24"/>
      <c r="J799" s="24"/>
      <c r="K799" s="24"/>
    </row>
    <row r="800" ht="15.75" customHeight="1">
      <c r="B800" s="22"/>
      <c r="E800" s="23"/>
      <c r="F800" s="23"/>
      <c r="G800" s="24"/>
      <c r="H800" s="24"/>
      <c r="J800" s="24"/>
      <c r="K800" s="24"/>
    </row>
    <row r="801" ht="15.75" customHeight="1">
      <c r="B801" s="22"/>
      <c r="E801" s="23"/>
      <c r="F801" s="23"/>
      <c r="G801" s="24"/>
      <c r="H801" s="24"/>
      <c r="J801" s="24"/>
      <c r="K801" s="24"/>
    </row>
    <row r="802" ht="15.75" customHeight="1">
      <c r="B802" s="22"/>
      <c r="E802" s="23"/>
      <c r="F802" s="23"/>
      <c r="G802" s="24"/>
      <c r="H802" s="24"/>
      <c r="J802" s="24"/>
      <c r="K802" s="24"/>
    </row>
    <row r="803" ht="15.75" customHeight="1">
      <c r="B803" s="22"/>
      <c r="E803" s="23"/>
      <c r="F803" s="23"/>
      <c r="G803" s="24"/>
      <c r="H803" s="24"/>
      <c r="J803" s="24"/>
      <c r="K803" s="24"/>
    </row>
    <row r="804" ht="15.75" customHeight="1">
      <c r="B804" s="22"/>
      <c r="E804" s="23"/>
      <c r="F804" s="23"/>
      <c r="G804" s="24"/>
      <c r="H804" s="24"/>
      <c r="J804" s="24"/>
      <c r="K804" s="24"/>
    </row>
    <row r="805" ht="15.75" customHeight="1">
      <c r="B805" s="22"/>
      <c r="E805" s="23"/>
      <c r="F805" s="23"/>
      <c r="G805" s="24"/>
      <c r="H805" s="24"/>
      <c r="J805" s="24"/>
      <c r="K805" s="24"/>
    </row>
    <row r="806" ht="15.75" customHeight="1">
      <c r="B806" s="22"/>
      <c r="E806" s="23"/>
      <c r="F806" s="23"/>
      <c r="G806" s="24"/>
      <c r="H806" s="24"/>
      <c r="J806" s="24"/>
      <c r="K806" s="24"/>
    </row>
    <row r="807" ht="15.75" customHeight="1">
      <c r="B807" s="22"/>
      <c r="E807" s="23"/>
      <c r="F807" s="23"/>
      <c r="G807" s="24"/>
      <c r="H807" s="24"/>
      <c r="J807" s="24"/>
      <c r="K807" s="24"/>
    </row>
    <row r="808" ht="15.75" customHeight="1">
      <c r="B808" s="22"/>
      <c r="E808" s="23"/>
      <c r="F808" s="23"/>
      <c r="G808" s="24"/>
      <c r="H808" s="24"/>
      <c r="J808" s="24"/>
      <c r="K808" s="24"/>
    </row>
    <row r="809" ht="15.75" customHeight="1">
      <c r="B809" s="22"/>
      <c r="E809" s="23"/>
      <c r="F809" s="23"/>
      <c r="G809" s="24"/>
      <c r="H809" s="24"/>
      <c r="J809" s="24"/>
      <c r="K809" s="24"/>
    </row>
    <row r="810" ht="15.75" customHeight="1">
      <c r="B810" s="22"/>
      <c r="E810" s="23"/>
      <c r="F810" s="23"/>
      <c r="G810" s="24"/>
      <c r="H810" s="24"/>
      <c r="J810" s="24"/>
      <c r="K810" s="24"/>
    </row>
    <row r="811" ht="15.75" customHeight="1">
      <c r="B811" s="22"/>
      <c r="E811" s="23"/>
      <c r="F811" s="23"/>
      <c r="G811" s="24"/>
      <c r="H811" s="24"/>
      <c r="J811" s="24"/>
      <c r="K811" s="24"/>
    </row>
    <row r="812" ht="15.75" customHeight="1">
      <c r="B812" s="22"/>
      <c r="E812" s="23"/>
      <c r="F812" s="23"/>
      <c r="G812" s="24"/>
      <c r="H812" s="24"/>
      <c r="J812" s="24"/>
      <c r="K812" s="24"/>
    </row>
    <row r="813" ht="15.75" customHeight="1">
      <c r="B813" s="22"/>
      <c r="E813" s="23"/>
      <c r="F813" s="23"/>
      <c r="G813" s="24"/>
      <c r="H813" s="24"/>
      <c r="J813" s="24"/>
      <c r="K813" s="24"/>
    </row>
    <row r="814" ht="15.75" customHeight="1">
      <c r="B814" s="22"/>
      <c r="E814" s="23"/>
      <c r="F814" s="23"/>
      <c r="G814" s="24"/>
      <c r="H814" s="24"/>
      <c r="J814" s="24"/>
      <c r="K814" s="24"/>
    </row>
    <row r="815" ht="15.75" customHeight="1">
      <c r="B815" s="22"/>
      <c r="E815" s="23"/>
      <c r="F815" s="23"/>
      <c r="G815" s="24"/>
      <c r="H815" s="24"/>
      <c r="J815" s="24"/>
      <c r="K815" s="24"/>
    </row>
    <row r="816" ht="15.75" customHeight="1">
      <c r="B816" s="22"/>
      <c r="E816" s="23"/>
      <c r="F816" s="23"/>
      <c r="G816" s="24"/>
      <c r="H816" s="24"/>
      <c r="J816" s="24"/>
      <c r="K816" s="24"/>
    </row>
    <row r="817" ht="15.75" customHeight="1">
      <c r="B817" s="22"/>
      <c r="E817" s="23"/>
      <c r="F817" s="23"/>
      <c r="G817" s="24"/>
      <c r="H817" s="24"/>
      <c r="J817" s="24"/>
      <c r="K817" s="24"/>
    </row>
    <row r="818" ht="15.75" customHeight="1">
      <c r="B818" s="22"/>
      <c r="E818" s="23"/>
      <c r="F818" s="23"/>
      <c r="G818" s="24"/>
      <c r="H818" s="24"/>
      <c r="J818" s="24"/>
      <c r="K818" s="24"/>
    </row>
    <row r="819" ht="15.75" customHeight="1">
      <c r="B819" s="22"/>
      <c r="E819" s="23"/>
      <c r="F819" s="23"/>
      <c r="G819" s="24"/>
      <c r="H819" s="24"/>
      <c r="J819" s="24"/>
      <c r="K819" s="24"/>
    </row>
    <row r="820" ht="15.75" customHeight="1">
      <c r="B820" s="22"/>
      <c r="E820" s="23"/>
      <c r="F820" s="23"/>
      <c r="G820" s="24"/>
      <c r="H820" s="24"/>
      <c r="J820" s="24"/>
      <c r="K820" s="24"/>
    </row>
    <row r="821" ht="15.75" customHeight="1">
      <c r="B821" s="22"/>
      <c r="E821" s="23"/>
      <c r="F821" s="23"/>
      <c r="G821" s="24"/>
      <c r="H821" s="24"/>
      <c r="J821" s="24"/>
      <c r="K821" s="24"/>
    </row>
    <row r="822" ht="15.75" customHeight="1">
      <c r="B822" s="22"/>
      <c r="E822" s="23"/>
      <c r="F822" s="23"/>
      <c r="G822" s="24"/>
      <c r="H822" s="24"/>
      <c r="J822" s="24"/>
      <c r="K822" s="24"/>
    </row>
    <row r="823" ht="15.75" customHeight="1">
      <c r="B823" s="22"/>
      <c r="E823" s="23"/>
      <c r="F823" s="23"/>
      <c r="G823" s="24"/>
      <c r="H823" s="24"/>
      <c r="J823" s="24"/>
      <c r="K823" s="24"/>
    </row>
    <row r="824" ht="15.75" customHeight="1">
      <c r="B824" s="22"/>
      <c r="E824" s="23"/>
      <c r="F824" s="23"/>
      <c r="G824" s="24"/>
      <c r="H824" s="24"/>
      <c r="J824" s="24"/>
      <c r="K824" s="24"/>
    </row>
    <row r="825" ht="15.75" customHeight="1">
      <c r="B825" s="22"/>
      <c r="E825" s="23"/>
      <c r="F825" s="23"/>
      <c r="G825" s="24"/>
      <c r="H825" s="24"/>
      <c r="J825" s="24"/>
      <c r="K825" s="24"/>
    </row>
    <row r="826" ht="15.75" customHeight="1">
      <c r="B826" s="22"/>
      <c r="E826" s="23"/>
      <c r="F826" s="23"/>
      <c r="G826" s="24"/>
      <c r="H826" s="24"/>
      <c r="J826" s="24"/>
      <c r="K826" s="24"/>
    </row>
    <row r="827" ht="15.75" customHeight="1">
      <c r="B827" s="22"/>
      <c r="E827" s="23"/>
      <c r="F827" s="23"/>
      <c r="G827" s="24"/>
      <c r="H827" s="24"/>
      <c r="J827" s="24"/>
      <c r="K827" s="24"/>
    </row>
    <row r="828" ht="15.75" customHeight="1">
      <c r="B828" s="22"/>
      <c r="E828" s="23"/>
      <c r="F828" s="23"/>
      <c r="G828" s="24"/>
      <c r="H828" s="24"/>
      <c r="J828" s="24"/>
      <c r="K828" s="24"/>
    </row>
    <row r="829" ht="15.75" customHeight="1">
      <c r="B829" s="22"/>
      <c r="E829" s="23"/>
      <c r="F829" s="23"/>
      <c r="G829" s="24"/>
      <c r="H829" s="24"/>
      <c r="J829" s="24"/>
      <c r="K829" s="24"/>
    </row>
    <row r="830" ht="15.75" customHeight="1">
      <c r="B830" s="22"/>
      <c r="E830" s="23"/>
      <c r="F830" s="23"/>
      <c r="G830" s="24"/>
      <c r="H830" s="24"/>
      <c r="J830" s="24"/>
      <c r="K830" s="24"/>
    </row>
    <row r="831" ht="15.75" customHeight="1">
      <c r="B831" s="22"/>
      <c r="E831" s="23"/>
      <c r="F831" s="23"/>
      <c r="G831" s="24"/>
      <c r="H831" s="24"/>
      <c r="J831" s="24"/>
      <c r="K831" s="24"/>
    </row>
    <row r="832" ht="15.75" customHeight="1">
      <c r="B832" s="22"/>
      <c r="E832" s="23"/>
      <c r="F832" s="23"/>
      <c r="G832" s="24"/>
      <c r="H832" s="24"/>
      <c r="J832" s="24"/>
      <c r="K832" s="24"/>
    </row>
    <row r="833" ht="15.75" customHeight="1">
      <c r="B833" s="22"/>
      <c r="E833" s="23"/>
      <c r="F833" s="23"/>
      <c r="G833" s="24"/>
      <c r="H833" s="24"/>
      <c r="J833" s="24"/>
      <c r="K833" s="24"/>
    </row>
    <row r="834" ht="15.75" customHeight="1">
      <c r="B834" s="22"/>
      <c r="E834" s="23"/>
      <c r="F834" s="23"/>
      <c r="G834" s="24"/>
      <c r="H834" s="24"/>
      <c r="J834" s="24"/>
      <c r="K834" s="24"/>
    </row>
    <row r="835" ht="15.75" customHeight="1">
      <c r="B835" s="22"/>
      <c r="E835" s="23"/>
      <c r="F835" s="23"/>
      <c r="G835" s="24"/>
      <c r="H835" s="24"/>
      <c r="J835" s="24"/>
      <c r="K835" s="24"/>
    </row>
    <row r="836" ht="15.75" customHeight="1">
      <c r="B836" s="22"/>
      <c r="E836" s="23"/>
      <c r="F836" s="23"/>
      <c r="G836" s="24"/>
      <c r="H836" s="24"/>
      <c r="J836" s="24"/>
      <c r="K836" s="24"/>
    </row>
    <row r="837" ht="15.75" customHeight="1">
      <c r="B837" s="22"/>
      <c r="E837" s="23"/>
      <c r="F837" s="23"/>
      <c r="G837" s="24"/>
      <c r="H837" s="24"/>
      <c r="J837" s="24"/>
      <c r="K837" s="24"/>
    </row>
    <row r="838" ht="15.75" customHeight="1">
      <c r="B838" s="22"/>
      <c r="E838" s="23"/>
      <c r="F838" s="23"/>
      <c r="G838" s="24"/>
      <c r="H838" s="24"/>
      <c r="J838" s="24"/>
      <c r="K838" s="24"/>
    </row>
    <row r="839" ht="15.75" customHeight="1">
      <c r="B839" s="22"/>
      <c r="E839" s="23"/>
      <c r="F839" s="23"/>
      <c r="G839" s="24"/>
      <c r="H839" s="24"/>
      <c r="J839" s="24"/>
      <c r="K839" s="24"/>
    </row>
    <row r="840" ht="15.75" customHeight="1">
      <c r="B840" s="22"/>
      <c r="E840" s="23"/>
      <c r="F840" s="23"/>
      <c r="G840" s="24"/>
      <c r="H840" s="24"/>
      <c r="J840" s="24"/>
      <c r="K840" s="24"/>
    </row>
    <row r="841" ht="15.75" customHeight="1">
      <c r="B841" s="22"/>
      <c r="E841" s="23"/>
      <c r="F841" s="23"/>
      <c r="G841" s="24"/>
      <c r="H841" s="24"/>
      <c r="J841" s="24"/>
      <c r="K841" s="24"/>
    </row>
    <row r="842" ht="15.75" customHeight="1">
      <c r="B842" s="22"/>
      <c r="E842" s="23"/>
      <c r="F842" s="23"/>
      <c r="G842" s="24"/>
      <c r="H842" s="24"/>
      <c r="J842" s="24"/>
      <c r="K842" s="24"/>
    </row>
    <row r="843" ht="15.75" customHeight="1">
      <c r="B843" s="22"/>
      <c r="E843" s="23"/>
      <c r="F843" s="23"/>
      <c r="G843" s="24"/>
      <c r="H843" s="24"/>
      <c r="J843" s="24"/>
      <c r="K843" s="24"/>
    </row>
    <row r="844" ht="15.75" customHeight="1">
      <c r="B844" s="22"/>
      <c r="E844" s="23"/>
      <c r="F844" s="23"/>
      <c r="G844" s="24"/>
      <c r="H844" s="24"/>
      <c r="J844" s="24"/>
      <c r="K844" s="24"/>
    </row>
    <row r="845" ht="15.75" customHeight="1">
      <c r="B845" s="22"/>
      <c r="E845" s="23"/>
      <c r="F845" s="23"/>
      <c r="G845" s="24"/>
      <c r="H845" s="24"/>
      <c r="J845" s="24"/>
      <c r="K845" s="24"/>
    </row>
    <row r="846" ht="15.75" customHeight="1">
      <c r="B846" s="22"/>
      <c r="E846" s="23"/>
      <c r="F846" s="23"/>
      <c r="G846" s="24"/>
      <c r="H846" s="24"/>
      <c r="J846" s="24"/>
      <c r="K846" s="24"/>
    </row>
    <row r="847" ht="15.75" customHeight="1">
      <c r="B847" s="22"/>
      <c r="E847" s="23"/>
      <c r="F847" s="23"/>
      <c r="G847" s="24"/>
      <c r="H847" s="24"/>
      <c r="J847" s="24"/>
      <c r="K847" s="24"/>
    </row>
    <row r="848" ht="15.75" customHeight="1">
      <c r="B848" s="22"/>
      <c r="E848" s="23"/>
      <c r="F848" s="23"/>
      <c r="G848" s="24"/>
      <c r="H848" s="24"/>
      <c r="J848" s="24"/>
      <c r="K848" s="24"/>
    </row>
    <row r="849" ht="15.75" customHeight="1">
      <c r="B849" s="22"/>
      <c r="E849" s="23"/>
      <c r="F849" s="23"/>
      <c r="G849" s="24"/>
      <c r="H849" s="24"/>
      <c r="J849" s="24"/>
      <c r="K849" s="24"/>
    </row>
    <row r="850" ht="15.75" customHeight="1">
      <c r="B850" s="22"/>
      <c r="E850" s="23"/>
      <c r="F850" s="23"/>
      <c r="G850" s="24"/>
      <c r="H850" s="24"/>
      <c r="J850" s="24"/>
      <c r="K850" s="24"/>
    </row>
    <row r="851" ht="15.75" customHeight="1">
      <c r="B851" s="22"/>
      <c r="E851" s="23"/>
      <c r="F851" s="23"/>
      <c r="G851" s="24"/>
      <c r="H851" s="24"/>
      <c r="J851" s="24"/>
      <c r="K851" s="24"/>
    </row>
    <row r="852" ht="15.75" customHeight="1">
      <c r="B852" s="22"/>
      <c r="E852" s="23"/>
      <c r="F852" s="23"/>
      <c r="G852" s="24"/>
      <c r="H852" s="24"/>
      <c r="J852" s="24"/>
      <c r="K852" s="24"/>
    </row>
    <row r="853" ht="15.75" customHeight="1">
      <c r="B853" s="22"/>
      <c r="E853" s="23"/>
      <c r="F853" s="23"/>
      <c r="G853" s="24"/>
      <c r="H853" s="24"/>
      <c r="J853" s="24"/>
      <c r="K853" s="24"/>
    </row>
    <row r="854" ht="15.75" customHeight="1">
      <c r="B854" s="22"/>
      <c r="E854" s="23"/>
      <c r="F854" s="23"/>
      <c r="G854" s="24"/>
      <c r="H854" s="24"/>
      <c r="J854" s="24"/>
      <c r="K854" s="24"/>
    </row>
    <row r="855" ht="15.75" customHeight="1">
      <c r="B855" s="22"/>
      <c r="E855" s="23"/>
      <c r="F855" s="23"/>
      <c r="G855" s="24"/>
      <c r="H855" s="24"/>
      <c r="J855" s="24"/>
      <c r="K855" s="24"/>
    </row>
    <row r="856" ht="15.75" customHeight="1">
      <c r="B856" s="22"/>
      <c r="E856" s="23"/>
      <c r="F856" s="23"/>
      <c r="G856" s="24"/>
      <c r="H856" s="24"/>
      <c r="J856" s="24"/>
      <c r="K856" s="24"/>
    </row>
    <row r="857" ht="15.75" customHeight="1">
      <c r="B857" s="22"/>
      <c r="E857" s="23"/>
      <c r="F857" s="23"/>
      <c r="G857" s="24"/>
      <c r="H857" s="24"/>
      <c r="J857" s="24"/>
      <c r="K857" s="24"/>
    </row>
    <row r="858" ht="15.75" customHeight="1">
      <c r="B858" s="22"/>
      <c r="E858" s="23"/>
      <c r="F858" s="23"/>
      <c r="G858" s="24"/>
      <c r="H858" s="24"/>
      <c r="J858" s="24"/>
      <c r="K858" s="24"/>
    </row>
    <row r="859" ht="15.75" customHeight="1">
      <c r="B859" s="22"/>
      <c r="E859" s="23"/>
      <c r="F859" s="23"/>
      <c r="G859" s="24"/>
      <c r="H859" s="24"/>
      <c r="J859" s="24"/>
      <c r="K859" s="24"/>
    </row>
    <row r="860" ht="15.75" customHeight="1">
      <c r="B860" s="22"/>
      <c r="E860" s="23"/>
      <c r="F860" s="23"/>
      <c r="G860" s="24"/>
      <c r="H860" s="24"/>
      <c r="J860" s="24"/>
      <c r="K860" s="24"/>
    </row>
    <row r="861" ht="15.75" customHeight="1">
      <c r="B861" s="22"/>
      <c r="E861" s="23"/>
      <c r="F861" s="23"/>
      <c r="G861" s="24"/>
      <c r="H861" s="24"/>
      <c r="J861" s="24"/>
      <c r="K861" s="24"/>
    </row>
    <row r="862" ht="15.75" customHeight="1">
      <c r="B862" s="22"/>
      <c r="E862" s="23"/>
      <c r="F862" s="23"/>
      <c r="G862" s="24"/>
      <c r="H862" s="24"/>
      <c r="J862" s="24"/>
      <c r="K862" s="24"/>
    </row>
    <row r="863" ht="15.75" customHeight="1">
      <c r="B863" s="22"/>
      <c r="E863" s="23"/>
      <c r="F863" s="23"/>
      <c r="G863" s="24"/>
      <c r="H863" s="24"/>
      <c r="J863" s="24"/>
      <c r="K863" s="24"/>
    </row>
    <row r="864" ht="15.75" customHeight="1">
      <c r="B864" s="22"/>
      <c r="E864" s="23"/>
      <c r="F864" s="23"/>
      <c r="G864" s="24"/>
      <c r="H864" s="24"/>
      <c r="J864" s="24"/>
      <c r="K864" s="24"/>
    </row>
    <row r="865" ht="15.75" customHeight="1">
      <c r="B865" s="22"/>
      <c r="E865" s="23"/>
      <c r="F865" s="23"/>
      <c r="G865" s="24"/>
      <c r="H865" s="24"/>
      <c r="J865" s="24"/>
      <c r="K865" s="24"/>
    </row>
    <row r="866" ht="15.75" customHeight="1">
      <c r="B866" s="22"/>
      <c r="E866" s="23"/>
      <c r="F866" s="23"/>
      <c r="G866" s="24"/>
      <c r="H866" s="24"/>
      <c r="J866" s="24"/>
      <c r="K866" s="24"/>
    </row>
    <row r="867" ht="15.75" customHeight="1">
      <c r="B867" s="22"/>
      <c r="E867" s="23"/>
      <c r="F867" s="23"/>
      <c r="G867" s="24"/>
      <c r="H867" s="24"/>
      <c r="J867" s="24"/>
      <c r="K867" s="24"/>
    </row>
    <row r="868" ht="15.75" customHeight="1">
      <c r="B868" s="22"/>
      <c r="E868" s="23"/>
      <c r="F868" s="23"/>
      <c r="G868" s="24"/>
      <c r="H868" s="24"/>
      <c r="J868" s="24"/>
      <c r="K868" s="24"/>
    </row>
    <row r="869" ht="15.75" customHeight="1">
      <c r="B869" s="22"/>
      <c r="E869" s="23"/>
      <c r="F869" s="23"/>
      <c r="G869" s="24"/>
      <c r="H869" s="24"/>
      <c r="J869" s="24"/>
      <c r="K869" s="24"/>
    </row>
    <row r="870" ht="15.75" customHeight="1">
      <c r="B870" s="22"/>
      <c r="E870" s="23"/>
      <c r="F870" s="23"/>
      <c r="G870" s="24"/>
      <c r="H870" s="24"/>
      <c r="J870" s="24"/>
      <c r="K870" s="24"/>
    </row>
    <row r="871" ht="15.75" customHeight="1">
      <c r="B871" s="22"/>
      <c r="E871" s="23"/>
      <c r="F871" s="23"/>
      <c r="G871" s="24"/>
      <c r="H871" s="24"/>
      <c r="J871" s="24"/>
      <c r="K871" s="24"/>
    </row>
    <row r="872" ht="15.75" customHeight="1">
      <c r="B872" s="22"/>
      <c r="E872" s="23"/>
      <c r="F872" s="23"/>
      <c r="G872" s="24"/>
      <c r="H872" s="24"/>
      <c r="J872" s="24"/>
      <c r="K872" s="24"/>
    </row>
    <row r="873" ht="15.75" customHeight="1">
      <c r="B873" s="22"/>
      <c r="E873" s="23"/>
      <c r="F873" s="23"/>
      <c r="G873" s="24"/>
      <c r="H873" s="24"/>
      <c r="J873" s="24"/>
      <c r="K873" s="24"/>
    </row>
    <row r="874" ht="15.75" customHeight="1">
      <c r="B874" s="22"/>
      <c r="E874" s="23"/>
      <c r="F874" s="23"/>
      <c r="G874" s="24"/>
      <c r="H874" s="24"/>
      <c r="J874" s="24"/>
      <c r="K874" s="24"/>
    </row>
    <row r="875" ht="15.75" customHeight="1">
      <c r="B875" s="22"/>
      <c r="E875" s="23"/>
      <c r="F875" s="23"/>
      <c r="G875" s="24"/>
      <c r="H875" s="24"/>
      <c r="J875" s="24"/>
      <c r="K875" s="24"/>
    </row>
    <row r="876" ht="15.75" customHeight="1">
      <c r="B876" s="22"/>
      <c r="E876" s="23"/>
      <c r="F876" s="23"/>
      <c r="G876" s="24"/>
      <c r="H876" s="24"/>
      <c r="J876" s="24"/>
      <c r="K876" s="24"/>
    </row>
    <row r="877" ht="15.75" customHeight="1">
      <c r="B877" s="22"/>
      <c r="E877" s="23"/>
      <c r="F877" s="23"/>
      <c r="G877" s="24"/>
      <c r="H877" s="24"/>
      <c r="J877" s="24"/>
      <c r="K877" s="24"/>
    </row>
    <row r="878" ht="15.75" customHeight="1">
      <c r="B878" s="22"/>
      <c r="E878" s="23"/>
      <c r="F878" s="23"/>
      <c r="G878" s="24"/>
      <c r="H878" s="24"/>
      <c r="J878" s="24"/>
      <c r="K878" s="24"/>
    </row>
    <row r="879" ht="15.75" customHeight="1">
      <c r="B879" s="22"/>
      <c r="E879" s="23"/>
      <c r="F879" s="23"/>
      <c r="G879" s="24"/>
      <c r="H879" s="24"/>
      <c r="J879" s="24"/>
      <c r="K879" s="24"/>
    </row>
    <row r="880" ht="15.75" customHeight="1">
      <c r="B880" s="22"/>
      <c r="E880" s="23"/>
      <c r="F880" s="23"/>
      <c r="G880" s="24"/>
      <c r="H880" s="24"/>
      <c r="J880" s="24"/>
      <c r="K880" s="24"/>
    </row>
    <row r="881" ht="15.75" customHeight="1">
      <c r="B881" s="22"/>
      <c r="E881" s="23"/>
      <c r="F881" s="23"/>
      <c r="G881" s="24"/>
      <c r="H881" s="24"/>
      <c r="J881" s="24"/>
      <c r="K881" s="24"/>
    </row>
    <row r="882" ht="15.75" customHeight="1">
      <c r="B882" s="22"/>
      <c r="E882" s="23"/>
      <c r="F882" s="23"/>
      <c r="G882" s="24"/>
      <c r="H882" s="24"/>
      <c r="J882" s="24"/>
      <c r="K882" s="24"/>
    </row>
    <row r="883" ht="15.75" customHeight="1">
      <c r="B883" s="22"/>
      <c r="E883" s="23"/>
      <c r="F883" s="23"/>
      <c r="G883" s="24"/>
      <c r="H883" s="24"/>
      <c r="J883" s="24"/>
      <c r="K883" s="24"/>
    </row>
    <row r="884" ht="15.75" customHeight="1">
      <c r="B884" s="22"/>
      <c r="E884" s="23"/>
      <c r="F884" s="23"/>
      <c r="G884" s="24"/>
      <c r="H884" s="24"/>
      <c r="J884" s="24"/>
      <c r="K884" s="24"/>
    </row>
    <row r="885" ht="15.75" customHeight="1">
      <c r="B885" s="22"/>
      <c r="E885" s="23"/>
      <c r="F885" s="23"/>
      <c r="G885" s="24"/>
      <c r="H885" s="24"/>
      <c r="J885" s="24"/>
      <c r="K885" s="24"/>
    </row>
    <row r="886" ht="15.75" customHeight="1">
      <c r="B886" s="22"/>
      <c r="E886" s="23"/>
      <c r="F886" s="23"/>
      <c r="G886" s="24"/>
      <c r="H886" s="24"/>
      <c r="J886" s="24"/>
      <c r="K886" s="24"/>
    </row>
    <row r="887" ht="15.75" customHeight="1">
      <c r="B887" s="22"/>
      <c r="E887" s="23"/>
      <c r="F887" s="23"/>
      <c r="G887" s="24"/>
      <c r="H887" s="24"/>
      <c r="J887" s="24"/>
      <c r="K887" s="24"/>
    </row>
    <row r="888" ht="15.75" customHeight="1">
      <c r="B888" s="22"/>
      <c r="E888" s="23"/>
      <c r="F888" s="23"/>
      <c r="G888" s="24"/>
      <c r="H888" s="24"/>
      <c r="J888" s="24"/>
      <c r="K888" s="24"/>
    </row>
    <row r="889" ht="15.75" customHeight="1">
      <c r="B889" s="22"/>
      <c r="E889" s="23"/>
      <c r="F889" s="23"/>
      <c r="G889" s="24"/>
      <c r="H889" s="24"/>
      <c r="J889" s="24"/>
      <c r="K889" s="24"/>
    </row>
    <row r="890" ht="15.75" customHeight="1">
      <c r="B890" s="22"/>
      <c r="E890" s="23"/>
      <c r="F890" s="23"/>
      <c r="G890" s="24"/>
      <c r="H890" s="24"/>
      <c r="J890" s="24"/>
      <c r="K890" s="24"/>
    </row>
    <row r="891" ht="15.75" customHeight="1">
      <c r="B891" s="22"/>
      <c r="E891" s="23"/>
      <c r="F891" s="23"/>
      <c r="G891" s="24"/>
      <c r="H891" s="24"/>
      <c r="J891" s="24"/>
      <c r="K891" s="24"/>
    </row>
    <row r="892" ht="15.75" customHeight="1">
      <c r="B892" s="22"/>
      <c r="E892" s="23"/>
      <c r="F892" s="23"/>
      <c r="G892" s="24"/>
      <c r="H892" s="24"/>
      <c r="J892" s="24"/>
      <c r="K892" s="24"/>
    </row>
    <row r="893" ht="15.75" customHeight="1">
      <c r="B893" s="22"/>
      <c r="E893" s="23"/>
      <c r="F893" s="23"/>
      <c r="G893" s="24"/>
      <c r="H893" s="24"/>
      <c r="J893" s="24"/>
      <c r="K893" s="24"/>
    </row>
    <row r="894" ht="15.75" customHeight="1">
      <c r="B894" s="22"/>
      <c r="E894" s="23"/>
      <c r="F894" s="23"/>
      <c r="G894" s="24"/>
      <c r="H894" s="24"/>
      <c r="J894" s="24"/>
      <c r="K894" s="24"/>
    </row>
    <row r="895" ht="15.75" customHeight="1">
      <c r="B895" s="22"/>
      <c r="E895" s="23"/>
      <c r="F895" s="23"/>
      <c r="G895" s="24"/>
      <c r="H895" s="24"/>
      <c r="J895" s="24"/>
      <c r="K895" s="24"/>
    </row>
    <row r="896" ht="15.75" customHeight="1">
      <c r="B896" s="22"/>
      <c r="E896" s="23"/>
      <c r="F896" s="23"/>
      <c r="G896" s="24"/>
      <c r="H896" s="24"/>
      <c r="J896" s="24"/>
      <c r="K896" s="24"/>
    </row>
    <row r="897" ht="15.75" customHeight="1">
      <c r="B897" s="22"/>
      <c r="E897" s="23"/>
      <c r="F897" s="23"/>
      <c r="G897" s="24"/>
      <c r="H897" s="24"/>
      <c r="J897" s="24"/>
      <c r="K897" s="24"/>
    </row>
    <row r="898" ht="15.75" customHeight="1">
      <c r="B898" s="22"/>
      <c r="E898" s="23"/>
      <c r="F898" s="23"/>
      <c r="G898" s="24"/>
      <c r="H898" s="24"/>
      <c r="J898" s="24"/>
      <c r="K898" s="24"/>
    </row>
    <row r="899" ht="15.75" customHeight="1">
      <c r="B899" s="22"/>
      <c r="E899" s="23"/>
      <c r="F899" s="23"/>
      <c r="G899" s="24"/>
      <c r="H899" s="24"/>
      <c r="J899" s="24"/>
      <c r="K899" s="24"/>
    </row>
    <row r="900" ht="15.75" customHeight="1">
      <c r="B900" s="22"/>
      <c r="E900" s="23"/>
      <c r="F900" s="23"/>
      <c r="G900" s="24"/>
      <c r="H900" s="24"/>
      <c r="J900" s="24"/>
      <c r="K900" s="24"/>
    </row>
    <row r="901" ht="15.75" customHeight="1">
      <c r="B901" s="22"/>
      <c r="E901" s="23"/>
      <c r="F901" s="23"/>
      <c r="G901" s="24"/>
      <c r="H901" s="24"/>
      <c r="J901" s="24"/>
      <c r="K901" s="24"/>
    </row>
    <row r="902" ht="15.75" customHeight="1">
      <c r="B902" s="22"/>
      <c r="E902" s="23"/>
      <c r="F902" s="23"/>
      <c r="G902" s="24"/>
      <c r="H902" s="24"/>
      <c r="J902" s="24"/>
      <c r="K902" s="24"/>
    </row>
    <row r="903" ht="15.75" customHeight="1">
      <c r="B903" s="22"/>
      <c r="E903" s="23"/>
      <c r="F903" s="23"/>
      <c r="G903" s="24"/>
      <c r="H903" s="24"/>
      <c r="J903" s="24"/>
      <c r="K903" s="24"/>
    </row>
    <row r="904" ht="15.75" customHeight="1">
      <c r="B904" s="22"/>
      <c r="E904" s="23"/>
      <c r="F904" s="23"/>
      <c r="G904" s="24"/>
      <c r="H904" s="24"/>
      <c r="J904" s="24"/>
      <c r="K904" s="24"/>
    </row>
    <row r="905" ht="15.75" customHeight="1">
      <c r="B905" s="22"/>
      <c r="E905" s="23"/>
      <c r="F905" s="23"/>
      <c r="G905" s="24"/>
      <c r="H905" s="24"/>
      <c r="J905" s="24"/>
      <c r="K905" s="24"/>
    </row>
    <row r="906" ht="15.75" customHeight="1">
      <c r="B906" s="22"/>
      <c r="E906" s="23"/>
      <c r="F906" s="23"/>
      <c r="G906" s="24"/>
      <c r="H906" s="24"/>
      <c r="J906" s="24"/>
      <c r="K906" s="24"/>
    </row>
    <row r="907" ht="15.75" customHeight="1">
      <c r="B907" s="22"/>
      <c r="E907" s="23"/>
      <c r="F907" s="23"/>
      <c r="G907" s="24"/>
      <c r="H907" s="24"/>
      <c r="J907" s="24"/>
      <c r="K907" s="24"/>
    </row>
    <row r="908" ht="15.75" customHeight="1">
      <c r="B908" s="22"/>
      <c r="E908" s="23"/>
      <c r="F908" s="23"/>
      <c r="G908" s="24"/>
      <c r="H908" s="24"/>
      <c r="J908" s="24"/>
      <c r="K908" s="24"/>
    </row>
    <row r="909" ht="15.75" customHeight="1">
      <c r="B909" s="22"/>
      <c r="E909" s="23"/>
      <c r="F909" s="23"/>
      <c r="G909" s="24"/>
      <c r="H909" s="24"/>
      <c r="J909" s="24"/>
      <c r="K909" s="24"/>
    </row>
    <row r="910" ht="15.75" customHeight="1">
      <c r="B910" s="22"/>
      <c r="E910" s="23"/>
      <c r="F910" s="23"/>
      <c r="G910" s="24"/>
      <c r="H910" s="24"/>
      <c r="J910" s="24"/>
      <c r="K910" s="24"/>
    </row>
    <row r="911" ht="15.75" customHeight="1">
      <c r="B911" s="22"/>
      <c r="E911" s="23"/>
      <c r="F911" s="23"/>
      <c r="G911" s="24"/>
      <c r="H911" s="24"/>
      <c r="J911" s="24"/>
      <c r="K911" s="24"/>
    </row>
    <row r="912" ht="15.75" customHeight="1">
      <c r="B912" s="22"/>
      <c r="E912" s="23"/>
      <c r="F912" s="23"/>
      <c r="G912" s="24"/>
      <c r="H912" s="24"/>
      <c r="J912" s="24"/>
      <c r="K912" s="24"/>
    </row>
    <row r="913" ht="15.75" customHeight="1">
      <c r="B913" s="22"/>
      <c r="E913" s="23"/>
      <c r="F913" s="23"/>
      <c r="G913" s="24"/>
      <c r="H913" s="24"/>
      <c r="J913" s="24"/>
      <c r="K913" s="24"/>
    </row>
    <row r="914" ht="15.75" customHeight="1">
      <c r="B914" s="22"/>
      <c r="E914" s="23"/>
      <c r="F914" s="23"/>
      <c r="G914" s="24"/>
      <c r="H914" s="24"/>
      <c r="J914" s="24"/>
      <c r="K914" s="24"/>
    </row>
    <row r="915" ht="15.75" customHeight="1">
      <c r="B915" s="22"/>
      <c r="E915" s="23"/>
      <c r="F915" s="23"/>
      <c r="G915" s="24"/>
      <c r="H915" s="24"/>
      <c r="J915" s="24"/>
      <c r="K915" s="24"/>
    </row>
    <row r="916" ht="15.75" customHeight="1">
      <c r="B916" s="22"/>
      <c r="E916" s="23"/>
      <c r="F916" s="23"/>
      <c r="G916" s="24"/>
      <c r="H916" s="24"/>
      <c r="J916" s="24"/>
      <c r="K916" s="24"/>
    </row>
    <row r="917" ht="15.75" customHeight="1">
      <c r="B917" s="22"/>
      <c r="E917" s="23"/>
      <c r="F917" s="23"/>
      <c r="G917" s="24"/>
      <c r="H917" s="24"/>
      <c r="J917" s="24"/>
      <c r="K917" s="24"/>
    </row>
    <row r="918" ht="15.75" customHeight="1">
      <c r="B918" s="22"/>
      <c r="E918" s="23"/>
      <c r="F918" s="23"/>
      <c r="G918" s="24"/>
      <c r="H918" s="24"/>
      <c r="J918" s="24"/>
      <c r="K918" s="24"/>
    </row>
    <row r="919" ht="15.75" customHeight="1">
      <c r="B919" s="22"/>
      <c r="E919" s="23"/>
      <c r="F919" s="23"/>
      <c r="G919" s="24"/>
      <c r="H919" s="24"/>
      <c r="J919" s="24"/>
      <c r="K919" s="24"/>
    </row>
    <row r="920" ht="15.75" customHeight="1">
      <c r="B920" s="22"/>
      <c r="E920" s="23"/>
      <c r="F920" s="23"/>
      <c r="G920" s="24"/>
      <c r="H920" s="24"/>
      <c r="J920" s="24"/>
      <c r="K920" s="24"/>
    </row>
    <row r="921" ht="15.75" customHeight="1">
      <c r="B921" s="22"/>
      <c r="E921" s="23"/>
      <c r="F921" s="23"/>
      <c r="G921" s="24"/>
      <c r="H921" s="24"/>
      <c r="J921" s="24"/>
      <c r="K921" s="24"/>
    </row>
    <row r="922" ht="15.75" customHeight="1">
      <c r="B922" s="22"/>
      <c r="E922" s="23"/>
      <c r="F922" s="23"/>
      <c r="G922" s="24"/>
      <c r="H922" s="24"/>
      <c r="J922" s="24"/>
      <c r="K922" s="24"/>
    </row>
    <row r="923" ht="15.75" customHeight="1">
      <c r="B923" s="22"/>
      <c r="E923" s="23"/>
      <c r="F923" s="23"/>
      <c r="G923" s="24"/>
      <c r="H923" s="24"/>
      <c r="J923" s="24"/>
      <c r="K923" s="24"/>
    </row>
    <row r="924" ht="15.75" customHeight="1">
      <c r="B924" s="22"/>
      <c r="E924" s="23"/>
      <c r="F924" s="23"/>
      <c r="G924" s="24"/>
      <c r="H924" s="24"/>
      <c r="J924" s="24"/>
      <c r="K924" s="24"/>
    </row>
    <row r="925" ht="15.75" customHeight="1">
      <c r="B925" s="22"/>
      <c r="E925" s="23"/>
      <c r="F925" s="23"/>
      <c r="G925" s="24"/>
      <c r="H925" s="24"/>
      <c r="J925" s="24"/>
      <c r="K925" s="24"/>
    </row>
    <row r="926" ht="15.75" customHeight="1">
      <c r="B926" s="22"/>
      <c r="E926" s="23"/>
      <c r="F926" s="23"/>
      <c r="G926" s="24"/>
      <c r="H926" s="24"/>
      <c r="J926" s="24"/>
      <c r="K926" s="24"/>
    </row>
    <row r="927" ht="15.75" customHeight="1">
      <c r="B927" s="22"/>
      <c r="E927" s="23"/>
      <c r="F927" s="23"/>
      <c r="G927" s="24"/>
      <c r="H927" s="24"/>
      <c r="J927" s="24"/>
      <c r="K927" s="24"/>
    </row>
    <row r="928" ht="15.75" customHeight="1">
      <c r="B928" s="22"/>
      <c r="E928" s="23"/>
      <c r="F928" s="23"/>
      <c r="G928" s="24"/>
      <c r="H928" s="24"/>
      <c r="J928" s="24"/>
      <c r="K928" s="24"/>
    </row>
    <row r="929" ht="15.75" customHeight="1">
      <c r="B929" s="22"/>
      <c r="E929" s="23"/>
      <c r="F929" s="23"/>
      <c r="G929" s="24"/>
      <c r="H929" s="24"/>
      <c r="J929" s="24"/>
      <c r="K929" s="24"/>
    </row>
    <row r="930" ht="15.75" customHeight="1">
      <c r="B930" s="22"/>
      <c r="E930" s="23"/>
      <c r="F930" s="23"/>
      <c r="G930" s="24"/>
      <c r="H930" s="24"/>
      <c r="J930" s="24"/>
      <c r="K930" s="24"/>
    </row>
    <row r="931" ht="15.75" customHeight="1">
      <c r="B931" s="22"/>
      <c r="E931" s="23"/>
      <c r="F931" s="23"/>
      <c r="G931" s="24"/>
      <c r="H931" s="24"/>
      <c r="J931" s="24"/>
      <c r="K931" s="24"/>
    </row>
    <row r="932" ht="15.75" customHeight="1">
      <c r="B932" s="22"/>
      <c r="E932" s="23"/>
      <c r="F932" s="23"/>
      <c r="G932" s="24"/>
      <c r="H932" s="24"/>
      <c r="J932" s="24"/>
      <c r="K932" s="24"/>
    </row>
    <row r="933" ht="15.75" customHeight="1">
      <c r="B933" s="22"/>
      <c r="E933" s="23"/>
      <c r="F933" s="23"/>
      <c r="G933" s="24"/>
      <c r="H933" s="24"/>
      <c r="J933" s="24"/>
      <c r="K933" s="24"/>
    </row>
    <row r="934" ht="15.75" customHeight="1">
      <c r="B934" s="22"/>
      <c r="E934" s="23"/>
      <c r="F934" s="23"/>
      <c r="G934" s="24"/>
      <c r="H934" s="24"/>
      <c r="J934" s="24"/>
      <c r="K934" s="24"/>
    </row>
    <row r="935" ht="15.75" customHeight="1">
      <c r="B935" s="22"/>
      <c r="E935" s="23"/>
      <c r="F935" s="23"/>
      <c r="G935" s="24"/>
      <c r="H935" s="24"/>
      <c r="J935" s="24"/>
      <c r="K935" s="24"/>
    </row>
    <row r="936" ht="15.75" customHeight="1">
      <c r="B936" s="22"/>
      <c r="E936" s="23"/>
      <c r="F936" s="23"/>
      <c r="G936" s="24"/>
      <c r="H936" s="24"/>
      <c r="J936" s="24"/>
      <c r="K936" s="24"/>
    </row>
    <row r="937" ht="15.75" customHeight="1">
      <c r="B937" s="22"/>
      <c r="E937" s="23"/>
      <c r="F937" s="23"/>
      <c r="G937" s="24"/>
      <c r="H937" s="24"/>
      <c r="J937" s="24"/>
      <c r="K937" s="24"/>
    </row>
    <row r="938" ht="15.75" customHeight="1">
      <c r="B938" s="22"/>
      <c r="E938" s="23"/>
      <c r="F938" s="23"/>
      <c r="G938" s="24"/>
      <c r="H938" s="24"/>
      <c r="J938" s="24"/>
      <c r="K938" s="24"/>
    </row>
    <row r="939" ht="15.75" customHeight="1">
      <c r="B939" s="22"/>
      <c r="E939" s="23"/>
      <c r="F939" s="23"/>
      <c r="G939" s="24"/>
      <c r="H939" s="24"/>
      <c r="J939" s="24"/>
      <c r="K939" s="24"/>
    </row>
    <row r="940" ht="15.75" customHeight="1">
      <c r="B940" s="22"/>
      <c r="E940" s="23"/>
      <c r="F940" s="23"/>
      <c r="G940" s="24"/>
      <c r="H940" s="24"/>
      <c r="J940" s="24"/>
      <c r="K940" s="24"/>
    </row>
    <row r="941" ht="15.75" customHeight="1">
      <c r="B941" s="22"/>
      <c r="E941" s="23"/>
      <c r="F941" s="23"/>
      <c r="G941" s="24"/>
      <c r="H941" s="24"/>
      <c r="J941" s="24"/>
      <c r="K941" s="24"/>
    </row>
    <row r="942" ht="15.75" customHeight="1">
      <c r="B942" s="22"/>
      <c r="E942" s="23"/>
      <c r="F942" s="23"/>
      <c r="G942" s="24"/>
      <c r="H942" s="24"/>
      <c r="J942" s="24"/>
      <c r="K942" s="24"/>
    </row>
    <row r="943" ht="15.75" customHeight="1">
      <c r="B943" s="22"/>
      <c r="E943" s="23"/>
      <c r="F943" s="23"/>
      <c r="G943" s="24"/>
      <c r="H943" s="24"/>
      <c r="J943" s="24"/>
      <c r="K943" s="24"/>
    </row>
    <row r="944" ht="15.75" customHeight="1">
      <c r="B944" s="22"/>
      <c r="E944" s="23"/>
      <c r="F944" s="23"/>
      <c r="G944" s="24"/>
      <c r="H944" s="24"/>
      <c r="J944" s="24"/>
      <c r="K944" s="24"/>
    </row>
    <row r="945" ht="15.75" customHeight="1">
      <c r="B945" s="22"/>
      <c r="E945" s="23"/>
      <c r="F945" s="23"/>
      <c r="G945" s="24"/>
      <c r="H945" s="24"/>
      <c r="J945" s="24"/>
      <c r="K945" s="24"/>
    </row>
    <row r="946" ht="15.75" customHeight="1">
      <c r="B946" s="22"/>
      <c r="E946" s="23"/>
      <c r="F946" s="23"/>
      <c r="G946" s="24"/>
      <c r="H946" s="24"/>
      <c r="J946" s="24"/>
      <c r="K946" s="24"/>
    </row>
    <row r="947" ht="15.75" customHeight="1">
      <c r="B947" s="22"/>
      <c r="E947" s="23"/>
      <c r="F947" s="23"/>
      <c r="G947" s="24"/>
      <c r="H947" s="24"/>
      <c r="J947" s="24"/>
      <c r="K947" s="24"/>
    </row>
    <row r="948" ht="15.75" customHeight="1">
      <c r="B948" s="22"/>
      <c r="E948" s="23"/>
      <c r="F948" s="23"/>
      <c r="G948" s="24"/>
      <c r="H948" s="24"/>
      <c r="J948" s="24"/>
      <c r="K948" s="24"/>
    </row>
    <row r="949" ht="15.75" customHeight="1">
      <c r="B949" s="22"/>
      <c r="E949" s="23"/>
      <c r="F949" s="23"/>
      <c r="G949" s="24"/>
      <c r="H949" s="24"/>
      <c r="J949" s="24"/>
      <c r="K949" s="24"/>
    </row>
    <row r="950" ht="15.75" customHeight="1">
      <c r="B950" s="22"/>
      <c r="E950" s="23"/>
      <c r="F950" s="23"/>
      <c r="G950" s="24"/>
      <c r="H950" s="24"/>
      <c r="J950" s="24"/>
      <c r="K950" s="24"/>
    </row>
    <row r="951" ht="15.75" customHeight="1">
      <c r="B951" s="22"/>
      <c r="E951" s="23"/>
      <c r="F951" s="23"/>
      <c r="G951" s="24"/>
      <c r="H951" s="24"/>
      <c r="J951" s="24"/>
      <c r="K951" s="24"/>
    </row>
    <row r="952" ht="15.75" customHeight="1">
      <c r="B952" s="22"/>
      <c r="E952" s="23"/>
      <c r="F952" s="23"/>
      <c r="G952" s="24"/>
      <c r="H952" s="24"/>
      <c r="J952" s="24"/>
      <c r="K952" s="24"/>
    </row>
    <row r="953" ht="15.75" customHeight="1">
      <c r="B953" s="22"/>
      <c r="E953" s="23"/>
      <c r="F953" s="23"/>
      <c r="G953" s="24"/>
      <c r="H953" s="24"/>
      <c r="J953" s="24"/>
      <c r="K953" s="24"/>
    </row>
    <row r="954" ht="15.75" customHeight="1">
      <c r="B954" s="22"/>
      <c r="E954" s="23"/>
      <c r="F954" s="23"/>
      <c r="G954" s="24"/>
      <c r="H954" s="24"/>
      <c r="J954" s="24"/>
      <c r="K954" s="24"/>
    </row>
    <row r="955" ht="15.75" customHeight="1">
      <c r="B955" s="22"/>
      <c r="E955" s="23"/>
      <c r="F955" s="23"/>
      <c r="G955" s="24"/>
      <c r="H955" s="24"/>
      <c r="J955" s="24"/>
      <c r="K955" s="24"/>
    </row>
    <row r="956" ht="15.75" customHeight="1">
      <c r="B956" s="22"/>
      <c r="E956" s="23"/>
      <c r="F956" s="23"/>
      <c r="G956" s="24"/>
      <c r="H956" s="24"/>
      <c r="J956" s="24"/>
      <c r="K956" s="24"/>
    </row>
    <row r="957" ht="15.75" customHeight="1">
      <c r="B957" s="22"/>
      <c r="E957" s="23"/>
      <c r="F957" s="23"/>
      <c r="G957" s="24"/>
      <c r="H957" s="24"/>
      <c r="J957" s="24"/>
      <c r="K957" s="24"/>
    </row>
    <row r="958" ht="15.75" customHeight="1">
      <c r="B958" s="22"/>
      <c r="E958" s="23"/>
      <c r="F958" s="23"/>
      <c r="G958" s="24"/>
      <c r="H958" s="24"/>
      <c r="J958" s="24"/>
      <c r="K958" s="24"/>
    </row>
    <row r="959" ht="15.75" customHeight="1">
      <c r="B959" s="22"/>
      <c r="E959" s="23"/>
      <c r="F959" s="23"/>
      <c r="G959" s="24"/>
      <c r="H959" s="24"/>
      <c r="J959" s="24"/>
      <c r="K959" s="24"/>
    </row>
    <row r="960" ht="15.75" customHeight="1">
      <c r="B960" s="22"/>
      <c r="E960" s="23"/>
      <c r="F960" s="23"/>
      <c r="G960" s="24"/>
      <c r="H960" s="24"/>
      <c r="J960" s="24"/>
      <c r="K960" s="24"/>
    </row>
    <row r="961" ht="15.75" customHeight="1">
      <c r="B961" s="22"/>
      <c r="E961" s="23"/>
      <c r="F961" s="23"/>
      <c r="G961" s="24"/>
      <c r="H961" s="24"/>
      <c r="J961" s="24"/>
      <c r="K961" s="24"/>
    </row>
    <row r="962" ht="15.75" customHeight="1">
      <c r="B962" s="22"/>
      <c r="E962" s="23"/>
      <c r="F962" s="23"/>
      <c r="G962" s="24"/>
      <c r="H962" s="24"/>
      <c r="J962" s="24"/>
      <c r="K962" s="24"/>
    </row>
    <row r="963" ht="15.75" customHeight="1">
      <c r="B963" s="22"/>
      <c r="E963" s="23"/>
      <c r="F963" s="23"/>
      <c r="G963" s="24"/>
      <c r="H963" s="24"/>
      <c r="J963" s="24"/>
      <c r="K963" s="24"/>
    </row>
    <row r="964" ht="15.75" customHeight="1">
      <c r="B964" s="22"/>
      <c r="E964" s="23"/>
      <c r="F964" s="23"/>
      <c r="G964" s="24"/>
      <c r="H964" s="24"/>
      <c r="J964" s="24"/>
      <c r="K964" s="24"/>
    </row>
    <row r="965" ht="15.75" customHeight="1">
      <c r="B965" s="22"/>
      <c r="E965" s="23"/>
      <c r="F965" s="23"/>
      <c r="G965" s="24"/>
      <c r="H965" s="24"/>
      <c r="J965" s="24"/>
      <c r="K965" s="24"/>
    </row>
    <row r="966" ht="15.75" customHeight="1">
      <c r="B966" s="22"/>
      <c r="E966" s="23"/>
      <c r="F966" s="23"/>
      <c r="G966" s="24"/>
      <c r="H966" s="24"/>
      <c r="J966" s="24"/>
      <c r="K966" s="24"/>
    </row>
    <row r="967" ht="15.75" customHeight="1">
      <c r="B967" s="22"/>
      <c r="E967" s="23"/>
      <c r="F967" s="23"/>
      <c r="G967" s="24"/>
      <c r="H967" s="24"/>
      <c r="J967" s="24"/>
      <c r="K967" s="24"/>
    </row>
    <row r="968" ht="15.75" customHeight="1">
      <c r="B968" s="22"/>
      <c r="E968" s="23"/>
      <c r="F968" s="23"/>
      <c r="G968" s="24"/>
      <c r="H968" s="24"/>
      <c r="J968" s="24"/>
      <c r="K968" s="24"/>
    </row>
    <row r="969" ht="15.75" customHeight="1">
      <c r="B969" s="22"/>
      <c r="E969" s="23"/>
      <c r="F969" s="23"/>
      <c r="G969" s="24"/>
      <c r="H969" s="24"/>
      <c r="J969" s="24"/>
      <c r="K969" s="24"/>
    </row>
    <row r="970" ht="15.75" customHeight="1">
      <c r="B970" s="22"/>
      <c r="E970" s="23"/>
      <c r="F970" s="23"/>
      <c r="G970" s="24"/>
      <c r="H970" s="24"/>
      <c r="J970" s="24"/>
      <c r="K970" s="24"/>
    </row>
    <row r="971" ht="15.75" customHeight="1">
      <c r="B971" s="22"/>
      <c r="E971" s="23"/>
      <c r="F971" s="23"/>
      <c r="G971" s="24"/>
      <c r="H971" s="24"/>
      <c r="J971" s="24"/>
      <c r="K971" s="24"/>
    </row>
    <row r="972" ht="15.75" customHeight="1">
      <c r="B972" s="22"/>
      <c r="E972" s="23"/>
      <c r="F972" s="23"/>
      <c r="G972" s="24"/>
      <c r="H972" s="24"/>
      <c r="J972" s="24"/>
      <c r="K972" s="24"/>
    </row>
    <row r="973" ht="15.75" customHeight="1">
      <c r="B973" s="22"/>
      <c r="E973" s="23"/>
      <c r="F973" s="23"/>
      <c r="G973" s="24"/>
      <c r="H973" s="24"/>
      <c r="J973" s="24"/>
      <c r="K973" s="24"/>
    </row>
    <row r="974" ht="15.75" customHeight="1">
      <c r="B974" s="22"/>
      <c r="E974" s="23"/>
      <c r="F974" s="23"/>
      <c r="G974" s="24"/>
      <c r="H974" s="24"/>
      <c r="J974" s="24"/>
      <c r="K974" s="24"/>
    </row>
    <row r="975" ht="15.75" customHeight="1">
      <c r="B975" s="22"/>
      <c r="E975" s="23"/>
      <c r="F975" s="23"/>
      <c r="G975" s="24"/>
      <c r="H975" s="24"/>
      <c r="J975" s="24"/>
      <c r="K975" s="24"/>
    </row>
    <row r="976" ht="15.75" customHeight="1">
      <c r="B976" s="22"/>
      <c r="E976" s="23"/>
      <c r="F976" s="23"/>
      <c r="G976" s="24"/>
      <c r="H976" s="24"/>
      <c r="J976" s="24"/>
      <c r="K976" s="24"/>
    </row>
    <row r="977" ht="15.75" customHeight="1">
      <c r="B977" s="22"/>
      <c r="E977" s="23"/>
      <c r="F977" s="23"/>
      <c r="G977" s="24"/>
      <c r="H977" s="24"/>
      <c r="J977" s="24"/>
      <c r="K977" s="24"/>
    </row>
    <row r="978" ht="15.75" customHeight="1">
      <c r="B978" s="22"/>
      <c r="E978" s="23"/>
      <c r="F978" s="23"/>
      <c r="G978" s="24"/>
      <c r="H978" s="24"/>
      <c r="J978" s="24"/>
      <c r="K978" s="24"/>
    </row>
    <row r="979" ht="15.75" customHeight="1">
      <c r="B979" s="22"/>
      <c r="E979" s="23"/>
      <c r="F979" s="23"/>
      <c r="G979" s="24"/>
      <c r="H979" s="24"/>
      <c r="J979" s="24"/>
      <c r="K979" s="24"/>
    </row>
    <row r="980" ht="15.75" customHeight="1">
      <c r="B980" s="22"/>
      <c r="E980" s="23"/>
      <c r="F980" s="23"/>
      <c r="G980" s="24"/>
      <c r="H980" s="24"/>
      <c r="J980" s="24"/>
      <c r="K980" s="24"/>
    </row>
    <row r="981" ht="15.75" customHeight="1">
      <c r="B981" s="22"/>
      <c r="E981" s="23"/>
      <c r="F981" s="23"/>
      <c r="G981" s="24"/>
      <c r="H981" s="24"/>
      <c r="J981" s="24"/>
      <c r="K981" s="24"/>
    </row>
    <row r="982" ht="15.75" customHeight="1">
      <c r="B982" s="22"/>
      <c r="E982" s="23"/>
      <c r="F982" s="23"/>
      <c r="G982" s="24"/>
      <c r="H982" s="24"/>
      <c r="J982" s="24"/>
      <c r="K982" s="24"/>
    </row>
    <row r="983" ht="15.75" customHeight="1">
      <c r="B983" s="22"/>
      <c r="E983" s="23"/>
      <c r="F983" s="23"/>
      <c r="G983" s="24"/>
      <c r="H983" s="24"/>
      <c r="J983" s="24"/>
      <c r="K983" s="24"/>
    </row>
    <row r="984" ht="15.75" customHeight="1">
      <c r="B984" s="22"/>
      <c r="E984" s="23"/>
      <c r="F984" s="23"/>
      <c r="G984" s="24"/>
      <c r="H984" s="24"/>
      <c r="J984" s="24"/>
      <c r="K984" s="24"/>
    </row>
    <row r="985" ht="15.75" customHeight="1">
      <c r="B985" s="22"/>
      <c r="E985" s="23"/>
      <c r="F985" s="23"/>
      <c r="G985" s="24"/>
      <c r="H985" s="24"/>
      <c r="J985" s="24"/>
      <c r="K985" s="24"/>
    </row>
    <row r="986" ht="15.75" customHeight="1">
      <c r="B986" s="22"/>
      <c r="E986" s="23"/>
      <c r="F986" s="23"/>
      <c r="G986" s="24"/>
      <c r="H986" s="24"/>
      <c r="J986" s="24"/>
      <c r="K986" s="24"/>
    </row>
    <row r="987" ht="15.75" customHeight="1">
      <c r="B987" s="22"/>
      <c r="E987" s="23"/>
      <c r="F987" s="23"/>
      <c r="G987" s="24"/>
      <c r="H987" s="24"/>
      <c r="J987" s="24"/>
      <c r="K987" s="24"/>
    </row>
    <row r="988" ht="15.75" customHeight="1">
      <c r="B988" s="22"/>
      <c r="E988" s="23"/>
      <c r="F988" s="23"/>
      <c r="G988" s="24"/>
      <c r="H988" s="24"/>
      <c r="J988" s="24"/>
      <c r="K988" s="24"/>
    </row>
    <row r="989" ht="15.75" customHeight="1">
      <c r="B989" s="22"/>
      <c r="E989" s="23"/>
      <c r="F989" s="23"/>
      <c r="G989" s="24"/>
      <c r="H989" s="24"/>
      <c r="J989" s="24"/>
      <c r="K989" s="24"/>
    </row>
    <row r="990" ht="15.75" customHeight="1">
      <c r="B990" s="22"/>
      <c r="E990" s="23"/>
      <c r="F990" s="23"/>
      <c r="G990" s="24"/>
      <c r="H990" s="24"/>
      <c r="J990" s="24"/>
      <c r="K990" s="24"/>
    </row>
    <row r="991" ht="15.75" customHeight="1">
      <c r="B991" s="22"/>
      <c r="E991" s="23"/>
      <c r="F991" s="23"/>
      <c r="G991" s="24"/>
      <c r="H991" s="24"/>
      <c r="J991" s="24"/>
      <c r="K991" s="24"/>
    </row>
    <row r="992" ht="15.75" customHeight="1">
      <c r="B992" s="22"/>
      <c r="E992" s="23"/>
      <c r="F992" s="23"/>
      <c r="G992" s="24"/>
      <c r="H992" s="24"/>
      <c r="J992" s="24"/>
      <c r="K992" s="24"/>
    </row>
    <row r="993" ht="15.75" customHeight="1">
      <c r="B993" s="22"/>
      <c r="E993" s="23"/>
      <c r="F993" s="23"/>
      <c r="G993" s="24"/>
      <c r="H993" s="24"/>
      <c r="J993" s="24"/>
      <c r="K993" s="24"/>
    </row>
    <row r="994" ht="15.75" customHeight="1">
      <c r="B994" s="22"/>
      <c r="E994" s="23"/>
      <c r="F994" s="23"/>
      <c r="G994" s="24"/>
      <c r="H994" s="24"/>
      <c r="J994" s="24"/>
      <c r="K994" s="24"/>
    </row>
    <row r="995" ht="15.75" customHeight="1">
      <c r="B995" s="22"/>
      <c r="E995" s="23"/>
      <c r="F995" s="23"/>
      <c r="G995" s="24"/>
      <c r="H995" s="24"/>
      <c r="J995" s="24"/>
      <c r="K995" s="24"/>
    </row>
    <row r="996" ht="15.75" customHeight="1">
      <c r="B996" s="22"/>
      <c r="E996" s="23"/>
      <c r="F996" s="23"/>
      <c r="G996" s="24"/>
      <c r="H996" s="24"/>
      <c r="J996" s="24"/>
      <c r="K996" s="24"/>
    </row>
    <row r="997" ht="15.75" customHeight="1">
      <c r="B997" s="22"/>
      <c r="E997" s="23"/>
      <c r="F997" s="23"/>
      <c r="G997" s="24"/>
      <c r="H997" s="24"/>
      <c r="J997" s="24"/>
      <c r="K997" s="24"/>
    </row>
    <row r="998" ht="15.75" customHeight="1">
      <c r="B998" s="22"/>
      <c r="E998" s="23"/>
      <c r="F998" s="23"/>
      <c r="G998" s="24"/>
      <c r="H998" s="24"/>
      <c r="J998" s="24"/>
      <c r="K998" s="24"/>
    </row>
    <row r="999" ht="15.75" customHeight="1">
      <c r="B999" s="22"/>
      <c r="E999" s="23"/>
      <c r="F999" s="23"/>
      <c r="G999" s="24"/>
      <c r="H999" s="24"/>
      <c r="J999" s="24"/>
      <c r="K999" s="24"/>
    </row>
    <row r="1000" ht="15.75" customHeight="1">
      <c r="B1000" s="22"/>
      <c r="E1000" s="23"/>
      <c r="F1000" s="23"/>
      <c r="G1000" s="24"/>
      <c r="H1000" s="24"/>
      <c r="J1000" s="24"/>
      <c r="K1000" s="24"/>
    </row>
    <row r="1001" ht="15.75" customHeight="1">
      <c r="B1001" s="22"/>
      <c r="E1001" s="23"/>
      <c r="F1001" s="23"/>
      <c r="G1001" s="24"/>
      <c r="H1001" s="24"/>
      <c r="J1001" s="24"/>
      <c r="K1001" s="24"/>
    </row>
    <row r="1002" ht="15.75" customHeight="1">
      <c r="B1002" s="22"/>
      <c r="E1002" s="23"/>
      <c r="F1002" s="23"/>
      <c r="G1002" s="24"/>
      <c r="H1002" s="24"/>
      <c r="J1002" s="24"/>
      <c r="K1002" s="24"/>
    </row>
    <row r="1003" ht="15.75" customHeight="1">
      <c r="B1003" s="22"/>
      <c r="E1003" s="23"/>
      <c r="F1003" s="23"/>
      <c r="G1003" s="24"/>
      <c r="H1003" s="24"/>
      <c r="J1003" s="24"/>
      <c r="K1003" s="24"/>
    </row>
    <row r="1004" ht="15.75" customHeight="1">
      <c r="B1004" s="22"/>
      <c r="E1004" s="23"/>
      <c r="F1004" s="23"/>
      <c r="G1004" s="24"/>
      <c r="H1004" s="24"/>
      <c r="J1004" s="24"/>
      <c r="K1004" s="24"/>
    </row>
    <row r="1005" ht="15.75" customHeight="1">
      <c r="B1005" s="22"/>
      <c r="E1005" s="23"/>
      <c r="F1005" s="23"/>
      <c r="G1005" s="24"/>
      <c r="H1005" s="24"/>
      <c r="J1005" s="24"/>
      <c r="K1005" s="24"/>
    </row>
    <row r="1006" ht="15.75" customHeight="1">
      <c r="B1006" s="22"/>
      <c r="E1006" s="23"/>
      <c r="F1006" s="23"/>
      <c r="G1006" s="24"/>
      <c r="H1006" s="24"/>
      <c r="J1006" s="24"/>
      <c r="K1006" s="24"/>
    </row>
    <row r="1007" ht="15.75" customHeight="1">
      <c r="B1007" s="22"/>
      <c r="E1007" s="23"/>
      <c r="F1007" s="23"/>
      <c r="G1007" s="24"/>
      <c r="H1007" s="24"/>
      <c r="J1007" s="24"/>
      <c r="K1007" s="24"/>
    </row>
    <row r="1008" ht="15.75" customHeight="1">
      <c r="B1008" s="22"/>
      <c r="E1008" s="23"/>
      <c r="F1008" s="23"/>
      <c r="G1008" s="24"/>
      <c r="H1008" s="24"/>
      <c r="J1008" s="24"/>
      <c r="K1008" s="24"/>
    </row>
    <row r="1009" ht="15.75" customHeight="1">
      <c r="B1009" s="22"/>
      <c r="E1009" s="23"/>
      <c r="F1009" s="23"/>
      <c r="G1009" s="24"/>
      <c r="H1009" s="24"/>
      <c r="J1009" s="24"/>
      <c r="K1009" s="24"/>
    </row>
    <row r="1010" ht="15.75" customHeight="1">
      <c r="B1010" s="22"/>
      <c r="E1010" s="23"/>
      <c r="F1010" s="23"/>
      <c r="G1010" s="24"/>
      <c r="H1010" s="24"/>
      <c r="J1010" s="24"/>
      <c r="K1010" s="24"/>
    </row>
    <row r="1011" ht="15.75" customHeight="1">
      <c r="B1011" s="22"/>
      <c r="E1011" s="23"/>
      <c r="F1011" s="23"/>
      <c r="G1011" s="24"/>
      <c r="H1011" s="24"/>
      <c r="J1011" s="24"/>
      <c r="K1011" s="24"/>
    </row>
    <row r="1012" ht="15.75" customHeight="1">
      <c r="B1012" s="22"/>
      <c r="E1012" s="23"/>
      <c r="F1012" s="23"/>
      <c r="G1012" s="24"/>
      <c r="H1012" s="24"/>
      <c r="J1012" s="24"/>
      <c r="K1012" s="24"/>
    </row>
    <row r="1013" ht="15.75" customHeight="1">
      <c r="B1013" s="22"/>
      <c r="E1013" s="23"/>
      <c r="F1013" s="23"/>
      <c r="G1013" s="24"/>
      <c r="H1013" s="24"/>
      <c r="J1013" s="24"/>
      <c r="K1013" s="24"/>
    </row>
    <row r="1014" ht="15.75" customHeight="1">
      <c r="B1014" s="22"/>
      <c r="E1014" s="23"/>
      <c r="F1014" s="23"/>
      <c r="G1014" s="24"/>
      <c r="H1014" s="24"/>
      <c r="J1014" s="24"/>
      <c r="K1014" s="24"/>
    </row>
    <row r="1015" ht="15.75" customHeight="1">
      <c r="B1015" s="22"/>
      <c r="E1015" s="23"/>
      <c r="F1015" s="23"/>
      <c r="G1015" s="24"/>
      <c r="H1015" s="24"/>
      <c r="J1015" s="24"/>
      <c r="K1015" s="24"/>
    </row>
    <row r="1016" ht="15.75" customHeight="1">
      <c r="B1016" s="22"/>
      <c r="E1016" s="23"/>
      <c r="F1016" s="23"/>
      <c r="G1016" s="24"/>
      <c r="H1016" s="24"/>
      <c r="J1016" s="24"/>
      <c r="K1016" s="24"/>
    </row>
    <row r="1017" ht="15.75" customHeight="1">
      <c r="B1017" s="22"/>
      <c r="E1017" s="23"/>
      <c r="F1017" s="23"/>
      <c r="G1017" s="24"/>
      <c r="H1017" s="24"/>
      <c r="J1017" s="24"/>
      <c r="K1017" s="24"/>
    </row>
    <row r="1018" ht="15.75" customHeight="1">
      <c r="B1018" s="22"/>
      <c r="E1018" s="23"/>
      <c r="F1018" s="23"/>
      <c r="G1018" s="24"/>
      <c r="H1018" s="24"/>
      <c r="J1018" s="24"/>
      <c r="K1018" s="24"/>
    </row>
    <row r="1019" ht="15.75" customHeight="1">
      <c r="B1019" s="22"/>
      <c r="E1019" s="23"/>
      <c r="F1019" s="23"/>
      <c r="G1019" s="24"/>
      <c r="H1019" s="24"/>
      <c r="J1019" s="24"/>
      <c r="K1019" s="24"/>
    </row>
    <row r="1020" ht="15.75" customHeight="1">
      <c r="B1020" s="22"/>
      <c r="E1020" s="23"/>
      <c r="F1020" s="23"/>
      <c r="G1020" s="24"/>
      <c r="H1020" s="24"/>
      <c r="J1020" s="24"/>
      <c r="K1020" s="24"/>
    </row>
    <row r="1021" ht="15.75" customHeight="1">
      <c r="B1021" s="22"/>
      <c r="E1021" s="23"/>
      <c r="F1021" s="23"/>
      <c r="G1021" s="24"/>
      <c r="H1021" s="24"/>
      <c r="J1021" s="24"/>
      <c r="K1021" s="24"/>
    </row>
    <row r="1022" ht="15.75" customHeight="1">
      <c r="B1022" s="22"/>
      <c r="E1022" s="23"/>
      <c r="F1022" s="23"/>
      <c r="G1022" s="24"/>
      <c r="H1022" s="24"/>
      <c r="J1022" s="24"/>
      <c r="K1022" s="24"/>
    </row>
    <row r="1023" ht="15.75" customHeight="1">
      <c r="B1023" s="22"/>
      <c r="E1023" s="23"/>
      <c r="F1023" s="23"/>
      <c r="G1023" s="24"/>
      <c r="H1023" s="24"/>
      <c r="J1023" s="24"/>
      <c r="K1023" s="24"/>
    </row>
    <row r="1024" ht="15.75" customHeight="1">
      <c r="B1024" s="22"/>
      <c r="E1024" s="23"/>
      <c r="F1024" s="23"/>
      <c r="G1024" s="24"/>
      <c r="H1024" s="24"/>
      <c r="J1024" s="24"/>
      <c r="K1024" s="24"/>
    </row>
    <row r="1025" ht="15.75" customHeight="1">
      <c r="B1025" s="22"/>
      <c r="E1025" s="23"/>
      <c r="F1025" s="23"/>
      <c r="G1025" s="24"/>
      <c r="H1025" s="24"/>
      <c r="J1025" s="24"/>
      <c r="K1025" s="24"/>
    </row>
    <row r="1026" ht="15.75" customHeight="1">
      <c r="B1026" s="22"/>
      <c r="E1026" s="23"/>
      <c r="F1026" s="23"/>
      <c r="G1026" s="24"/>
      <c r="H1026" s="24"/>
      <c r="J1026" s="24"/>
      <c r="K1026" s="24"/>
    </row>
    <row r="1027" ht="15.75" customHeight="1">
      <c r="B1027" s="22"/>
      <c r="E1027" s="23"/>
      <c r="F1027" s="23"/>
      <c r="G1027" s="24"/>
      <c r="H1027" s="24"/>
      <c r="J1027" s="24"/>
      <c r="K1027" s="24"/>
    </row>
    <row r="1028" ht="15.75" customHeight="1">
      <c r="B1028" s="22"/>
      <c r="E1028" s="23"/>
      <c r="F1028" s="23"/>
      <c r="G1028" s="24"/>
      <c r="H1028" s="24"/>
      <c r="J1028" s="24"/>
      <c r="K1028" s="24"/>
    </row>
    <row r="1029" ht="15.75" customHeight="1">
      <c r="B1029" s="22"/>
      <c r="E1029" s="23"/>
      <c r="F1029" s="23"/>
      <c r="G1029" s="24"/>
      <c r="H1029" s="24"/>
      <c r="J1029" s="24"/>
      <c r="K1029" s="24"/>
    </row>
    <row r="1030" ht="15.75" customHeight="1">
      <c r="B1030" s="22"/>
      <c r="E1030" s="23"/>
      <c r="F1030" s="23"/>
      <c r="G1030" s="24"/>
      <c r="H1030" s="24"/>
      <c r="J1030" s="24"/>
      <c r="K1030" s="24"/>
    </row>
    <row r="1031" ht="15.75" customHeight="1">
      <c r="B1031" s="22"/>
      <c r="E1031" s="23"/>
      <c r="F1031" s="23"/>
      <c r="G1031" s="24"/>
      <c r="H1031" s="24"/>
      <c r="J1031" s="24"/>
      <c r="K1031" s="24"/>
    </row>
    <row r="1032" ht="15.75" customHeight="1">
      <c r="B1032" s="22"/>
      <c r="E1032" s="23"/>
      <c r="F1032" s="23"/>
      <c r="G1032" s="24"/>
      <c r="H1032" s="24"/>
      <c r="J1032" s="24"/>
      <c r="K1032" s="24"/>
    </row>
    <row r="1033" ht="15.75" customHeight="1">
      <c r="B1033" s="22"/>
      <c r="E1033" s="23"/>
      <c r="F1033" s="23"/>
      <c r="G1033" s="24"/>
      <c r="H1033" s="24"/>
      <c r="J1033" s="24"/>
      <c r="K1033" s="24"/>
    </row>
    <row r="1034" ht="15.75" customHeight="1">
      <c r="B1034" s="22"/>
      <c r="E1034" s="23"/>
      <c r="F1034" s="23"/>
      <c r="G1034" s="24"/>
      <c r="H1034" s="24"/>
      <c r="J1034" s="24"/>
      <c r="K1034" s="24"/>
    </row>
    <row r="1035" ht="15.75" customHeight="1">
      <c r="B1035" s="22"/>
      <c r="E1035" s="23"/>
      <c r="F1035" s="23"/>
      <c r="G1035" s="24"/>
      <c r="H1035" s="24"/>
      <c r="J1035" s="24"/>
      <c r="K1035" s="24"/>
    </row>
    <row r="1036" ht="15.75" customHeight="1">
      <c r="B1036" s="22"/>
      <c r="E1036" s="23"/>
      <c r="F1036" s="23"/>
      <c r="G1036" s="24"/>
      <c r="H1036" s="24"/>
      <c r="J1036" s="24"/>
      <c r="K1036" s="24"/>
    </row>
    <row r="1037" ht="15.75" customHeight="1">
      <c r="B1037" s="22"/>
      <c r="E1037" s="23"/>
      <c r="F1037" s="23"/>
      <c r="G1037" s="24"/>
      <c r="H1037" s="24"/>
      <c r="J1037" s="24"/>
      <c r="K1037" s="24"/>
    </row>
    <row r="1038" ht="15.75" customHeight="1">
      <c r="B1038" s="22"/>
      <c r="E1038" s="23"/>
      <c r="F1038" s="23"/>
      <c r="G1038" s="24"/>
      <c r="H1038" s="24"/>
      <c r="J1038" s="24"/>
      <c r="K1038" s="24"/>
    </row>
    <row r="1039" ht="15.75" customHeight="1">
      <c r="B1039" s="22"/>
      <c r="E1039" s="23"/>
      <c r="F1039" s="23"/>
      <c r="G1039" s="24"/>
      <c r="H1039" s="24"/>
      <c r="J1039" s="24"/>
      <c r="K1039" s="24"/>
    </row>
    <row r="1040" ht="15.75" customHeight="1">
      <c r="B1040" s="22"/>
      <c r="E1040" s="23"/>
      <c r="F1040" s="23"/>
      <c r="G1040" s="24"/>
      <c r="H1040" s="24"/>
      <c r="J1040" s="24"/>
      <c r="K1040" s="24"/>
    </row>
    <row r="1041" ht="15.75" customHeight="1">
      <c r="B1041" s="22"/>
      <c r="E1041" s="23"/>
      <c r="F1041" s="23"/>
      <c r="G1041" s="24"/>
      <c r="H1041" s="24"/>
      <c r="J1041" s="24"/>
      <c r="K1041" s="24"/>
    </row>
    <row r="1042" ht="15.75" customHeight="1">
      <c r="B1042" s="22"/>
      <c r="E1042" s="23"/>
      <c r="F1042" s="23"/>
      <c r="G1042" s="24"/>
      <c r="H1042" s="24"/>
      <c r="J1042" s="24"/>
      <c r="K1042" s="24"/>
    </row>
    <row r="1043" ht="15.75" customHeight="1">
      <c r="B1043" s="22"/>
      <c r="E1043" s="23"/>
      <c r="F1043" s="23"/>
      <c r="G1043" s="24"/>
      <c r="H1043" s="24"/>
      <c r="J1043" s="24"/>
      <c r="K1043" s="24"/>
    </row>
    <row r="1044" ht="15.75" customHeight="1">
      <c r="B1044" s="22"/>
      <c r="E1044" s="23"/>
      <c r="F1044" s="23"/>
      <c r="G1044" s="24"/>
      <c r="H1044" s="24"/>
      <c r="J1044" s="24"/>
      <c r="K1044" s="24"/>
    </row>
    <row r="1045" ht="15.75" customHeight="1">
      <c r="B1045" s="22"/>
      <c r="E1045" s="23"/>
      <c r="F1045" s="23"/>
      <c r="G1045" s="24"/>
      <c r="H1045" s="24"/>
      <c r="J1045" s="24"/>
      <c r="K1045" s="24"/>
    </row>
    <row r="1046" ht="15.75" customHeight="1">
      <c r="B1046" s="22"/>
      <c r="E1046" s="23"/>
      <c r="F1046" s="23"/>
      <c r="G1046" s="24"/>
      <c r="H1046" s="24"/>
      <c r="J1046" s="24"/>
      <c r="K1046" s="24"/>
    </row>
    <row r="1047" ht="15.75" customHeight="1">
      <c r="B1047" s="22"/>
      <c r="E1047" s="23"/>
      <c r="F1047" s="23"/>
      <c r="G1047" s="24"/>
      <c r="H1047" s="24"/>
      <c r="J1047" s="24"/>
      <c r="K1047" s="24"/>
    </row>
    <row r="1048" ht="15.75" customHeight="1">
      <c r="B1048" s="22"/>
      <c r="E1048" s="23"/>
      <c r="F1048" s="23"/>
      <c r="G1048" s="24"/>
      <c r="H1048" s="24"/>
      <c r="J1048" s="24"/>
      <c r="K1048" s="24"/>
    </row>
    <row r="1049" ht="15.75" customHeight="1">
      <c r="B1049" s="22"/>
      <c r="E1049" s="23"/>
      <c r="F1049" s="23"/>
      <c r="G1049" s="24"/>
      <c r="H1049" s="24"/>
      <c r="J1049" s="24"/>
      <c r="K1049" s="24"/>
    </row>
    <row r="1050" ht="15.75" customHeight="1">
      <c r="B1050" s="22"/>
      <c r="E1050" s="23"/>
      <c r="F1050" s="23"/>
      <c r="G1050" s="24"/>
      <c r="H1050" s="24"/>
      <c r="J1050" s="24"/>
      <c r="K1050" s="24"/>
    </row>
    <row r="1051" ht="15.75" customHeight="1">
      <c r="B1051" s="22"/>
      <c r="E1051" s="23"/>
      <c r="F1051" s="23"/>
      <c r="G1051" s="24"/>
      <c r="H1051" s="24"/>
      <c r="J1051" s="24"/>
      <c r="K1051" s="24"/>
    </row>
    <row r="1052" ht="15.75" customHeight="1">
      <c r="B1052" s="22"/>
      <c r="E1052" s="23"/>
      <c r="F1052" s="23"/>
      <c r="G1052" s="24"/>
      <c r="H1052" s="24"/>
      <c r="J1052" s="24"/>
      <c r="K1052" s="24"/>
    </row>
    <row r="1053" ht="15.75" customHeight="1">
      <c r="B1053" s="22"/>
      <c r="E1053" s="23"/>
      <c r="F1053" s="23"/>
      <c r="G1053" s="24"/>
      <c r="H1053" s="24"/>
      <c r="J1053" s="24"/>
      <c r="K1053" s="2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hidden="1" min="1" max="1" width="5.0"/>
    <col customWidth="1" min="2" max="2" width="22.14"/>
    <col customWidth="1" min="3" max="6" width="8.71"/>
    <col customWidth="1" min="7" max="7" width="12.0"/>
    <col customWidth="1" min="8" max="9" width="8.71"/>
    <col customWidth="1" min="10" max="10" width="12.71"/>
    <col customWidth="1" min="11" max="15" width="8.71"/>
    <col customWidth="1" min="16" max="17" width="12.71"/>
    <col customWidth="1" min="18" max="23" width="8.71"/>
    <col customWidth="1" min="24" max="25" width="12.71"/>
    <col customWidth="1" min="26" max="29" width="8.71"/>
    <col customWidth="1" min="30" max="31" width="12.71"/>
    <col customWidth="1" min="32" max="38" width="8.71"/>
    <col customWidth="1" min="39" max="39" width="12.71"/>
    <col customWidth="1" min="40" max="42" width="8.71"/>
    <col customWidth="1" min="43" max="43" width="12.71"/>
    <col customWidth="1" min="44" max="46" width="8.71"/>
    <col customWidth="1" min="47" max="47" width="12.71"/>
    <col customWidth="1" min="48" max="51" width="8.71"/>
    <col customWidth="1" min="52" max="52" width="12.71"/>
    <col customWidth="1" min="53" max="54" width="8.71"/>
    <col customWidth="1" min="55" max="56" width="12.71"/>
    <col customWidth="1" min="57" max="61" width="8.71"/>
    <col customWidth="1" min="62" max="62" width="12.71"/>
    <col customWidth="1" min="63" max="63" width="8.71"/>
    <col customWidth="1" min="64" max="64" width="12.71"/>
    <col customWidth="1" min="65" max="67" width="8.71"/>
    <col customWidth="1" min="68" max="69" width="12.71"/>
    <col customWidth="1" min="70" max="75" width="8.71"/>
    <col customWidth="1" min="76" max="76" width="12.71"/>
    <col customWidth="1" min="77" max="77" width="8.71"/>
    <col customWidth="1" min="78" max="78" width="12.71"/>
    <col customWidth="1" min="79" max="81" width="8.71"/>
    <col customWidth="1" min="82" max="82" width="12.71"/>
    <col customWidth="1" min="83" max="83" width="12.29"/>
  </cols>
  <sheetData>
    <row r="1">
      <c r="B1" s="68" t="s">
        <v>63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9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70"/>
    </row>
    <row r="2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3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F2" s="71"/>
    </row>
    <row r="3" ht="16.5" customHeight="1">
      <c r="B3" s="72" t="s">
        <v>64</v>
      </c>
      <c r="C3" s="73" t="s">
        <v>65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5"/>
      <c r="O3" s="76" t="s">
        <v>66</v>
      </c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5"/>
      <c r="AC3" s="77" t="s">
        <v>67</v>
      </c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5"/>
      <c r="AZ3" s="73" t="s">
        <v>68</v>
      </c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5"/>
      <c r="BL3" s="78" t="s">
        <v>69</v>
      </c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9" t="s">
        <v>70</v>
      </c>
      <c r="CF3" s="80"/>
    </row>
    <row r="4">
      <c r="B4" s="81"/>
      <c r="C4" s="82">
        <v>3.0</v>
      </c>
      <c r="D4" s="82">
        <v>4.0</v>
      </c>
      <c r="E4" s="82">
        <v>10.0</v>
      </c>
      <c r="F4" s="82">
        <v>12.0</v>
      </c>
      <c r="G4" s="83" t="s">
        <v>71</v>
      </c>
      <c r="H4" s="82">
        <v>14.0</v>
      </c>
      <c r="I4" s="82">
        <v>15.0</v>
      </c>
      <c r="J4" s="84" t="s">
        <v>72</v>
      </c>
      <c r="K4" s="82">
        <v>21.0</v>
      </c>
      <c r="L4" s="82">
        <v>24.0</v>
      </c>
      <c r="M4" s="82">
        <v>25.0</v>
      </c>
      <c r="N4" s="82">
        <v>26.0</v>
      </c>
      <c r="O4" s="85">
        <v>2.0</v>
      </c>
      <c r="P4" s="84" t="s">
        <v>73</v>
      </c>
      <c r="Q4" s="83" t="s">
        <v>74</v>
      </c>
      <c r="R4" s="85">
        <v>15.0</v>
      </c>
      <c r="S4" s="85">
        <v>16.0</v>
      </c>
      <c r="T4" s="85">
        <v>17.0</v>
      </c>
      <c r="U4" s="85">
        <v>18.0</v>
      </c>
      <c r="V4" s="85">
        <v>19.0</v>
      </c>
      <c r="W4" s="85">
        <v>20.0</v>
      </c>
      <c r="X4" s="84" t="s">
        <v>75</v>
      </c>
      <c r="Y4" s="84" t="s">
        <v>76</v>
      </c>
      <c r="Z4" s="85">
        <v>26.0</v>
      </c>
      <c r="AA4" s="85">
        <v>30.0</v>
      </c>
      <c r="AB4" s="85">
        <v>31.0</v>
      </c>
      <c r="AC4" s="86">
        <v>1.0</v>
      </c>
      <c r="AD4" s="84" t="s">
        <v>77</v>
      </c>
      <c r="AE4" s="83" t="s">
        <v>78</v>
      </c>
      <c r="AF4" s="86">
        <v>7.0</v>
      </c>
      <c r="AG4" s="86">
        <v>8.0</v>
      </c>
      <c r="AH4" s="86">
        <v>9.0</v>
      </c>
      <c r="AI4" s="86">
        <v>12.0</v>
      </c>
      <c r="AJ4" s="86">
        <v>13.0</v>
      </c>
      <c r="AK4" s="86">
        <v>14.0</v>
      </c>
      <c r="AL4" s="86">
        <v>15.0</v>
      </c>
      <c r="AM4" s="84" t="s">
        <v>79</v>
      </c>
      <c r="AN4" s="86">
        <v>20.0</v>
      </c>
      <c r="AO4" s="86">
        <v>21.0</v>
      </c>
      <c r="AP4" s="86">
        <v>22.0</v>
      </c>
      <c r="AQ4" s="83" t="s">
        <v>80</v>
      </c>
      <c r="AR4" s="86">
        <v>23.0</v>
      </c>
      <c r="AS4" s="86">
        <v>24.0</v>
      </c>
      <c r="AT4" s="86">
        <v>26.0</v>
      </c>
      <c r="AU4" s="84" t="s">
        <v>81</v>
      </c>
      <c r="AV4" s="86">
        <v>27.0</v>
      </c>
      <c r="AW4" s="86">
        <v>29.0</v>
      </c>
      <c r="AX4" s="86">
        <v>30.0</v>
      </c>
      <c r="AY4" s="86">
        <v>31.0</v>
      </c>
      <c r="AZ4" s="83" t="s">
        <v>82</v>
      </c>
      <c r="BA4" s="82">
        <v>2.0</v>
      </c>
      <c r="BB4" s="82">
        <v>3.0</v>
      </c>
      <c r="BC4" s="84" t="s">
        <v>77</v>
      </c>
      <c r="BD4" s="87" t="s">
        <v>83</v>
      </c>
      <c r="BE4" s="82">
        <v>4.0</v>
      </c>
      <c r="BF4" s="82">
        <v>6.0</v>
      </c>
      <c r="BG4" s="82">
        <v>23.0</v>
      </c>
      <c r="BH4" s="82">
        <v>24.0</v>
      </c>
      <c r="BI4" s="82">
        <v>25.0</v>
      </c>
      <c r="BJ4" s="83" t="s">
        <v>84</v>
      </c>
      <c r="BK4" s="82">
        <v>30.0</v>
      </c>
      <c r="BL4" s="84" t="s">
        <v>85</v>
      </c>
      <c r="BM4" s="82">
        <v>9.0</v>
      </c>
      <c r="BN4" s="82">
        <v>10.0</v>
      </c>
      <c r="BO4" s="82">
        <v>11.0</v>
      </c>
      <c r="BP4" s="84" t="s">
        <v>86</v>
      </c>
      <c r="BQ4" s="84" t="s">
        <v>86</v>
      </c>
      <c r="BR4" s="82">
        <v>14.0</v>
      </c>
      <c r="BS4" s="82">
        <v>15.0</v>
      </c>
      <c r="BT4" s="82">
        <v>16.0</v>
      </c>
      <c r="BU4" s="82">
        <v>17.0</v>
      </c>
      <c r="BV4" s="82">
        <v>18.0</v>
      </c>
      <c r="BW4" s="82">
        <v>19.0</v>
      </c>
      <c r="BX4" s="84" t="s">
        <v>72</v>
      </c>
      <c r="BY4" s="82">
        <v>21.0</v>
      </c>
      <c r="BZ4" s="83" t="s">
        <v>87</v>
      </c>
      <c r="CA4" s="82">
        <v>24.0</v>
      </c>
      <c r="CB4" s="82">
        <v>25.0</v>
      </c>
      <c r="CC4" s="82">
        <v>26.0</v>
      </c>
      <c r="CD4" s="88" t="s">
        <v>81</v>
      </c>
      <c r="CE4" s="89"/>
      <c r="CF4" s="80"/>
    </row>
    <row r="5">
      <c r="B5" s="90" t="s">
        <v>88</v>
      </c>
      <c r="C5" s="91"/>
      <c r="D5" s="91"/>
      <c r="E5" s="91"/>
      <c r="F5" s="91"/>
      <c r="G5" s="92"/>
      <c r="H5" s="91"/>
      <c r="I5" s="91"/>
      <c r="J5" s="93"/>
      <c r="K5" s="91"/>
      <c r="L5" s="91"/>
      <c r="M5" s="91"/>
      <c r="N5" s="91"/>
      <c r="O5" s="91"/>
      <c r="P5" s="93"/>
      <c r="Q5" s="92"/>
      <c r="R5" s="91"/>
      <c r="S5" s="91"/>
      <c r="T5" s="91"/>
      <c r="U5" s="91"/>
      <c r="V5" s="91"/>
      <c r="W5" s="91"/>
      <c r="X5" s="93"/>
      <c r="Y5" s="93"/>
      <c r="Z5" s="91"/>
      <c r="AA5" s="91"/>
      <c r="AB5" s="91"/>
      <c r="AC5" s="91"/>
      <c r="AD5" s="93"/>
      <c r="AE5" s="92"/>
      <c r="AF5" s="91"/>
      <c r="AG5" s="91"/>
      <c r="AH5" s="91"/>
      <c r="AI5" s="91"/>
      <c r="AJ5" s="91"/>
      <c r="AK5" s="91"/>
      <c r="AL5" s="91"/>
      <c r="AM5" s="93"/>
      <c r="AN5" s="91"/>
      <c r="AO5" s="91"/>
      <c r="AP5" s="91"/>
      <c r="AQ5" s="92"/>
      <c r="AR5" s="91"/>
      <c r="AS5" s="91"/>
      <c r="AT5" s="91"/>
      <c r="AU5" s="93"/>
      <c r="AV5" s="91"/>
      <c r="AW5" s="91"/>
      <c r="AX5" s="91"/>
      <c r="AY5" s="91"/>
      <c r="AZ5" s="92"/>
      <c r="BA5" s="91"/>
      <c r="BB5" s="91"/>
      <c r="BC5" s="93"/>
      <c r="BD5" s="94"/>
      <c r="BE5" s="91"/>
      <c r="BF5" s="91"/>
      <c r="BG5" s="91"/>
      <c r="BH5" s="91"/>
      <c r="BI5" s="91"/>
      <c r="BJ5" s="92"/>
      <c r="BK5" s="91"/>
      <c r="BL5" s="93"/>
      <c r="BM5" s="91"/>
      <c r="BN5" s="91">
        <v>30.0</v>
      </c>
      <c r="BO5" s="91">
        <v>50.0</v>
      </c>
      <c r="BP5" s="93"/>
      <c r="BQ5" s="93">
        <v>-70.0</v>
      </c>
      <c r="BR5" s="91">
        <v>70.0</v>
      </c>
      <c r="BS5" s="91">
        <v>10.0</v>
      </c>
      <c r="BT5" s="91"/>
      <c r="BU5" s="91">
        <v>260.0</v>
      </c>
      <c r="BV5" s="91"/>
      <c r="BW5" s="91"/>
      <c r="BX5" s="93">
        <v>-40.0</v>
      </c>
      <c r="BY5" s="91"/>
      <c r="BZ5" s="92"/>
      <c r="CA5" s="91">
        <v>20.0</v>
      </c>
      <c r="CB5" s="91"/>
      <c r="CC5" s="91">
        <v>10.0</v>
      </c>
      <c r="CD5" s="95">
        <v>-20.0</v>
      </c>
      <c r="CE5" s="96">
        <f t="shared" ref="CE5:CE42" si="1">SUM(C5:CD5)</f>
        <v>320</v>
      </c>
      <c r="CF5" s="97"/>
    </row>
    <row r="6">
      <c r="B6" s="90" t="s">
        <v>89</v>
      </c>
      <c r="C6" s="91"/>
      <c r="D6" s="91"/>
      <c r="E6" s="91"/>
      <c r="F6" s="91"/>
      <c r="G6" s="92"/>
      <c r="H6" s="91"/>
      <c r="I6" s="91"/>
      <c r="J6" s="93"/>
      <c r="K6" s="91"/>
      <c r="L6" s="91">
        <v>40.0</v>
      </c>
      <c r="M6" s="91">
        <v>30.0</v>
      </c>
      <c r="N6" s="91"/>
      <c r="O6" s="91"/>
      <c r="P6" s="93">
        <v>-110.0</v>
      </c>
      <c r="Q6" s="92"/>
      <c r="R6" s="91"/>
      <c r="S6" s="91"/>
      <c r="T6" s="91"/>
      <c r="U6" s="91"/>
      <c r="V6" s="91"/>
      <c r="W6" s="91"/>
      <c r="X6" s="93"/>
      <c r="Y6" s="93"/>
      <c r="Z6" s="91"/>
      <c r="AA6" s="91"/>
      <c r="AB6" s="91"/>
      <c r="AC6" s="91"/>
      <c r="AD6" s="93"/>
      <c r="AE6" s="92"/>
      <c r="AF6" s="91"/>
      <c r="AG6" s="91"/>
      <c r="AH6" s="91"/>
      <c r="AI6" s="91"/>
      <c r="AJ6" s="91"/>
      <c r="AK6" s="91"/>
      <c r="AL6" s="91"/>
      <c r="AM6" s="93"/>
      <c r="AN6" s="91"/>
      <c r="AO6" s="91"/>
      <c r="AP6" s="91"/>
      <c r="AQ6" s="92"/>
      <c r="AR6" s="91"/>
      <c r="AS6" s="91"/>
      <c r="AT6" s="91"/>
      <c r="AU6" s="93"/>
      <c r="AV6" s="91"/>
      <c r="AW6" s="91"/>
      <c r="AX6" s="91"/>
      <c r="AY6" s="91"/>
      <c r="AZ6" s="92"/>
      <c r="BA6" s="91"/>
      <c r="BB6" s="91"/>
      <c r="BC6" s="93"/>
      <c r="BD6" s="94"/>
      <c r="BE6" s="91"/>
      <c r="BF6" s="91"/>
      <c r="BG6" s="91"/>
      <c r="BH6" s="91"/>
      <c r="BI6" s="91"/>
      <c r="BJ6" s="92"/>
      <c r="BK6" s="91"/>
      <c r="BL6" s="93"/>
      <c r="BM6" s="91">
        <v>140.0</v>
      </c>
      <c r="BN6" s="91">
        <f>890+590</f>
        <v>1480</v>
      </c>
      <c r="BO6" s="91">
        <f>660+350+310+80</f>
        <v>1400</v>
      </c>
      <c r="BP6" s="93">
        <v>-380.0</v>
      </c>
      <c r="BQ6" s="93">
        <v>-2640.0</v>
      </c>
      <c r="BR6" s="91">
        <f>770+320+260+170</f>
        <v>1520</v>
      </c>
      <c r="BS6" s="91">
        <f>210+160+30</f>
        <v>400</v>
      </c>
      <c r="BT6" s="91">
        <v>100.0</v>
      </c>
      <c r="BU6" s="91">
        <v>1440.0</v>
      </c>
      <c r="BV6" s="91">
        <v>50.0</v>
      </c>
      <c r="BW6" s="91">
        <v>120.0</v>
      </c>
      <c r="BX6" s="93">
        <v>-2330.0</v>
      </c>
      <c r="BY6" s="91">
        <v>240.0</v>
      </c>
      <c r="BZ6" s="92"/>
      <c r="CA6" s="91">
        <v>240.0</v>
      </c>
      <c r="CB6" s="91">
        <v>80.0</v>
      </c>
      <c r="CC6" s="91">
        <v>60.0</v>
      </c>
      <c r="CD6" s="95">
        <v>-710.0</v>
      </c>
      <c r="CE6" s="96">
        <f t="shared" si="1"/>
        <v>1170</v>
      </c>
      <c r="CF6" s="98"/>
    </row>
    <row r="7">
      <c r="B7" s="99" t="s">
        <v>90</v>
      </c>
      <c r="C7" s="100">
        <v>140.0</v>
      </c>
      <c r="D7" s="100">
        <v>820.0</v>
      </c>
      <c r="E7" s="100">
        <v>20.0</v>
      </c>
      <c r="F7" s="100">
        <v>310.0</v>
      </c>
      <c r="G7" s="101"/>
      <c r="H7" s="100">
        <v>400.0</v>
      </c>
      <c r="I7" s="100">
        <v>580.0</v>
      </c>
      <c r="J7" s="102">
        <v>-2270.0</v>
      </c>
      <c r="K7" s="100">
        <v>1410.0</v>
      </c>
      <c r="L7" s="100">
        <v>1340.0</v>
      </c>
      <c r="M7" s="100">
        <v>410.0</v>
      </c>
      <c r="N7" s="100">
        <v>250.0</v>
      </c>
      <c r="O7" s="100">
        <v>10.0</v>
      </c>
      <c r="P7" s="102">
        <v>-3380.0</v>
      </c>
      <c r="Q7" s="101"/>
      <c r="R7" s="100">
        <v>40.0</v>
      </c>
      <c r="S7" s="100">
        <v>10.0</v>
      </c>
      <c r="T7" s="100">
        <v>50.0</v>
      </c>
      <c r="U7" s="100">
        <v>80.0</v>
      </c>
      <c r="V7" s="100">
        <v>10.0</v>
      </c>
      <c r="W7" s="100"/>
      <c r="X7" s="102">
        <v>-240.0</v>
      </c>
      <c r="Y7" s="102"/>
      <c r="Z7" s="100"/>
      <c r="AA7" s="100"/>
      <c r="AB7" s="100"/>
      <c r="AC7" s="100"/>
      <c r="AD7" s="102"/>
      <c r="AE7" s="101"/>
      <c r="AF7" s="100"/>
      <c r="AG7" s="100"/>
      <c r="AH7" s="100"/>
      <c r="AI7" s="100"/>
      <c r="AJ7" s="100">
        <v>20.0</v>
      </c>
      <c r="AK7" s="100">
        <v>210.0</v>
      </c>
      <c r="AL7" s="100">
        <v>100.0</v>
      </c>
      <c r="AM7" s="102">
        <v>-330.0</v>
      </c>
      <c r="AN7" s="100">
        <v>50.0</v>
      </c>
      <c r="AO7" s="100">
        <v>20.0</v>
      </c>
      <c r="AP7" s="100">
        <v>90.0</v>
      </c>
      <c r="AQ7" s="101"/>
      <c r="AR7" s="100">
        <v>80.0</v>
      </c>
      <c r="AS7" s="100">
        <v>110.0</v>
      </c>
      <c r="AT7" s="100"/>
      <c r="AU7" s="102">
        <v>-390.0</v>
      </c>
      <c r="AV7" s="100">
        <v>140.0</v>
      </c>
      <c r="AW7" s="100">
        <v>60.0</v>
      </c>
      <c r="AX7" s="100">
        <v>20.0</v>
      </c>
      <c r="AY7" s="100"/>
      <c r="AZ7" s="101"/>
      <c r="BA7" s="100">
        <v>40.0</v>
      </c>
      <c r="BB7" s="100">
        <v>70.0</v>
      </c>
      <c r="BC7" s="102">
        <v>-350.0</v>
      </c>
      <c r="BD7" s="103"/>
      <c r="BE7" s="100">
        <v>40.0</v>
      </c>
      <c r="BF7" s="100"/>
      <c r="BG7" s="100">
        <v>60.0</v>
      </c>
      <c r="BH7" s="100">
        <v>10.0</v>
      </c>
      <c r="BI7" s="100">
        <v>10.0</v>
      </c>
      <c r="BJ7" s="92">
        <v>10.0</v>
      </c>
      <c r="BK7" s="91">
        <v>170.0</v>
      </c>
      <c r="BL7" s="102">
        <v>-140.0</v>
      </c>
      <c r="BM7" s="100">
        <f>110+220+70</f>
        <v>400</v>
      </c>
      <c r="BN7" s="100">
        <f>220+260</f>
        <v>480</v>
      </c>
      <c r="BO7" s="100">
        <f>360+390+310+530</f>
        <v>1590</v>
      </c>
      <c r="BP7" s="102">
        <v>-570.0</v>
      </c>
      <c r="BQ7" s="102">
        <v>-2070.0</v>
      </c>
      <c r="BR7" s="100">
        <f>530+460+490+410</f>
        <v>1890</v>
      </c>
      <c r="BS7" s="100">
        <f>570+720+240</f>
        <v>1530</v>
      </c>
      <c r="BT7" s="100">
        <f>850+690+530</f>
        <v>2070</v>
      </c>
      <c r="BU7" s="100">
        <v>50.0</v>
      </c>
      <c r="BV7" s="100">
        <f>690+530+300</f>
        <v>1520</v>
      </c>
      <c r="BW7" s="100">
        <v>790.0</v>
      </c>
      <c r="BX7" s="102">
        <v>-8310.0</v>
      </c>
      <c r="BY7" s="100">
        <f>1100+820+370</f>
        <v>2290</v>
      </c>
      <c r="BZ7" s="92"/>
      <c r="CA7" s="100">
        <f>920+680+580+700</f>
        <v>2880</v>
      </c>
      <c r="CB7" s="100">
        <v>2720.0</v>
      </c>
      <c r="CC7" s="100">
        <f>620+640+910</f>
        <v>2170</v>
      </c>
      <c r="CD7" s="104">
        <v>-8610.0</v>
      </c>
      <c r="CE7" s="105">
        <f t="shared" si="1"/>
        <v>910</v>
      </c>
      <c r="CF7" s="98" t="s">
        <v>91</v>
      </c>
    </row>
    <row r="8">
      <c r="B8" s="106" t="s">
        <v>92</v>
      </c>
      <c r="C8" s="107">
        <v>20.0</v>
      </c>
      <c r="D8" s="107">
        <v>90.0</v>
      </c>
      <c r="E8" s="107">
        <v>10.0</v>
      </c>
      <c r="F8" s="107">
        <v>60.0</v>
      </c>
      <c r="G8" s="108"/>
      <c r="H8" s="107">
        <v>140.0</v>
      </c>
      <c r="I8" s="107">
        <v>60.0</v>
      </c>
      <c r="J8" s="109">
        <v>-380.0</v>
      </c>
      <c r="K8" s="107">
        <v>350.0</v>
      </c>
      <c r="L8" s="107">
        <v>980.0</v>
      </c>
      <c r="M8" s="107">
        <v>210.0</v>
      </c>
      <c r="N8" s="107">
        <v>130.0</v>
      </c>
      <c r="O8" s="107">
        <v>10.0</v>
      </c>
      <c r="P8" s="109">
        <v>-1580.0</v>
      </c>
      <c r="Q8" s="108"/>
      <c r="R8" s="107">
        <v>220.0</v>
      </c>
      <c r="S8" s="107">
        <f>230+290</f>
        <v>520</v>
      </c>
      <c r="T8" s="107">
        <v>470.0</v>
      </c>
      <c r="U8" s="107">
        <v>820.0</v>
      </c>
      <c r="V8" s="107">
        <v>440.0</v>
      </c>
      <c r="W8" s="107">
        <v>10.0</v>
      </c>
      <c r="X8" s="109">
        <v>-2280.0</v>
      </c>
      <c r="Y8" s="109"/>
      <c r="Z8" s="107">
        <v>10.0</v>
      </c>
      <c r="AA8" s="107">
        <v>60.0</v>
      </c>
      <c r="AB8" s="107">
        <v>210.0</v>
      </c>
      <c r="AC8" s="107"/>
      <c r="AD8" s="109">
        <v>-450.0</v>
      </c>
      <c r="AE8" s="108"/>
      <c r="AF8" s="107"/>
      <c r="AG8" s="107"/>
      <c r="AH8" s="107"/>
      <c r="AI8" s="107"/>
      <c r="AJ8" s="107">
        <v>70.0</v>
      </c>
      <c r="AK8" s="107">
        <v>20.0</v>
      </c>
      <c r="AL8" s="107">
        <v>30.0</v>
      </c>
      <c r="AM8" s="109">
        <v>-130.0</v>
      </c>
      <c r="AN8" s="107">
        <v>20.0</v>
      </c>
      <c r="AO8" s="107">
        <v>10.0</v>
      </c>
      <c r="AP8" s="107">
        <v>170.0</v>
      </c>
      <c r="AQ8" s="108"/>
      <c r="AR8" s="107">
        <v>30.0</v>
      </c>
      <c r="AS8" s="107"/>
      <c r="AT8" s="107"/>
      <c r="AU8" s="109">
        <v>-350.0</v>
      </c>
      <c r="AV8" s="107">
        <v>210.0</v>
      </c>
      <c r="AW8" s="107">
        <v>440.0</v>
      </c>
      <c r="AX8" s="107">
        <v>100.0</v>
      </c>
      <c r="AY8" s="107"/>
      <c r="AZ8" s="108"/>
      <c r="BA8" s="107">
        <v>140.0</v>
      </c>
      <c r="BB8" s="107">
        <v>170.0</v>
      </c>
      <c r="BC8" s="109">
        <f>-880-180</f>
        <v>-1060</v>
      </c>
      <c r="BD8" s="110"/>
      <c r="BE8" s="107">
        <v>180.0</v>
      </c>
      <c r="BF8" s="107">
        <v>20.0</v>
      </c>
      <c r="BG8" s="107"/>
      <c r="BH8" s="107"/>
      <c r="BI8" s="107"/>
      <c r="BJ8" s="111"/>
      <c r="BK8" s="100">
        <v>20.0</v>
      </c>
      <c r="BL8" s="109">
        <v>-290.0</v>
      </c>
      <c r="BM8" s="107">
        <v>20.0</v>
      </c>
      <c r="BN8" s="107">
        <v>10.0</v>
      </c>
      <c r="BO8" s="107">
        <v>110.0</v>
      </c>
      <c r="BP8" s="109">
        <v>-50.0</v>
      </c>
      <c r="BQ8" s="109">
        <v>-110.0</v>
      </c>
      <c r="BR8" s="107">
        <v>50.0</v>
      </c>
      <c r="BS8" s="107">
        <v>40.0</v>
      </c>
      <c r="BT8" s="107">
        <v>20.0</v>
      </c>
      <c r="BU8" s="107"/>
      <c r="BV8" s="107">
        <v>80.0</v>
      </c>
      <c r="BW8" s="107">
        <v>20.0</v>
      </c>
      <c r="BX8" s="109">
        <v>-260.0</v>
      </c>
      <c r="BY8" s="107">
        <v>70.0</v>
      </c>
      <c r="BZ8" s="111"/>
      <c r="CA8" s="107">
        <v>220.0</v>
      </c>
      <c r="CB8" s="107">
        <v>160.0</v>
      </c>
      <c r="CC8" s="107">
        <v>160.0</v>
      </c>
      <c r="CD8" s="112">
        <v>-630.0</v>
      </c>
      <c r="CE8" s="113">
        <f t="shared" si="1"/>
        <v>-160</v>
      </c>
      <c r="CF8" s="98">
        <f>SUM(CE5:CE8)</f>
        <v>2240</v>
      </c>
    </row>
    <row r="9">
      <c r="A9" s="25"/>
      <c r="B9" s="114" t="s">
        <v>93</v>
      </c>
      <c r="C9" s="115"/>
      <c r="D9" s="115"/>
      <c r="E9" s="115"/>
      <c r="F9" s="115"/>
      <c r="G9" s="116"/>
      <c r="H9" s="115"/>
      <c r="I9" s="115"/>
      <c r="J9" s="117"/>
      <c r="K9" s="115"/>
      <c r="L9" s="115">
        <v>100.0</v>
      </c>
      <c r="M9" s="115">
        <v>20.0</v>
      </c>
      <c r="N9" s="115"/>
      <c r="O9" s="118"/>
      <c r="P9" s="119">
        <v>-90.0</v>
      </c>
      <c r="Q9" s="120"/>
      <c r="R9" s="118"/>
      <c r="S9" s="118"/>
      <c r="T9" s="118">
        <v>20.0</v>
      </c>
      <c r="U9" s="118">
        <v>30.0</v>
      </c>
      <c r="V9" s="118"/>
      <c r="W9" s="118"/>
      <c r="X9" s="119">
        <v>-20.0</v>
      </c>
      <c r="Y9" s="119"/>
      <c r="Z9" s="118"/>
      <c r="AA9" s="118"/>
      <c r="AB9" s="118"/>
      <c r="AC9" s="118">
        <v>30.0</v>
      </c>
      <c r="AD9" s="119"/>
      <c r="AE9" s="120"/>
      <c r="AF9" s="118"/>
      <c r="AG9" s="118"/>
      <c r="AH9" s="118"/>
      <c r="AI9" s="118"/>
      <c r="AJ9" s="118"/>
      <c r="AK9" s="118"/>
      <c r="AL9" s="118"/>
      <c r="AM9" s="119"/>
      <c r="AN9" s="118"/>
      <c r="AO9" s="118">
        <v>10.0</v>
      </c>
      <c r="AP9" s="118"/>
      <c r="AQ9" s="120"/>
      <c r="AR9" s="118"/>
      <c r="AS9" s="118"/>
      <c r="AT9" s="118"/>
      <c r="AU9" s="119">
        <v>-20.0</v>
      </c>
      <c r="AV9" s="118"/>
      <c r="AW9" s="118"/>
      <c r="AX9" s="118">
        <v>70.0</v>
      </c>
      <c r="AY9" s="118"/>
      <c r="AZ9" s="120"/>
      <c r="BA9" s="118"/>
      <c r="BB9" s="118"/>
      <c r="BC9" s="119">
        <v>-60.0</v>
      </c>
      <c r="BD9" s="121"/>
      <c r="BE9" s="118"/>
      <c r="BF9" s="118"/>
      <c r="BG9" s="118"/>
      <c r="BH9" s="118">
        <v>10.0</v>
      </c>
      <c r="BI9" s="118">
        <v>310.0</v>
      </c>
      <c r="BJ9" s="120"/>
      <c r="BK9" s="118">
        <v>10.0</v>
      </c>
      <c r="BL9" s="119">
        <v>-310.0</v>
      </c>
      <c r="BM9" s="118">
        <v>60.0</v>
      </c>
      <c r="BN9" s="118">
        <v>70.0</v>
      </c>
      <c r="BO9" s="118">
        <v>100.0</v>
      </c>
      <c r="BP9" s="119">
        <v>-220.0</v>
      </c>
      <c r="BQ9" s="119"/>
      <c r="BR9" s="118">
        <v>120.0</v>
      </c>
      <c r="BS9" s="118">
        <v>50.0</v>
      </c>
      <c r="BT9" s="118">
        <v>20.0</v>
      </c>
      <c r="BU9" s="118">
        <v>10.0</v>
      </c>
      <c r="BV9" s="118">
        <v>20.0</v>
      </c>
      <c r="BW9" s="118">
        <v>10.0</v>
      </c>
      <c r="BX9" s="119">
        <v>-210.0</v>
      </c>
      <c r="BY9" s="118">
        <v>10.0</v>
      </c>
      <c r="BZ9" s="120"/>
      <c r="CA9" s="118">
        <v>90.0</v>
      </c>
      <c r="CB9" s="118">
        <v>10.0</v>
      </c>
      <c r="CC9" s="118">
        <v>50.0</v>
      </c>
      <c r="CD9" s="122">
        <v>-100.0</v>
      </c>
      <c r="CE9" s="123">
        <f t="shared" si="1"/>
        <v>200</v>
      </c>
      <c r="CF9" s="124"/>
    </row>
    <row r="10">
      <c r="A10" s="125"/>
      <c r="B10" s="126" t="s">
        <v>94</v>
      </c>
      <c r="C10" s="127">
        <v>20.0</v>
      </c>
      <c r="D10" s="127">
        <v>50.0</v>
      </c>
      <c r="E10" s="127">
        <v>120.0</v>
      </c>
      <c r="F10" s="127">
        <v>40.0</v>
      </c>
      <c r="G10" s="128"/>
      <c r="H10" s="127">
        <v>40.0</v>
      </c>
      <c r="I10" s="127">
        <v>50.0</v>
      </c>
      <c r="J10" s="129">
        <v>-230.0</v>
      </c>
      <c r="K10" s="127">
        <v>130.0</v>
      </c>
      <c r="L10" s="127">
        <v>410.0</v>
      </c>
      <c r="M10" s="127">
        <v>130.0</v>
      </c>
      <c r="N10" s="127">
        <v>50.0</v>
      </c>
      <c r="O10" s="127">
        <v>20.0</v>
      </c>
      <c r="P10" s="129">
        <v>-510.0</v>
      </c>
      <c r="Q10" s="128">
        <v>20.0</v>
      </c>
      <c r="R10" s="127">
        <v>10.0</v>
      </c>
      <c r="S10" s="127"/>
      <c r="T10" s="127">
        <v>100.0</v>
      </c>
      <c r="U10" s="127">
        <v>240.0</v>
      </c>
      <c r="V10" s="127"/>
      <c r="W10" s="127"/>
      <c r="X10" s="129">
        <v>-390.0</v>
      </c>
      <c r="Y10" s="129"/>
      <c r="Z10" s="127"/>
      <c r="AA10" s="127"/>
      <c r="AB10" s="127"/>
      <c r="AC10" s="127">
        <f>480+130</f>
        <v>610</v>
      </c>
      <c r="AD10" s="129">
        <v>-150.0</v>
      </c>
      <c r="AE10" s="128"/>
      <c r="AF10" s="127"/>
      <c r="AG10" s="127"/>
      <c r="AH10" s="127">
        <v>60.0</v>
      </c>
      <c r="AI10" s="127">
        <v>90.0</v>
      </c>
      <c r="AJ10" s="127">
        <v>30.0</v>
      </c>
      <c r="AK10" s="127">
        <v>50.0</v>
      </c>
      <c r="AL10" s="127">
        <v>50.0</v>
      </c>
      <c r="AM10" s="129">
        <v>-240.0</v>
      </c>
      <c r="AN10" s="127">
        <v>60.0</v>
      </c>
      <c r="AO10" s="127">
        <v>100.0</v>
      </c>
      <c r="AP10" s="127">
        <v>10.0</v>
      </c>
      <c r="AQ10" s="128"/>
      <c r="AR10" s="127">
        <v>20.0</v>
      </c>
      <c r="AS10" s="127">
        <v>30.0</v>
      </c>
      <c r="AT10" s="127">
        <v>150.0</v>
      </c>
      <c r="AU10" s="129">
        <v>-450.0</v>
      </c>
      <c r="AV10" s="127">
        <v>40.0</v>
      </c>
      <c r="AW10" s="127">
        <v>40.0</v>
      </c>
      <c r="AX10" s="127">
        <v>140.0</v>
      </c>
      <c r="AY10" s="127">
        <v>10.0</v>
      </c>
      <c r="AZ10" s="128">
        <v>10.0</v>
      </c>
      <c r="BA10" s="127">
        <v>180.0</v>
      </c>
      <c r="BB10" s="127">
        <v>170.0</v>
      </c>
      <c r="BC10" s="129">
        <v>-520.0</v>
      </c>
      <c r="BD10" s="130"/>
      <c r="BE10" s="127">
        <v>10.0</v>
      </c>
      <c r="BF10" s="127">
        <v>70.0</v>
      </c>
      <c r="BG10" s="127">
        <v>480.0</v>
      </c>
      <c r="BH10" s="127">
        <v>60.0</v>
      </c>
      <c r="BI10" s="127">
        <v>490.0</v>
      </c>
      <c r="BJ10" s="128"/>
      <c r="BK10" s="127">
        <v>480.0</v>
      </c>
      <c r="BL10" s="129">
        <v>-1180.0</v>
      </c>
      <c r="BM10" s="127">
        <f>380+530+720</f>
        <v>1630</v>
      </c>
      <c r="BN10" s="127">
        <v>700.0</v>
      </c>
      <c r="BO10" s="127">
        <f>230+460+470+30</f>
        <v>1190</v>
      </c>
      <c r="BP10" s="129">
        <v>-3970.0</v>
      </c>
      <c r="BQ10" s="129"/>
      <c r="BR10" s="127">
        <f>80+410+210+270</f>
        <v>970</v>
      </c>
      <c r="BS10" s="127">
        <f>270+220+170</f>
        <v>660</v>
      </c>
      <c r="BT10" s="127">
        <v>70.0</v>
      </c>
      <c r="BU10" s="127">
        <v>130.0</v>
      </c>
      <c r="BV10" s="127">
        <v>160.0</v>
      </c>
      <c r="BW10" s="127">
        <v>160.0</v>
      </c>
      <c r="BX10" s="129">
        <v>-2130.0</v>
      </c>
      <c r="BY10" s="127">
        <v>210.0</v>
      </c>
      <c r="BZ10" s="128">
        <v>10.0</v>
      </c>
      <c r="CA10" s="127">
        <f>150+180</f>
        <v>330</v>
      </c>
      <c r="CB10" s="127">
        <v>60.0</v>
      </c>
      <c r="CC10" s="127">
        <v>170.0</v>
      </c>
      <c r="CD10" s="131">
        <v>-680.0</v>
      </c>
      <c r="CE10" s="123">
        <f t="shared" si="1"/>
        <v>870</v>
      </c>
      <c r="CF10" s="124"/>
    </row>
    <row r="11">
      <c r="A11" s="125"/>
      <c r="B11" s="126" t="s">
        <v>95</v>
      </c>
      <c r="C11" s="127">
        <v>1980.0</v>
      </c>
      <c r="D11" s="127">
        <v>2880.0</v>
      </c>
      <c r="E11" s="127">
        <v>1990.0</v>
      </c>
      <c r="F11" s="127">
        <v>3460.0</v>
      </c>
      <c r="G11" s="128">
        <v>20.0</v>
      </c>
      <c r="H11" s="127">
        <v>2850.0</v>
      </c>
      <c r="I11" s="127">
        <v>4230.0</v>
      </c>
      <c r="J11" s="129">
        <v>-14180.0</v>
      </c>
      <c r="K11" s="127">
        <v>3680.0</v>
      </c>
      <c r="L11" s="127">
        <v>3390.0</v>
      </c>
      <c r="M11" s="127">
        <v>1430.0</v>
      </c>
      <c r="N11" s="127">
        <v>770.0</v>
      </c>
      <c r="O11" s="127">
        <f>290+550</f>
        <v>840</v>
      </c>
      <c r="P11" s="129">
        <v>-8660.0</v>
      </c>
      <c r="Q11" s="128">
        <v>10.0</v>
      </c>
      <c r="R11" s="127">
        <v>150.0</v>
      </c>
      <c r="S11" s="127">
        <v>90.0</v>
      </c>
      <c r="T11" s="127">
        <v>580.0</v>
      </c>
      <c r="U11" s="127">
        <v>1310.0</v>
      </c>
      <c r="V11" s="127">
        <v>120.0</v>
      </c>
      <c r="W11" s="127">
        <v>230.0</v>
      </c>
      <c r="X11" s="129">
        <v>-4600.0</v>
      </c>
      <c r="Y11" s="129"/>
      <c r="Z11" s="127">
        <v>40.0</v>
      </c>
      <c r="AA11" s="127">
        <v>190.0</v>
      </c>
      <c r="AB11" s="127">
        <v>250.0</v>
      </c>
      <c r="AC11" s="127">
        <f>940+340</f>
        <v>1280</v>
      </c>
      <c r="AD11" s="129">
        <f>-4380-70</f>
        <v>-4450</v>
      </c>
      <c r="AE11" s="128">
        <v>10.0</v>
      </c>
      <c r="AF11" s="127">
        <v>10.0</v>
      </c>
      <c r="AG11" s="127">
        <v>380.0</v>
      </c>
      <c r="AH11" s="127">
        <v>570.0</v>
      </c>
      <c r="AI11" s="127">
        <f>920+1180+630</f>
        <v>2730</v>
      </c>
      <c r="AJ11" s="127">
        <v>700.0</v>
      </c>
      <c r="AK11" s="127">
        <f>1320+1330+910</f>
        <v>3560</v>
      </c>
      <c r="AL11" s="127">
        <f>2030+810</f>
        <v>2840</v>
      </c>
      <c r="AM11" s="129">
        <f>-9640-380</f>
        <v>-10020</v>
      </c>
      <c r="AN11" s="127">
        <f>910+410</f>
        <v>1320</v>
      </c>
      <c r="AO11" s="127">
        <f>590+570</f>
        <v>1160</v>
      </c>
      <c r="AP11" s="127">
        <f>420+510</f>
        <v>930</v>
      </c>
      <c r="AQ11" s="128">
        <v>10.0</v>
      </c>
      <c r="AR11" s="127">
        <v>1010.0</v>
      </c>
      <c r="AS11" s="127">
        <f>760+470</f>
        <v>1230</v>
      </c>
      <c r="AT11" s="127">
        <v>900.0</v>
      </c>
      <c r="AU11" s="129">
        <v>-7970.0</v>
      </c>
      <c r="AV11" s="127">
        <f>490+460+270</f>
        <v>1220</v>
      </c>
      <c r="AW11" s="127">
        <f>240+320+430+290+300</f>
        <v>1580</v>
      </c>
      <c r="AX11" s="127">
        <v>950.0</v>
      </c>
      <c r="AY11" s="127">
        <v>280.0</v>
      </c>
      <c r="AZ11" s="128"/>
      <c r="BA11" s="127">
        <v>230.0</v>
      </c>
      <c r="BB11" s="127">
        <f>430+300+340+190+200</f>
        <v>1460</v>
      </c>
      <c r="BC11" s="129">
        <f>-5080+50</f>
        <v>-5030</v>
      </c>
      <c r="BD11" s="130"/>
      <c r="BE11" s="127">
        <v>330.0</v>
      </c>
      <c r="BF11" s="127">
        <f>350+200+390</f>
        <v>940</v>
      </c>
      <c r="BG11" s="127">
        <f>510+770+440</f>
        <v>1720</v>
      </c>
      <c r="BH11" s="127">
        <v>590.0</v>
      </c>
      <c r="BI11" s="127">
        <v>260.0</v>
      </c>
      <c r="BJ11" s="128">
        <v>20.0</v>
      </c>
      <c r="BK11" s="127">
        <f>840+540+470</f>
        <v>1850</v>
      </c>
      <c r="BL11" s="129">
        <v>-4510.0</v>
      </c>
      <c r="BM11" s="127">
        <f>710+650+320</f>
        <v>1680</v>
      </c>
      <c r="BN11" s="127">
        <v>220.0</v>
      </c>
      <c r="BO11" s="127">
        <f>110+270+200+140</f>
        <v>720</v>
      </c>
      <c r="BP11" s="129">
        <v>-4390.0</v>
      </c>
      <c r="BQ11" s="129"/>
      <c r="BR11" s="127">
        <f>40+290+390+350</f>
        <v>1070</v>
      </c>
      <c r="BS11" s="127">
        <f>350+390+920</f>
        <v>1660</v>
      </c>
      <c r="BT11" s="127">
        <f>640+740+730</f>
        <v>2110</v>
      </c>
      <c r="BU11" s="127">
        <f>540+470</f>
        <v>1010</v>
      </c>
      <c r="BV11" s="127">
        <f>830+720+980</f>
        <v>2530</v>
      </c>
      <c r="BW11" s="127">
        <f>720+1380</f>
        <v>2100</v>
      </c>
      <c r="BX11" s="129">
        <f>-3800-340</f>
        <v>-4140</v>
      </c>
      <c r="BY11" s="127">
        <f>340+530+1050</f>
        <v>1920</v>
      </c>
      <c r="BZ11" s="128">
        <v>20.0</v>
      </c>
      <c r="CA11" s="127">
        <f>420+580+710+490</f>
        <v>2200</v>
      </c>
      <c r="CB11" s="127">
        <f>640+630+260</f>
        <v>1530</v>
      </c>
      <c r="CC11" s="127">
        <f>720+790+370</f>
        <v>1880</v>
      </c>
      <c r="CD11" s="131">
        <v>-8730.0</v>
      </c>
      <c r="CE11" s="132">
        <f t="shared" si="1"/>
        <v>4530</v>
      </c>
      <c r="CF11" s="125"/>
    </row>
    <row r="12">
      <c r="A12" s="125"/>
      <c r="B12" s="126" t="s">
        <v>96</v>
      </c>
      <c r="C12" s="127">
        <v>360.0</v>
      </c>
      <c r="D12" s="127">
        <v>360.0</v>
      </c>
      <c r="E12" s="127">
        <v>250.0</v>
      </c>
      <c r="F12" s="127">
        <v>480.0</v>
      </c>
      <c r="G12" s="128"/>
      <c r="H12" s="127">
        <v>930.0</v>
      </c>
      <c r="I12" s="127">
        <v>830.0</v>
      </c>
      <c r="J12" s="129">
        <v>-2920.0</v>
      </c>
      <c r="K12" s="127">
        <v>830.0</v>
      </c>
      <c r="L12" s="127">
        <v>1350.0</v>
      </c>
      <c r="M12" s="127">
        <v>1580.0</v>
      </c>
      <c r="N12" s="127">
        <v>960.0</v>
      </c>
      <c r="O12" s="127">
        <f>820+510</f>
        <v>1330</v>
      </c>
      <c r="P12" s="129">
        <v>-4240.0</v>
      </c>
      <c r="Q12" s="128"/>
      <c r="R12" s="127">
        <v>650.0</v>
      </c>
      <c r="S12" s="127">
        <f>1300+1110</f>
        <v>2410</v>
      </c>
      <c r="T12" s="127">
        <v>3370.0</v>
      </c>
      <c r="U12" s="127">
        <v>3480.0</v>
      </c>
      <c r="V12" s="127">
        <v>2490.0</v>
      </c>
      <c r="W12" s="127">
        <v>2550.0</v>
      </c>
      <c r="X12" s="129">
        <v>-12470.0</v>
      </c>
      <c r="Y12" s="129"/>
      <c r="Z12" s="127">
        <f>1610-20</f>
        <v>1590</v>
      </c>
      <c r="AA12" s="127">
        <f>2070+840-20</f>
        <v>2890</v>
      </c>
      <c r="AB12" s="127">
        <v>5160.0</v>
      </c>
      <c r="AC12" s="127">
        <v>90.0</v>
      </c>
      <c r="AD12" s="129">
        <v>-12200.0</v>
      </c>
      <c r="AE12" s="128">
        <v>20.0</v>
      </c>
      <c r="AF12" s="127">
        <v>730.0</v>
      </c>
      <c r="AG12" s="127">
        <v>150.0</v>
      </c>
      <c r="AH12" s="127">
        <v>360.0</v>
      </c>
      <c r="AI12" s="127">
        <f>320+140+520</f>
        <v>980</v>
      </c>
      <c r="AJ12" s="127">
        <v>1380.0</v>
      </c>
      <c r="AK12" s="127">
        <v>120.0</v>
      </c>
      <c r="AL12" s="127">
        <f>520+340</f>
        <v>860</v>
      </c>
      <c r="AM12" s="129">
        <v>-4170.0</v>
      </c>
      <c r="AN12" s="127">
        <f>490+340</f>
        <v>830</v>
      </c>
      <c r="AO12" s="127">
        <f>490+450</f>
        <v>940</v>
      </c>
      <c r="AP12" s="127">
        <f>590+900</f>
        <v>1490</v>
      </c>
      <c r="AQ12" s="128">
        <v>30.0</v>
      </c>
      <c r="AR12" s="127">
        <v>480.0</v>
      </c>
      <c r="AS12" s="127">
        <f>530+370</f>
        <v>900</v>
      </c>
      <c r="AT12" s="127">
        <v>1040.0</v>
      </c>
      <c r="AU12" s="129">
        <v>-8630.0</v>
      </c>
      <c r="AV12" s="127">
        <f>820+720+680</f>
        <v>2220</v>
      </c>
      <c r="AW12" s="127">
        <f>1050+1060+1030+960+1030</f>
        <v>5130</v>
      </c>
      <c r="AX12" s="127">
        <v>1060.0</v>
      </c>
      <c r="AY12" s="127">
        <v>920.0</v>
      </c>
      <c r="AZ12" s="128">
        <v>30.0</v>
      </c>
      <c r="BA12" s="127">
        <v>800.0</v>
      </c>
      <c r="BB12" s="127">
        <f>800+810+740+570+540</f>
        <v>3460</v>
      </c>
      <c r="BC12" s="129">
        <f>-11590-50</f>
        <v>-11640</v>
      </c>
      <c r="BD12" s="130">
        <v>-10.0</v>
      </c>
      <c r="BE12" s="127">
        <f>950+460</f>
        <v>1410</v>
      </c>
      <c r="BF12" s="127">
        <f>950+1000+860+1080</f>
        <v>3890</v>
      </c>
      <c r="BG12" s="127">
        <f>80+150+120</f>
        <v>350</v>
      </c>
      <c r="BH12" s="127">
        <v>550.0</v>
      </c>
      <c r="BI12" s="127">
        <v>100.0</v>
      </c>
      <c r="BJ12" s="128">
        <v>30.0</v>
      </c>
      <c r="BK12" s="127">
        <v>170.0</v>
      </c>
      <c r="BL12" s="129">
        <v>-8160.0</v>
      </c>
      <c r="BM12" s="127">
        <f>110+20+20</f>
        <v>150</v>
      </c>
      <c r="BN12" s="127">
        <v>20.0</v>
      </c>
      <c r="BO12" s="127">
        <f>20+20+20+40</f>
        <v>100</v>
      </c>
      <c r="BP12" s="129">
        <v>-410.0</v>
      </c>
      <c r="BQ12" s="129"/>
      <c r="BR12" s="127">
        <v>100.0</v>
      </c>
      <c r="BS12" s="127">
        <v>250.0</v>
      </c>
      <c r="BT12" s="127">
        <v>130.0</v>
      </c>
      <c r="BU12" s="127">
        <v>110.0</v>
      </c>
      <c r="BV12" s="127">
        <v>180.0</v>
      </c>
      <c r="BW12" s="127">
        <v>100.0</v>
      </c>
      <c r="BX12" s="129">
        <v>-730.0</v>
      </c>
      <c r="BY12" s="127">
        <v>100.0</v>
      </c>
      <c r="BZ12" s="128">
        <v>20.0</v>
      </c>
      <c r="CA12" s="127">
        <v>260.0</v>
      </c>
      <c r="CB12" s="127">
        <v>100.0</v>
      </c>
      <c r="CC12" s="127">
        <v>140.0</v>
      </c>
      <c r="CD12" s="131">
        <v>-500.0</v>
      </c>
      <c r="CE12" s="132">
        <f t="shared" si="1"/>
        <v>50</v>
      </c>
      <c r="CF12" s="124" t="s">
        <v>97</v>
      </c>
    </row>
    <row r="13">
      <c r="A13" s="125"/>
      <c r="B13" s="133" t="s">
        <v>98</v>
      </c>
      <c r="C13" s="134"/>
      <c r="D13" s="134"/>
      <c r="E13" s="134"/>
      <c r="F13" s="134"/>
      <c r="G13" s="135"/>
      <c r="H13" s="134"/>
      <c r="I13" s="134"/>
      <c r="J13" s="136"/>
      <c r="K13" s="134"/>
      <c r="L13" s="134"/>
      <c r="M13" s="134"/>
      <c r="N13" s="134"/>
      <c r="O13" s="134"/>
      <c r="P13" s="136"/>
      <c r="Q13" s="135"/>
      <c r="R13" s="134"/>
      <c r="S13" s="134"/>
      <c r="T13" s="134"/>
      <c r="U13" s="134"/>
      <c r="V13" s="134"/>
      <c r="W13" s="134"/>
      <c r="X13" s="136"/>
      <c r="Y13" s="136"/>
      <c r="Z13" s="134">
        <v>20.0</v>
      </c>
      <c r="AA13" s="134">
        <v>30.0</v>
      </c>
      <c r="AB13" s="134">
        <v>120.0</v>
      </c>
      <c r="AC13" s="134"/>
      <c r="AD13" s="136"/>
      <c r="AE13" s="135"/>
      <c r="AF13" s="134">
        <v>50.0</v>
      </c>
      <c r="AG13" s="134"/>
      <c r="AH13" s="134">
        <v>20.0</v>
      </c>
      <c r="AI13" s="134">
        <v>10.0</v>
      </c>
      <c r="AJ13" s="134">
        <v>70.0</v>
      </c>
      <c r="AK13" s="134"/>
      <c r="AL13" s="134">
        <v>20.0</v>
      </c>
      <c r="AM13" s="136">
        <v>-50.0</v>
      </c>
      <c r="AN13" s="134">
        <v>10.0</v>
      </c>
      <c r="AO13" s="134">
        <v>20.0</v>
      </c>
      <c r="AP13" s="134">
        <v>10.0</v>
      </c>
      <c r="AQ13" s="135">
        <v>20.0</v>
      </c>
      <c r="AR13" s="134">
        <v>20.0</v>
      </c>
      <c r="AS13" s="134"/>
      <c r="AT13" s="134">
        <v>150.0</v>
      </c>
      <c r="AU13" s="136"/>
      <c r="AV13" s="134">
        <v>50.0</v>
      </c>
      <c r="AW13" s="134">
        <v>50.0</v>
      </c>
      <c r="AX13" s="134">
        <v>20.0</v>
      </c>
      <c r="AY13" s="134">
        <v>230.0</v>
      </c>
      <c r="AZ13" s="135"/>
      <c r="BA13" s="134">
        <v>30.0</v>
      </c>
      <c r="BB13" s="134">
        <v>90.0</v>
      </c>
      <c r="BC13" s="136"/>
      <c r="BD13" s="137"/>
      <c r="BE13" s="134">
        <v>10.0</v>
      </c>
      <c r="BF13" s="134">
        <f>20+50+30+70</f>
        <v>170</v>
      </c>
      <c r="BG13" s="134"/>
      <c r="BH13" s="134">
        <v>10.0</v>
      </c>
      <c r="BI13" s="134"/>
      <c r="BJ13" s="135"/>
      <c r="BK13" s="134"/>
      <c r="BL13" s="136">
        <v>-890.0</v>
      </c>
      <c r="BM13" s="134"/>
      <c r="BN13" s="134"/>
      <c r="BO13" s="134">
        <v>10.0</v>
      </c>
      <c r="BP13" s="136">
        <v>-10.0</v>
      </c>
      <c r="BQ13" s="136"/>
      <c r="BR13" s="134"/>
      <c r="BS13" s="134"/>
      <c r="BT13" s="134"/>
      <c r="BU13" s="134"/>
      <c r="BV13" s="134">
        <v>10.0</v>
      </c>
      <c r="BW13" s="134"/>
      <c r="BX13" s="136"/>
      <c r="BY13" s="134"/>
      <c r="BZ13" s="135"/>
      <c r="CA13" s="134">
        <v>20.0</v>
      </c>
      <c r="CB13" s="134"/>
      <c r="CC13" s="134">
        <v>10.0</v>
      </c>
      <c r="CD13" s="138">
        <v>-20.0</v>
      </c>
      <c r="CE13" s="139">
        <f t="shared" si="1"/>
        <v>310</v>
      </c>
      <c r="CF13" s="124">
        <f>SUM(CE9:CE13)</f>
        <v>5960</v>
      </c>
    </row>
    <row r="14">
      <c r="A14" s="140"/>
      <c r="B14" s="141" t="s">
        <v>99</v>
      </c>
      <c r="C14" s="142"/>
      <c r="D14" s="142"/>
      <c r="E14" s="142"/>
      <c r="F14" s="142"/>
      <c r="G14" s="143"/>
      <c r="H14" s="142"/>
      <c r="I14" s="142"/>
      <c r="J14" s="144"/>
      <c r="K14" s="142"/>
      <c r="L14" s="142"/>
      <c r="M14" s="142"/>
      <c r="N14" s="142"/>
      <c r="O14" s="142"/>
      <c r="P14" s="144"/>
      <c r="Q14" s="143"/>
      <c r="R14" s="142"/>
      <c r="S14" s="142"/>
      <c r="T14" s="142"/>
      <c r="U14" s="142"/>
      <c r="V14" s="142"/>
      <c r="W14" s="142"/>
      <c r="X14" s="144"/>
      <c r="Y14" s="144"/>
      <c r="Z14" s="142"/>
      <c r="AA14" s="142"/>
      <c r="AB14" s="142"/>
      <c r="AC14" s="142"/>
      <c r="AD14" s="144"/>
      <c r="AE14" s="143"/>
      <c r="AF14" s="142"/>
      <c r="AG14" s="142"/>
      <c r="AH14" s="142"/>
      <c r="AI14" s="142"/>
      <c r="AJ14" s="142"/>
      <c r="AK14" s="142"/>
      <c r="AL14" s="142"/>
      <c r="AM14" s="144"/>
      <c r="AN14" s="142"/>
      <c r="AO14" s="142"/>
      <c r="AP14" s="142"/>
      <c r="AQ14" s="143"/>
      <c r="AR14" s="142"/>
      <c r="AS14" s="142"/>
      <c r="AT14" s="142"/>
      <c r="AU14" s="144"/>
      <c r="AV14" s="142"/>
      <c r="AW14" s="142"/>
      <c r="AX14" s="142"/>
      <c r="AY14" s="142"/>
      <c r="AZ14" s="143"/>
      <c r="BA14" s="142"/>
      <c r="BB14" s="142"/>
      <c r="BC14" s="144"/>
      <c r="BD14" s="145"/>
      <c r="BE14" s="142"/>
      <c r="BF14" s="142"/>
      <c r="BG14" s="142"/>
      <c r="BH14" s="142"/>
      <c r="BI14" s="142"/>
      <c r="BJ14" s="143"/>
      <c r="BK14" s="142"/>
      <c r="BL14" s="144"/>
      <c r="BM14" s="142"/>
      <c r="BN14" s="142"/>
      <c r="BO14" s="142"/>
      <c r="BP14" s="144"/>
      <c r="BQ14" s="144"/>
      <c r="BR14" s="142"/>
      <c r="BS14" s="142"/>
      <c r="BT14" s="142"/>
      <c r="BU14" s="142"/>
      <c r="BV14" s="142"/>
      <c r="BW14" s="142"/>
      <c r="BX14" s="144"/>
      <c r="BY14" s="142"/>
      <c r="BZ14" s="143"/>
      <c r="CA14" s="142"/>
      <c r="CB14" s="142"/>
      <c r="CC14" s="142"/>
      <c r="CD14" s="146"/>
      <c r="CE14" s="147">
        <f t="shared" si="1"/>
        <v>0</v>
      </c>
      <c r="CF14" s="148"/>
    </row>
    <row r="15" ht="15.0" customHeight="1">
      <c r="A15" s="140"/>
      <c r="B15" s="149" t="s">
        <v>100</v>
      </c>
      <c r="C15" s="150"/>
      <c r="D15" s="150"/>
      <c r="E15" s="150">
        <v>10.0</v>
      </c>
      <c r="F15" s="150"/>
      <c r="G15" s="151"/>
      <c r="H15" s="150"/>
      <c r="I15" s="150"/>
      <c r="J15" s="152"/>
      <c r="K15" s="150"/>
      <c r="L15" s="150"/>
      <c r="M15" s="150"/>
      <c r="N15" s="150"/>
      <c r="O15" s="150"/>
      <c r="P15" s="152"/>
      <c r="Q15" s="151"/>
      <c r="R15" s="150"/>
      <c r="S15" s="150"/>
      <c r="T15" s="150"/>
      <c r="U15" s="150"/>
      <c r="V15" s="150"/>
      <c r="W15" s="150"/>
      <c r="X15" s="152"/>
      <c r="Y15" s="152"/>
      <c r="Z15" s="150"/>
      <c r="AA15" s="150"/>
      <c r="AB15" s="150"/>
      <c r="AC15" s="150"/>
      <c r="AD15" s="152"/>
      <c r="AE15" s="151"/>
      <c r="AF15" s="150"/>
      <c r="AG15" s="150"/>
      <c r="AH15" s="150"/>
      <c r="AI15" s="150"/>
      <c r="AJ15" s="150"/>
      <c r="AK15" s="150"/>
      <c r="AL15" s="150"/>
      <c r="AM15" s="152"/>
      <c r="AN15" s="150"/>
      <c r="AO15" s="150"/>
      <c r="AP15" s="150"/>
      <c r="AQ15" s="151"/>
      <c r="AR15" s="150"/>
      <c r="AS15" s="150"/>
      <c r="AT15" s="150"/>
      <c r="AU15" s="152"/>
      <c r="AV15" s="150"/>
      <c r="AW15" s="150"/>
      <c r="AX15" s="150"/>
      <c r="AY15" s="150"/>
      <c r="AZ15" s="151"/>
      <c r="BA15" s="150"/>
      <c r="BB15" s="150"/>
      <c r="BC15" s="152"/>
      <c r="BD15" s="153"/>
      <c r="BE15" s="150"/>
      <c r="BF15" s="150"/>
      <c r="BG15" s="150"/>
      <c r="BH15" s="150"/>
      <c r="BI15" s="150"/>
      <c r="BJ15" s="151"/>
      <c r="BK15" s="150"/>
      <c r="BL15" s="152"/>
      <c r="BM15" s="150"/>
      <c r="BN15" s="150"/>
      <c r="BO15" s="150"/>
      <c r="BP15" s="152"/>
      <c r="BQ15" s="152"/>
      <c r="BR15" s="150"/>
      <c r="BS15" s="150"/>
      <c r="BT15" s="150"/>
      <c r="BU15" s="150"/>
      <c r="BV15" s="150"/>
      <c r="BW15" s="150"/>
      <c r="BX15" s="152"/>
      <c r="BY15" s="150"/>
      <c r="BZ15" s="151"/>
      <c r="CA15" s="150"/>
      <c r="CB15" s="150"/>
      <c r="CC15" s="150"/>
      <c r="CD15" s="154"/>
      <c r="CE15" s="155">
        <f t="shared" si="1"/>
        <v>10</v>
      </c>
      <c r="CF15" s="156" t="s">
        <v>101</v>
      </c>
    </row>
    <row r="16">
      <c r="A16" s="140"/>
      <c r="B16" s="157" t="s">
        <v>102</v>
      </c>
      <c r="C16" s="158"/>
      <c r="D16" s="158"/>
      <c r="E16" s="158"/>
      <c r="F16" s="158"/>
      <c r="G16" s="159"/>
      <c r="H16" s="158"/>
      <c r="I16" s="158"/>
      <c r="J16" s="160"/>
      <c r="K16" s="158"/>
      <c r="L16" s="158"/>
      <c r="M16" s="158"/>
      <c r="N16" s="158"/>
      <c r="O16" s="158"/>
      <c r="P16" s="160"/>
      <c r="Q16" s="159"/>
      <c r="R16" s="158"/>
      <c r="S16" s="158"/>
      <c r="T16" s="158"/>
      <c r="U16" s="158"/>
      <c r="V16" s="158"/>
      <c r="W16" s="158"/>
      <c r="X16" s="160"/>
      <c r="Y16" s="160"/>
      <c r="Z16" s="158"/>
      <c r="AA16" s="158"/>
      <c r="AB16" s="158"/>
      <c r="AC16" s="158"/>
      <c r="AD16" s="160"/>
      <c r="AE16" s="159"/>
      <c r="AF16" s="158"/>
      <c r="AG16" s="158"/>
      <c r="AH16" s="158"/>
      <c r="AI16" s="158"/>
      <c r="AJ16" s="158"/>
      <c r="AK16" s="158"/>
      <c r="AL16" s="158"/>
      <c r="AM16" s="160"/>
      <c r="AN16" s="158"/>
      <c r="AO16" s="158"/>
      <c r="AP16" s="158"/>
      <c r="AQ16" s="159"/>
      <c r="AR16" s="158"/>
      <c r="AS16" s="158"/>
      <c r="AT16" s="158"/>
      <c r="AU16" s="160"/>
      <c r="AV16" s="158"/>
      <c r="AW16" s="158"/>
      <c r="AX16" s="158"/>
      <c r="AY16" s="158"/>
      <c r="AZ16" s="159"/>
      <c r="BA16" s="158"/>
      <c r="BB16" s="158"/>
      <c r="BC16" s="160"/>
      <c r="BD16" s="161"/>
      <c r="BE16" s="158"/>
      <c r="BF16" s="158"/>
      <c r="BG16" s="158"/>
      <c r="BH16" s="158"/>
      <c r="BI16" s="158"/>
      <c r="BJ16" s="159"/>
      <c r="BK16" s="158"/>
      <c r="BL16" s="160"/>
      <c r="BM16" s="158"/>
      <c r="BN16" s="158"/>
      <c r="BO16" s="158"/>
      <c r="BP16" s="160"/>
      <c r="BQ16" s="160"/>
      <c r="BR16" s="158"/>
      <c r="BS16" s="158"/>
      <c r="BT16" s="158"/>
      <c r="BU16" s="158"/>
      <c r="BV16" s="158"/>
      <c r="BW16" s="158"/>
      <c r="BX16" s="160"/>
      <c r="BY16" s="158"/>
      <c r="BZ16" s="159"/>
      <c r="CA16" s="158"/>
      <c r="CB16" s="158"/>
      <c r="CC16" s="158"/>
      <c r="CD16" s="162"/>
      <c r="CE16" s="163">
        <f t="shared" si="1"/>
        <v>0</v>
      </c>
      <c r="CF16" s="156">
        <f>SUM(CE14:CE16)</f>
        <v>10</v>
      </c>
    </row>
    <row r="17">
      <c r="A17" s="140"/>
      <c r="B17" s="164" t="s">
        <v>103</v>
      </c>
      <c r="C17" s="165"/>
      <c r="D17" s="165"/>
      <c r="E17" s="165"/>
      <c r="F17" s="165"/>
      <c r="G17" s="166"/>
      <c r="H17" s="167"/>
      <c r="I17" s="167"/>
      <c r="J17" s="168"/>
      <c r="K17" s="165"/>
      <c r="L17" s="165"/>
      <c r="M17" s="165"/>
      <c r="N17" s="165"/>
      <c r="O17" s="165"/>
      <c r="P17" s="169"/>
      <c r="Q17" s="166"/>
      <c r="R17" s="165"/>
      <c r="S17" s="165"/>
      <c r="T17" s="165">
        <v>20.0</v>
      </c>
      <c r="U17" s="165">
        <v>20.0</v>
      </c>
      <c r="V17" s="165"/>
      <c r="W17" s="165"/>
      <c r="X17" s="169"/>
      <c r="Y17" s="169"/>
      <c r="Z17" s="165"/>
      <c r="AA17" s="165"/>
      <c r="AB17" s="165"/>
      <c r="AC17" s="165">
        <v>30.0</v>
      </c>
      <c r="AD17" s="169">
        <v>-60.0</v>
      </c>
      <c r="AE17" s="166"/>
      <c r="AF17" s="165"/>
      <c r="AG17" s="165"/>
      <c r="AH17" s="165"/>
      <c r="AI17" s="165"/>
      <c r="AJ17" s="165"/>
      <c r="AK17" s="165"/>
      <c r="AL17" s="165"/>
      <c r="AM17" s="169"/>
      <c r="AN17" s="165"/>
      <c r="AO17" s="165"/>
      <c r="AP17" s="165"/>
      <c r="AQ17" s="166"/>
      <c r="AR17" s="165"/>
      <c r="AS17" s="165"/>
      <c r="AT17" s="165"/>
      <c r="AU17" s="169"/>
      <c r="AV17" s="165"/>
      <c r="AW17" s="165"/>
      <c r="AX17" s="165">
        <v>10.0</v>
      </c>
      <c r="AY17" s="165"/>
      <c r="AZ17" s="166"/>
      <c r="BA17" s="165"/>
      <c r="BB17" s="165"/>
      <c r="BC17" s="169"/>
      <c r="BD17" s="170"/>
      <c r="BE17" s="165"/>
      <c r="BF17" s="165"/>
      <c r="BG17" s="165">
        <v>30.0</v>
      </c>
      <c r="BH17" s="165"/>
      <c r="BI17" s="165">
        <v>410.0</v>
      </c>
      <c r="BJ17" s="166"/>
      <c r="BK17" s="165"/>
      <c r="BL17" s="169">
        <v>-440.0</v>
      </c>
      <c r="BM17" s="165">
        <v>110.0</v>
      </c>
      <c r="BN17" s="165">
        <v>30.0</v>
      </c>
      <c r="BO17" s="165">
        <v>10.0</v>
      </c>
      <c r="BP17" s="169"/>
      <c r="BQ17" s="169">
        <v>-10.0</v>
      </c>
      <c r="BR17" s="165">
        <v>50.0</v>
      </c>
      <c r="BS17" s="165">
        <v>20.0</v>
      </c>
      <c r="BT17" s="165"/>
      <c r="BU17" s="165">
        <v>10.0</v>
      </c>
      <c r="BV17" s="165">
        <v>20.0</v>
      </c>
      <c r="BW17" s="165"/>
      <c r="BX17" s="169">
        <v>-240.0</v>
      </c>
      <c r="BY17" s="165">
        <v>10.0</v>
      </c>
      <c r="BZ17" s="166"/>
      <c r="CA17" s="165"/>
      <c r="CB17" s="165"/>
      <c r="CC17" s="165"/>
      <c r="CD17" s="171"/>
      <c r="CE17" s="172">
        <f t="shared" si="1"/>
        <v>30</v>
      </c>
      <c r="CF17" s="156"/>
    </row>
    <row r="18" ht="15.75" customHeight="1">
      <c r="A18" s="125"/>
      <c r="B18" s="164" t="s">
        <v>104</v>
      </c>
      <c r="C18" s="165"/>
      <c r="D18" s="165"/>
      <c r="E18" s="165">
        <v>10.0</v>
      </c>
      <c r="F18" s="165"/>
      <c r="G18" s="166">
        <v>20.0</v>
      </c>
      <c r="H18" s="165">
        <v>10.0</v>
      </c>
      <c r="I18" s="165"/>
      <c r="J18" s="168"/>
      <c r="K18" s="165">
        <v>20.0</v>
      </c>
      <c r="L18" s="165">
        <v>30.0</v>
      </c>
      <c r="M18" s="165"/>
      <c r="N18" s="165"/>
      <c r="O18" s="165">
        <v>20.0</v>
      </c>
      <c r="P18" s="169"/>
      <c r="Q18" s="166"/>
      <c r="R18" s="165"/>
      <c r="S18" s="165"/>
      <c r="T18" s="165">
        <v>10.0</v>
      </c>
      <c r="U18" s="165">
        <v>10.0</v>
      </c>
      <c r="V18" s="165"/>
      <c r="W18" s="165"/>
      <c r="X18" s="169"/>
      <c r="Y18" s="169"/>
      <c r="Z18" s="165"/>
      <c r="AA18" s="165"/>
      <c r="AB18" s="165"/>
      <c r="AC18" s="165">
        <v>30.0</v>
      </c>
      <c r="AD18" s="169">
        <v>-130.0</v>
      </c>
      <c r="AE18" s="166"/>
      <c r="AF18" s="165"/>
      <c r="AG18" s="165"/>
      <c r="AH18" s="165"/>
      <c r="AI18" s="165">
        <v>60.0</v>
      </c>
      <c r="AJ18" s="165">
        <v>10.0</v>
      </c>
      <c r="AK18" s="165">
        <v>40.0</v>
      </c>
      <c r="AL18" s="165">
        <v>30.0</v>
      </c>
      <c r="AM18" s="169">
        <v>-130.0</v>
      </c>
      <c r="AN18" s="165">
        <v>40.0</v>
      </c>
      <c r="AO18" s="165">
        <v>10.0</v>
      </c>
      <c r="AP18" s="165"/>
      <c r="AQ18" s="166"/>
      <c r="AR18" s="165">
        <v>30.0</v>
      </c>
      <c r="AS18" s="165">
        <v>10.0</v>
      </c>
      <c r="AT18" s="165">
        <v>130.0</v>
      </c>
      <c r="AU18" s="169">
        <v>-200.0</v>
      </c>
      <c r="AV18" s="165">
        <v>10.0</v>
      </c>
      <c r="AW18" s="165"/>
      <c r="AX18" s="165"/>
      <c r="AY18" s="165"/>
      <c r="AZ18" s="166">
        <v>20.0</v>
      </c>
      <c r="BA18" s="165">
        <v>20.0</v>
      </c>
      <c r="BB18" s="165">
        <v>80.0</v>
      </c>
      <c r="BC18" s="169"/>
      <c r="BD18" s="170"/>
      <c r="BE18" s="165"/>
      <c r="BF18" s="165">
        <v>20.0</v>
      </c>
      <c r="BG18" s="165">
        <v>360.0</v>
      </c>
      <c r="BH18" s="165">
        <v>30.0</v>
      </c>
      <c r="BI18" s="165">
        <v>40.0</v>
      </c>
      <c r="BJ18" s="166"/>
      <c r="BK18" s="165">
        <v>30.0</v>
      </c>
      <c r="BL18" s="169">
        <v>-470.0</v>
      </c>
      <c r="BM18" s="165">
        <v>110.0</v>
      </c>
      <c r="BN18" s="165">
        <v>80.0</v>
      </c>
      <c r="BO18" s="165">
        <v>30.0</v>
      </c>
      <c r="BP18" s="169"/>
      <c r="BQ18" s="169">
        <v>-60.0</v>
      </c>
      <c r="BR18" s="165">
        <v>40.0</v>
      </c>
      <c r="BS18" s="165">
        <v>20.0</v>
      </c>
      <c r="BT18" s="165"/>
      <c r="BU18" s="165"/>
      <c r="BV18" s="165">
        <v>40.0</v>
      </c>
      <c r="BW18" s="165"/>
      <c r="BX18" s="169">
        <v>-450.0</v>
      </c>
      <c r="BY18" s="165">
        <v>80.0</v>
      </c>
      <c r="BZ18" s="166">
        <v>20.0</v>
      </c>
      <c r="CA18" s="165"/>
      <c r="CB18" s="165"/>
      <c r="CC18" s="165"/>
      <c r="CD18" s="171"/>
      <c r="CE18" s="172">
        <f t="shared" si="1"/>
        <v>110</v>
      </c>
      <c r="CF18" s="173"/>
    </row>
    <row r="19" ht="15.75" customHeight="1">
      <c r="A19" s="125"/>
      <c r="B19" s="174" t="s">
        <v>105</v>
      </c>
      <c r="C19" s="175">
        <v>50.0</v>
      </c>
      <c r="D19" s="175">
        <v>40.0</v>
      </c>
      <c r="E19" s="175">
        <v>60.0</v>
      </c>
      <c r="F19" s="175">
        <v>70.0</v>
      </c>
      <c r="G19" s="176">
        <v>10.0</v>
      </c>
      <c r="H19" s="175">
        <v>50.0</v>
      </c>
      <c r="I19" s="175">
        <v>110.0</v>
      </c>
      <c r="J19" s="168"/>
      <c r="K19" s="175">
        <v>60.0</v>
      </c>
      <c r="L19" s="175">
        <v>40.0</v>
      </c>
      <c r="M19" s="175">
        <v>150.0</v>
      </c>
      <c r="N19" s="175">
        <v>20.0</v>
      </c>
      <c r="O19" s="175">
        <v>160.0</v>
      </c>
      <c r="P19" s="168"/>
      <c r="Q19" s="176">
        <v>10.0</v>
      </c>
      <c r="R19" s="175"/>
      <c r="S19" s="175"/>
      <c r="T19" s="175">
        <v>10.0</v>
      </c>
      <c r="U19" s="175">
        <v>20.0</v>
      </c>
      <c r="V19" s="175"/>
      <c r="W19" s="175"/>
      <c r="X19" s="168"/>
      <c r="Y19" s="168"/>
      <c r="Z19" s="175"/>
      <c r="AA19" s="175"/>
      <c r="AB19" s="175"/>
      <c r="AC19" s="175">
        <v>40.0</v>
      </c>
      <c r="AD19" s="168">
        <v>-890.0</v>
      </c>
      <c r="AE19" s="176">
        <v>20.0</v>
      </c>
      <c r="AF19" s="175"/>
      <c r="AG19" s="175">
        <v>20.0</v>
      </c>
      <c r="AH19" s="175"/>
      <c r="AI19" s="175">
        <f>80+150+190</f>
        <v>420</v>
      </c>
      <c r="AJ19" s="175">
        <v>160.0</v>
      </c>
      <c r="AK19" s="175">
        <v>90.0</v>
      </c>
      <c r="AL19" s="175">
        <v>160.0</v>
      </c>
      <c r="AM19" s="168">
        <v>-870.0</v>
      </c>
      <c r="AN19" s="175">
        <v>150.0</v>
      </c>
      <c r="AO19" s="175">
        <v>90.0</v>
      </c>
      <c r="AP19" s="175">
        <v>110.0</v>
      </c>
      <c r="AQ19" s="176">
        <v>10.0</v>
      </c>
      <c r="AR19" s="175">
        <v>150.0</v>
      </c>
      <c r="AS19" s="175">
        <v>140.0</v>
      </c>
      <c r="AT19" s="165">
        <f>90+220</f>
        <v>310</v>
      </c>
      <c r="AU19" s="169">
        <f>-980-60</f>
        <v>-1040</v>
      </c>
      <c r="AV19" s="175">
        <v>100.0</v>
      </c>
      <c r="AW19" s="175">
        <v>180.0</v>
      </c>
      <c r="AX19" s="175">
        <v>140.0</v>
      </c>
      <c r="AY19" s="175">
        <v>50.0</v>
      </c>
      <c r="AZ19" s="176">
        <v>40.0</v>
      </c>
      <c r="BA19" s="175">
        <v>20.0</v>
      </c>
      <c r="BB19" s="175">
        <v>190.0</v>
      </c>
      <c r="BC19" s="168">
        <v>-40.0</v>
      </c>
      <c r="BD19" s="177"/>
      <c r="BE19" s="175">
        <v>70.0</v>
      </c>
      <c r="BF19" s="175">
        <v>150.0</v>
      </c>
      <c r="BG19" s="175">
        <f>160+70+120</f>
        <v>350</v>
      </c>
      <c r="BH19" s="175">
        <v>90.0</v>
      </c>
      <c r="BI19" s="175">
        <v>40.0</v>
      </c>
      <c r="BJ19" s="176"/>
      <c r="BK19" s="175">
        <v>220.0</v>
      </c>
      <c r="BL19" s="168">
        <v>-950.0</v>
      </c>
      <c r="BM19" s="175">
        <v>140.0</v>
      </c>
      <c r="BN19" s="175">
        <v>30.0</v>
      </c>
      <c r="BO19" s="175">
        <v>20.0</v>
      </c>
      <c r="BP19" s="168"/>
      <c r="BQ19" s="168">
        <v>-40.0</v>
      </c>
      <c r="BR19" s="175">
        <v>30.0</v>
      </c>
      <c r="BS19" s="175">
        <v>20.0</v>
      </c>
      <c r="BT19" s="175">
        <v>50.0</v>
      </c>
      <c r="BU19" s="175">
        <v>30.0</v>
      </c>
      <c r="BV19" s="175">
        <v>130.0</v>
      </c>
      <c r="BW19" s="175">
        <v>40.0</v>
      </c>
      <c r="BX19" s="168">
        <v>-940.0</v>
      </c>
      <c r="BY19" s="175"/>
      <c r="BZ19" s="176">
        <v>30.0</v>
      </c>
      <c r="CA19" s="175">
        <v>40.0</v>
      </c>
      <c r="CB19" s="175">
        <v>30.0</v>
      </c>
      <c r="CC19" s="175">
        <v>20.0</v>
      </c>
      <c r="CD19" s="178"/>
      <c r="CE19" s="179">
        <f t="shared" si="1"/>
        <v>210</v>
      </c>
      <c r="CF19" s="125"/>
    </row>
    <row r="20" ht="15.75" customHeight="1">
      <c r="A20" s="125"/>
      <c r="B20" s="180" t="s">
        <v>106</v>
      </c>
      <c r="C20" s="181">
        <v>10.0</v>
      </c>
      <c r="D20" s="181"/>
      <c r="E20" s="181"/>
      <c r="F20" s="181">
        <v>10.0</v>
      </c>
      <c r="G20" s="182">
        <v>10.0</v>
      </c>
      <c r="H20" s="181">
        <v>10.0</v>
      </c>
      <c r="I20" s="181">
        <v>20.0</v>
      </c>
      <c r="J20" s="183"/>
      <c r="K20" s="181">
        <v>10.0</v>
      </c>
      <c r="L20" s="181"/>
      <c r="M20" s="181">
        <v>50.0</v>
      </c>
      <c r="N20" s="181">
        <v>70.0</v>
      </c>
      <c r="O20" s="181">
        <v>30.0</v>
      </c>
      <c r="P20" s="183"/>
      <c r="Q20" s="182"/>
      <c r="R20" s="181"/>
      <c r="S20" s="181">
        <v>20.0</v>
      </c>
      <c r="T20" s="181">
        <v>90.0</v>
      </c>
      <c r="U20" s="181">
        <v>70.0</v>
      </c>
      <c r="V20" s="181"/>
      <c r="W20" s="181">
        <v>20.0</v>
      </c>
      <c r="X20" s="183"/>
      <c r="Y20" s="183"/>
      <c r="Z20" s="181"/>
      <c r="AA20" s="181">
        <v>80.0</v>
      </c>
      <c r="AB20" s="181">
        <v>110.0</v>
      </c>
      <c r="AC20" s="181"/>
      <c r="AD20" s="183">
        <v>-560.0</v>
      </c>
      <c r="AE20" s="182">
        <v>10.0</v>
      </c>
      <c r="AF20" s="181"/>
      <c r="AG20" s="181">
        <v>30.0</v>
      </c>
      <c r="AH20" s="181">
        <v>10.0</v>
      </c>
      <c r="AI20" s="181">
        <v>70.0</v>
      </c>
      <c r="AJ20" s="181">
        <v>90.0</v>
      </c>
      <c r="AK20" s="181"/>
      <c r="AL20" s="181">
        <v>60.0</v>
      </c>
      <c r="AM20" s="183">
        <v>-230.0</v>
      </c>
      <c r="AN20" s="181">
        <v>10.0</v>
      </c>
      <c r="AO20" s="181">
        <v>40.0</v>
      </c>
      <c r="AP20" s="181">
        <v>50.0</v>
      </c>
      <c r="AQ20" s="182">
        <v>10.0</v>
      </c>
      <c r="AR20" s="181">
        <v>30.0</v>
      </c>
      <c r="AS20" s="181">
        <v>50.0</v>
      </c>
      <c r="AT20" s="181">
        <v>170.0</v>
      </c>
      <c r="AU20" s="183">
        <v>-430.0</v>
      </c>
      <c r="AV20" s="181">
        <v>60.0</v>
      </c>
      <c r="AW20" s="181">
        <v>240.0</v>
      </c>
      <c r="AX20" s="181">
        <v>100.0</v>
      </c>
      <c r="AY20" s="181">
        <v>140.0</v>
      </c>
      <c r="AZ20" s="182">
        <v>30.0</v>
      </c>
      <c r="BA20" s="181">
        <v>30.0</v>
      </c>
      <c r="BB20" s="181">
        <f>180+50</f>
        <v>230</v>
      </c>
      <c r="BC20" s="183">
        <v>-560.0</v>
      </c>
      <c r="BD20" s="184"/>
      <c r="BE20" s="181">
        <v>110.0</v>
      </c>
      <c r="BF20" s="181">
        <f>60+270+250+80</f>
        <v>660</v>
      </c>
      <c r="BG20" s="181">
        <v>100.0</v>
      </c>
      <c r="BH20" s="181"/>
      <c r="BI20" s="181"/>
      <c r="BJ20" s="182"/>
      <c r="BK20" s="181">
        <f>340+330+70</f>
        <v>740</v>
      </c>
      <c r="BL20" s="183">
        <v>-1130.0</v>
      </c>
      <c r="BM20" s="181"/>
      <c r="BN20" s="181"/>
      <c r="BO20" s="181"/>
      <c r="BP20" s="183"/>
      <c r="BQ20" s="183"/>
      <c r="BR20" s="181"/>
      <c r="BS20" s="181"/>
      <c r="BT20" s="181"/>
      <c r="BU20" s="181">
        <v>10.0</v>
      </c>
      <c r="BV20" s="181">
        <v>10.0</v>
      </c>
      <c r="BW20" s="181"/>
      <c r="BX20" s="183">
        <v>-110.0</v>
      </c>
      <c r="BY20" s="181"/>
      <c r="BZ20" s="182"/>
      <c r="CA20" s="181"/>
      <c r="CB20" s="181"/>
      <c r="CC20" s="181"/>
      <c r="CD20" s="185"/>
      <c r="CE20" s="186">
        <f t="shared" si="1"/>
        <v>680</v>
      </c>
      <c r="CF20" s="173" t="s">
        <v>107</v>
      </c>
    </row>
    <row r="21" ht="15.75" customHeight="1">
      <c r="A21" s="125"/>
      <c r="B21" s="187" t="s">
        <v>108</v>
      </c>
      <c r="C21" s="188"/>
      <c r="D21" s="188"/>
      <c r="E21" s="188"/>
      <c r="F21" s="188"/>
      <c r="G21" s="189"/>
      <c r="H21" s="188"/>
      <c r="I21" s="188"/>
      <c r="J21" s="190"/>
      <c r="K21" s="188"/>
      <c r="L21" s="188"/>
      <c r="M21" s="188"/>
      <c r="N21" s="188"/>
      <c r="O21" s="188"/>
      <c r="P21" s="190"/>
      <c r="Q21" s="189"/>
      <c r="R21" s="188"/>
      <c r="S21" s="188"/>
      <c r="T21" s="188"/>
      <c r="U21" s="188"/>
      <c r="V21" s="188"/>
      <c r="W21" s="188"/>
      <c r="X21" s="190"/>
      <c r="Y21" s="190"/>
      <c r="Z21" s="188"/>
      <c r="AA21" s="188"/>
      <c r="AB21" s="188"/>
      <c r="AC21" s="188"/>
      <c r="AD21" s="190"/>
      <c r="AE21" s="189"/>
      <c r="AF21" s="188"/>
      <c r="AG21" s="188"/>
      <c r="AH21" s="188"/>
      <c r="AI21" s="188"/>
      <c r="AJ21" s="188"/>
      <c r="AK21" s="188"/>
      <c r="AL21" s="188"/>
      <c r="AM21" s="190"/>
      <c r="AN21" s="188"/>
      <c r="AO21" s="188"/>
      <c r="AP21" s="188"/>
      <c r="AQ21" s="189"/>
      <c r="AR21" s="188"/>
      <c r="AS21" s="188"/>
      <c r="AT21" s="188">
        <v>10.0</v>
      </c>
      <c r="AU21" s="190"/>
      <c r="AV21" s="188"/>
      <c r="AW21" s="188"/>
      <c r="AX21" s="188"/>
      <c r="AY21" s="188">
        <v>30.0</v>
      </c>
      <c r="AZ21" s="189"/>
      <c r="BA21" s="188"/>
      <c r="BB21" s="188"/>
      <c r="BC21" s="190">
        <v>-560.0</v>
      </c>
      <c r="BD21" s="191"/>
      <c r="BE21" s="188"/>
      <c r="BF21" s="188"/>
      <c r="BG21" s="188"/>
      <c r="BH21" s="188"/>
      <c r="BI21" s="188"/>
      <c r="BJ21" s="189"/>
      <c r="BK21" s="188">
        <v>10.0</v>
      </c>
      <c r="BL21" s="190">
        <v>-40.0</v>
      </c>
      <c r="BM21" s="188"/>
      <c r="BN21" s="188"/>
      <c r="BO21" s="188"/>
      <c r="BP21" s="190"/>
      <c r="BQ21" s="190"/>
      <c r="BR21" s="188"/>
      <c r="BS21" s="188"/>
      <c r="BT21" s="188"/>
      <c r="BU21" s="188"/>
      <c r="BV21" s="188"/>
      <c r="BW21" s="188"/>
      <c r="BX21" s="190"/>
      <c r="BY21" s="188"/>
      <c r="BZ21" s="189"/>
      <c r="CA21" s="188"/>
      <c r="CB21" s="188"/>
      <c r="CC21" s="188"/>
      <c r="CD21" s="192"/>
      <c r="CE21" s="193">
        <f t="shared" si="1"/>
        <v>-550</v>
      </c>
      <c r="CF21" s="173">
        <f>SUM(CE17:CE21)</f>
        <v>480</v>
      </c>
    </row>
    <row r="22" ht="15.75" customHeight="1">
      <c r="A22" s="194"/>
      <c r="B22" s="90" t="s">
        <v>109</v>
      </c>
      <c r="C22" s="91"/>
      <c r="D22" s="91"/>
      <c r="E22" s="91"/>
      <c r="F22" s="91"/>
      <c r="G22" s="92"/>
      <c r="H22" s="91"/>
      <c r="I22" s="91"/>
      <c r="J22" s="93"/>
      <c r="K22" s="91"/>
      <c r="L22" s="91"/>
      <c r="M22" s="91"/>
      <c r="N22" s="91"/>
      <c r="O22" s="91"/>
      <c r="P22" s="93"/>
      <c r="Q22" s="92"/>
      <c r="R22" s="91"/>
      <c r="S22" s="91"/>
      <c r="T22" s="91"/>
      <c r="U22" s="91"/>
      <c r="V22" s="91"/>
      <c r="W22" s="91"/>
      <c r="X22" s="93"/>
      <c r="Y22" s="93"/>
      <c r="Z22" s="91"/>
      <c r="AA22" s="91"/>
      <c r="AB22" s="91"/>
      <c r="AC22" s="91"/>
      <c r="AD22" s="93"/>
      <c r="AE22" s="92"/>
      <c r="AF22" s="91"/>
      <c r="AG22" s="91"/>
      <c r="AH22" s="91"/>
      <c r="AI22" s="91"/>
      <c r="AJ22" s="91"/>
      <c r="AK22" s="91"/>
      <c r="AL22" s="91"/>
      <c r="AM22" s="93"/>
      <c r="AN22" s="91"/>
      <c r="AO22" s="91"/>
      <c r="AP22" s="91"/>
      <c r="AQ22" s="92"/>
      <c r="AR22" s="91"/>
      <c r="AS22" s="91"/>
      <c r="AT22" s="91"/>
      <c r="AU22" s="93"/>
      <c r="AV22" s="91"/>
      <c r="AW22" s="91"/>
      <c r="AX22" s="91"/>
      <c r="AY22" s="91"/>
      <c r="AZ22" s="92"/>
      <c r="BA22" s="91"/>
      <c r="BB22" s="91"/>
      <c r="BC22" s="93"/>
      <c r="BD22" s="94"/>
      <c r="BE22" s="91"/>
      <c r="BF22" s="91"/>
      <c r="BG22" s="91"/>
      <c r="BH22" s="91"/>
      <c r="BI22" s="91"/>
      <c r="BJ22" s="92"/>
      <c r="BK22" s="91"/>
      <c r="BL22" s="93"/>
      <c r="BM22" s="91"/>
      <c r="BN22" s="91"/>
      <c r="BO22" s="91"/>
      <c r="BP22" s="93"/>
      <c r="BQ22" s="93"/>
      <c r="BR22" s="91"/>
      <c r="BS22" s="91"/>
      <c r="BT22" s="91"/>
      <c r="BU22" s="91"/>
      <c r="BV22" s="91"/>
      <c r="BW22" s="91"/>
      <c r="BX22" s="93"/>
      <c r="BY22" s="91"/>
      <c r="BZ22" s="92"/>
      <c r="CA22" s="91"/>
      <c r="CB22" s="91"/>
      <c r="CC22" s="91"/>
      <c r="CD22" s="95"/>
      <c r="CE22" s="96">
        <f t="shared" si="1"/>
        <v>0</v>
      </c>
      <c r="CF22" s="98"/>
    </row>
    <row r="23" ht="15.75" customHeight="1">
      <c r="A23" s="194"/>
      <c r="B23" s="99" t="s">
        <v>110</v>
      </c>
      <c r="C23" s="100"/>
      <c r="D23" s="100"/>
      <c r="E23" s="100"/>
      <c r="F23" s="100"/>
      <c r="G23" s="101"/>
      <c r="H23" s="100"/>
      <c r="I23" s="100"/>
      <c r="J23" s="102"/>
      <c r="K23" s="100"/>
      <c r="L23" s="100"/>
      <c r="M23" s="100"/>
      <c r="N23" s="100"/>
      <c r="O23" s="100"/>
      <c r="P23" s="102"/>
      <c r="Q23" s="101"/>
      <c r="R23" s="100"/>
      <c r="S23" s="100"/>
      <c r="T23" s="100"/>
      <c r="U23" s="100"/>
      <c r="V23" s="100"/>
      <c r="W23" s="100"/>
      <c r="X23" s="102"/>
      <c r="Y23" s="102"/>
      <c r="Z23" s="100"/>
      <c r="AA23" s="100"/>
      <c r="AB23" s="100"/>
      <c r="AC23" s="100"/>
      <c r="AD23" s="102"/>
      <c r="AE23" s="101"/>
      <c r="AF23" s="100"/>
      <c r="AG23" s="100">
        <v>120.0</v>
      </c>
      <c r="AH23" s="100"/>
      <c r="AI23" s="100"/>
      <c r="AJ23" s="100"/>
      <c r="AK23" s="100"/>
      <c r="AL23" s="100"/>
      <c r="AM23" s="102">
        <v>-50.0</v>
      </c>
      <c r="AN23" s="100"/>
      <c r="AO23" s="100"/>
      <c r="AP23" s="100"/>
      <c r="AQ23" s="101"/>
      <c r="AR23" s="100"/>
      <c r="AS23" s="100"/>
      <c r="AT23" s="100"/>
      <c r="AU23" s="102"/>
      <c r="AV23" s="100"/>
      <c r="AW23" s="100"/>
      <c r="AX23" s="100"/>
      <c r="AY23" s="100"/>
      <c r="AZ23" s="101"/>
      <c r="BA23" s="100"/>
      <c r="BB23" s="100"/>
      <c r="BC23" s="102"/>
      <c r="BD23" s="103"/>
      <c r="BE23" s="100"/>
      <c r="BF23" s="100"/>
      <c r="BG23" s="100"/>
      <c r="BH23" s="100"/>
      <c r="BI23" s="100"/>
      <c r="BJ23" s="101"/>
      <c r="BK23" s="100"/>
      <c r="BL23" s="102"/>
      <c r="BM23" s="100"/>
      <c r="BN23" s="100"/>
      <c r="BO23" s="100"/>
      <c r="BP23" s="102"/>
      <c r="BQ23" s="102"/>
      <c r="BR23" s="100"/>
      <c r="BS23" s="100"/>
      <c r="BT23" s="100"/>
      <c r="BU23" s="100"/>
      <c r="BV23" s="100"/>
      <c r="BW23" s="100"/>
      <c r="BX23" s="102"/>
      <c r="BY23" s="100"/>
      <c r="BZ23" s="101"/>
      <c r="CA23" s="100"/>
      <c r="CB23" s="100"/>
      <c r="CC23" s="100"/>
      <c r="CD23" s="104"/>
      <c r="CE23" s="105">
        <f t="shared" si="1"/>
        <v>70</v>
      </c>
      <c r="CF23" s="98" t="s">
        <v>111</v>
      </c>
    </row>
    <row r="24" ht="15.75" customHeight="1">
      <c r="A24" s="194"/>
      <c r="B24" s="106" t="s">
        <v>112</v>
      </c>
      <c r="C24" s="107"/>
      <c r="D24" s="107"/>
      <c r="E24" s="107"/>
      <c r="F24" s="107"/>
      <c r="G24" s="108"/>
      <c r="H24" s="107"/>
      <c r="I24" s="107"/>
      <c r="J24" s="109"/>
      <c r="K24" s="107"/>
      <c r="L24" s="107"/>
      <c r="M24" s="107">
        <v>20.0</v>
      </c>
      <c r="N24" s="107"/>
      <c r="O24" s="107"/>
      <c r="P24" s="109"/>
      <c r="Q24" s="108"/>
      <c r="R24" s="107"/>
      <c r="S24" s="107"/>
      <c r="T24" s="107"/>
      <c r="U24" s="107"/>
      <c r="V24" s="107"/>
      <c r="W24" s="107"/>
      <c r="X24" s="109"/>
      <c r="Y24" s="109">
        <v>-20.0</v>
      </c>
      <c r="Z24" s="107"/>
      <c r="AA24" s="107"/>
      <c r="AB24" s="107"/>
      <c r="AC24" s="107"/>
      <c r="AD24" s="109"/>
      <c r="AE24" s="108"/>
      <c r="AF24" s="107"/>
      <c r="AG24" s="107"/>
      <c r="AH24" s="107"/>
      <c r="AI24" s="107"/>
      <c r="AJ24" s="107"/>
      <c r="AK24" s="107"/>
      <c r="AL24" s="107"/>
      <c r="AM24" s="109"/>
      <c r="AN24" s="107"/>
      <c r="AO24" s="107"/>
      <c r="AP24" s="107"/>
      <c r="AQ24" s="108"/>
      <c r="AR24" s="107"/>
      <c r="AS24" s="107"/>
      <c r="AT24" s="107"/>
      <c r="AU24" s="109"/>
      <c r="AV24" s="107"/>
      <c r="AW24" s="107"/>
      <c r="AX24" s="107"/>
      <c r="AY24" s="107"/>
      <c r="AZ24" s="108"/>
      <c r="BA24" s="107"/>
      <c r="BB24" s="107"/>
      <c r="BC24" s="109"/>
      <c r="BD24" s="110"/>
      <c r="BE24" s="107"/>
      <c r="BF24" s="107"/>
      <c r="BG24" s="107"/>
      <c r="BH24" s="107"/>
      <c r="BI24" s="107"/>
      <c r="BJ24" s="108"/>
      <c r="BK24" s="107"/>
      <c r="BL24" s="109"/>
      <c r="BM24" s="107"/>
      <c r="BN24" s="107"/>
      <c r="BO24" s="107"/>
      <c r="BP24" s="109"/>
      <c r="BQ24" s="109"/>
      <c r="BR24" s="107"/>
      <c r="BS24" s="107"/>
      <c r="BT24" s="107"/>
      <c r="BU24" s="107"/>
      <c r="BV24" s="107"/>
      <c r="BW24" s="107"/>
      <c r="BX24" s="109"/>
      <c r="BY24" s="107"/>
      <c r="BZ24" s="108"/>
      <c r="CA24" s="107"/>
      <c r="CB24" s="107"/>
      <c r="CC24" s="107"/>
      <c r="CD24" s="112"/>
      <c r="CE24" s="113">
        <f t="shared" si="1"/>
        <v>0</v>
      </c>
      <c r="CF24" s="98">
        <f>SUM(CE22:CE24)</f>
        <v>70</v>
      </c>
    </row>
    <row r="25" ht="15.75" customHeight="1">
      <c r="A25" s="25"/>
      <c r="B25" s="114" t="s">
        <v>113</v>
      </c>
      <c r="C25" s="115"/>
      <c r="D25" s="115"/>
      <c r="E25" s="115"/>
      <c r="F25" s="115"/>
      <c r="G25" s="116"/>
      <c r="H25" s="115"/>
      <c r="I25" s="115"/>
      <c r="J25" s="117"/>
      <c r="K25" s="115"/>
      <c r="L25" s="115"/>
      <c r="M25" s="115"/>
      <c r="N25" s="115">
        <v>20.0</v>
      </c>
      <c r="O25" s="115"/>
      <c r="P25" s="117">
        <v>-10.0</v>
      </c>
      <c r="Q25" s="116"/>
      <c r="R25" s="115"/>
      <c r="S25" s="115"/>
      <c r="T25" s="115"/>
      <c r="U25" s="115"/>
      <c r="V25" s="115"/>
      <c r="W25" s="115"/>
      <c r="X25" s="117"/>
      <c r="Y25" s="117"/>
      <c r="Z25" s="115"/>
      <c r="AA25" s="115"/>
      <c r="AB25" s="115"/>
      <c r="AC25" s="115"/>
      <c r="AD25" s="117"/>
      <c r="AE25" s="116"/>
      <c r="AF25" s="115"/>
      <c r="AG25" s="115"/>
      <c r="AH25" s="115"/>
      <c r="AI25" s="115"/>
      <c r="AJ25" s="115"/>
      <c r="AK25" s="115"/>
      <c r="AL25" s="115"/>
      <c r="AM25" s="117"/>
      <c r="AN25" s="115"/>
      <c r="AO25" s="115"/>
      <c r="AP25" s="115"/>
      <c r="AQ25" s="116"/>
      <c r="AR25" s="115"/>
      <c r="AS25" s="115"/>
      <c r="AT25" s="115"/>
      <c r="AU25" s="117"/>
      <c r="AV25" s="115"/>
      <c r="AW25" s="115">
        <v>50.0</v>
      </c>
      <c r="AX25" s="115"/>
      <c r="AY25" s="115"/>
      <c r="AZ25" s="116"/>
      <c r="BA25" s="115"/>
      <c r="BB25" s="115"/>
      <c r="BC25" s="117"/>
      <c r="BD25" s="195"/>
      <c r="BE25" s="115"/>
      <c r="BF25" s="115"/>
      <c r="BG25" s="115"/>
      <c r="BH25" s="115"/>
      <c r="BI25" s="115">
        <v>10.0</v>
      </c>
      <c r="BJ25" s="116"/>
      <c r="BK25" s="115">
        <v>10.0</v>
      </c>
      <c r="BL25" s="117"/>
      <c r="BM25" s="115">
        <v>10.0</v>
      </c>
      <c r="BN25" s="115"/>
      <c r="BO25" s="115"/>
      <c r="BP25" s="117"/>
      <c r="BQ25" s="117"/>
      <c r="BR25" s="115"/>
      <c r="BS25" s="115">
        <v>10.0</v>
      </c>
      <c r="BT25" s="115"/>
      <c r="BU25" s="115"/>
      <c r="BV25" s="115">
        <v>30.0</v>
      </c>
      <c r="BW25" s="115"/>
      <c r="BX25" s="117"/>
      <c r="BY25" s="115"/>
      <c r="BZ25" s="116"/>
      <c r="CA25" s="115"/>
      <c r="CB25" s="115"/>
      <c r="CC25" s="115"/>
      <c r="CD25" s="196"/>
      <c r="CE25" s="197">
        <f t="shared" si="1"/>
        <v>130</v>
      </c>
      <c r="CF25" s="124"/>
    </row>
    <row r="26" ht="15.75" customHeight="1">
      <c r="A26" s="194"/>
      <c r="B26" s="198" t="s">
        <v>114</v>
      </c>
      <c r="C26" s="199"/>
      <c r="D26" s="199"/>
      <c r="E26" s="199"/>
      <c r="F26" s="199"/>
      <c r="G26" s="200"/>
      <c r="H26" s="199"/>
      <c r="I26" s="199"/>
      <c r="J26" s="201"/>
      <c r="K26" s="199">
        <v>10.0</v>
      </c>
      <c r="L26" s="199">
        <v>10.0</v>
      </c>
      <c r="M26" s="199">
        <v>850.0</v>
      </c>
      <c r="N26" s="199">
        <v>710.0</v>
      </c>
      <c r="O26" s="199"/>
      <c r="P26" s="201">
        <v>-820.0</v>
      </c>
      <c r="Q26" s="200">
        <v>10.0</v>
      </c>
      <c r="R26" s="199">
        <v>10.0</v>
      </c>
      <c r="S26" s="199"/>
      <c r="T26" s="199"/>
      <c r="U26" s="199"/>
      <c r="V26" s="199"/>
      <c r="W26" s="199"/>
      <c r="X26" s="201"/>
      <c r="Y26" s="201">
        <v>-720.0</v>
      </c>
      <c r="Z26" s="199"/>
      <c r="AA26" s="199"/>
      <c r="AB26" s="199"/>
      <c r="AC26" s="199"/>
      <c r="AD26" s="201"/>
      <c r="AE26" s="200"/>
      <c r="AF26" s="199"/>
      <c r="AG26" s="199"/>
      <c r="AH26" s="199"/>
      <c r="AI26" s="199">
        <v>10.0</v>
      </c>
      <c r="AJ26" s="199">
        <v>20.0</v>
      </c>
      <c r="AK26" s="199">
        <v>130.0</v>
      </c>
      <c r="AL26" s="199">
        <v>10.0</v>
      </c>
      <c r="AM26" s="201">
        <v>-120.0</v>
      </c>
      <c r="AN26" s="199">
        <v>30.0</v>
      </c>
      <c r="AO26" s="199">
        <v>50.0</v>
      </c>
      <c r="AP26" s="199"/>
      <c r="AQ26" s="200"/>
      <c r="AR26" s="199"/>
      <c r="AS26" s="199">
        <v>50.0</v>
      </c>
      <c r="AT26" s="199">
        <v>10.0</v>
      </c>
      <c r="AU26" s="201">
        <v>-20.0</v>
      </c>
      <c r="AV26" s="199"/>
      <c r="AW26" s="199"/>
      <c r="AX26" s="199"/>
      <c r="AY26" s="199"/>
      <c r="AZ26" s="200"/>
      <c r="BA26" s="199"/>
      <c r="BB26" s="199"/>
      <c r="BC26" s="201"/>
      <c r="BD26" s="202"/>
      <c r="BE26" s="199"/>
      <c r="BF26" s="199"/>
      <c r="BG26" s="199">
        <v>210.0</v>
      </c>
      <c r="BH26" s="199"/>
      <c r="BI26" s="199">
        <v>10.0</v>
      </c>
      <c r="BJ26" s="200"/>
      <c r="BK26" s="199">
        <v>50.0</v>
      </c>
      <c r="BL26" s="201"/>
      <c r="BM26" s="199">
        <v>150.0</v>
      </c>
      <c r="BN26" s="199">
        <v>50.0</v>
      </c>
      <c r="BO26" s="199">
        <v>30.0</v>
      </c>
      <c r="BP26" s="201"/>
      <c r="BQ26" s="201"/>
      <c r="BR26" s="199">
        <v>100.0</v>
      </c>
      <c r="BS26" s="199">
        <v>60.0</v>
      </c>
      <c r="BT26" s="199">
        <v>10.0</v>
      </c>
      <c r="BU26" s="199">
        <v>10.0</v>
      </c>
      <c r="BV26" s="199">
        <v>10.0</v>
      </c>
      <c r="BW26" s="199">
        <v>20.0</v>
      </c>
      <c r="BX26" s="201"/>
      <c r="BY26" s="199"/>
      <c r="BZ26" s="200">
        <v>10.0</v>
      </c>
      <c r="CA26" s="199">
        <v>20.0</v>
      </c>
      <c r="CB26" s="199">
        <v>10.0</v>
      </c>
      <c r="CC26" s="199">
        <v>10.0</v>
      </c>
      <c r="CD26" s="203"/>
      <c r="CE26" s="123">
        <f t="shared" si="1"/>
        <v>990</v>
      </c>
      <c r="CF26" s="98"/>
    </row>
    <row r="27" ht="15.75" customHeight="1">
      <c r="A27" s="25"/>
      <c r="B27" s="126" t="s">
        <v>115</v>
      </c>
      <c r="C27" s="127">
        <v>10.0</v>
      </c>
      <c r="D27" s="127">
        <v>10.0</v>
      </c>
      <c r="E27" s="127">
        <v>10.0</v>
      </c>
      <c r="F27" s="127"/>
      <c r="G27" s="128">
        <v>10.0</v>
      </c>
      <c r="H27" s="127"/>
      <c r="I27" s="127">
        <v>40.0</v>
      </c>
      <c r="J27" s="129">
        <v>-20.0</v>
      </c>
      <c r="K27" s="127">
        <v>20.0</v>
      </c>
      <c r="L27" s="127"/>
      <c r="M27" s="127">
        <v>1090.0</v>
      </c>
      <c r="N27" s="127">
        <v>20.0</v>
      </c>
      <c r="O27" s="127"/>
      <c r="P27" s="129">
        <v>-480.0</v>
      </c>
      <c r="Q27" s="128">
        <v>30.0</v>
      </c>
      <c r="R27" s="127">
        <v>40.0</v>
      </c>
      <c r="S27" s="127"/>
      <c r="T27" s="127"/>
      <c r="U27" s="127"/>
      <c r="V27" s="127"/>
      <c r="W27" s="127"/>
      <c r="X27" s="129"/>
      <c r="Y27" s="129">
        <v>-730.0</v>
      </c>
      <c r="Z27" s="127"/>
      <c r="AA27" s="127"/>
      <c r="AB27" s="127">
        <f>30+220+90</f>
        <v>340</v>
      </c>
      <c r="AC27" s="127">
        <v>20.0</v>
      </c>
      <c r="AD27" s="129"/>
      <c r="AE27" s="128">
        <v>10.0</v>
      </c>
      <c r="AF27" s="127"/>
      <c r="AG27" s="127">
        <v>30.0</v>
      </c>
      <c r="AH27" s="127"/>
      <c r="AI27" s="127">
        <v>100.0</v>
      </c>
      <c r="AJ27" s="127">
        <v>60.0</v>
      </c>
      <c r="AK27" s="127">
        <v>200.0</v>
      </c>
      <c r="AL27" s="127">
        <v>60.0</v>
      </c>
      <c r="AM27" s="129">
        <v>-320.0</v>
      </c>
      <c r="AN27" s="127">
        <v>30.0</v>
      </c>
      <c r="AO27" s="127">
        <v>210.0</v>
      </c>
      <c r="AP27" s="127">
        <v>30.0</v>
      </c>
      <c r="AQ27" s="128">
        <v>10.0</v>
      </c>
      <c r="AR27" s="127">
        <v>30.0</v>
      </c>
      <c r="AS27" s="127">
        <v>120.0</v>
      </c>
      <c r="AT27" s="127">
        <v>210.0</v>
      </c>
      <c r="AU27" s="129">
        <v>-110.0</v>
      </c>
      <c r="AV27" s="127">
        <v>10.0</v>
      </c>
      <c r="AW27" s="127"/>
      <c r="AX27" s="127">
        <v>20.0</v>
      </c>
      <c r="AY27" s="127"/>
      <c r="AZ27" s="128">
        <v>10.0</v>
      </c>
      <c r="BA27" s="127"/>
      <c r="BB27" s="127">
        <v>50.0</v>
      </c>
      <c r="BC27" s="129"/>
      <c r="BD27" s="130"/>
      <c r="BE27" s="127"/>
      <c r="BF27" s="127">
        <v>100.0</v>
      </c>
      <c r="BG27" s="127">
        <v>90.0</v>
      </c>
      <c r="BH27" s="127">
        <v>10.0</v>
      </c>
      <c r="BI27" s="127"/>
      <c r="BJ27" s="128">
        <v>20.0</v>
      </c>
      <c r="BK27" s="127"/>
      <c r="BL27" s="129"/>
      <c r="BM27" s="127">
        <v>10.0</v>
      </c>
      <c r="BN27" s="127"/>
      <c r="BO27" s="127"/>
      <c r="BP27" s="129"/>
      <c r="BQ27" s="129"/>
      <c r="BR27" s="127">
        <v>10.0</v>
      </c>
      <c r="BS27" s="127">
        <v>20.0</v>
      </c>
      <c r="BT27" s="127"/>
      <c r="BU27" s="127">
        <v>10.0</v>
      </c>
      <c r="BV27" s="127"/>
      <c r="BW27" s="127"/>
      <c r="BX27" s="129"/>
      <c r="BY27" s="127">
        <v>10.0</v>
      </c>
      <c r="BZ27" s="128">
        <v>10.0</v>
      </c>
      <c r="CA27" s="127">
        <v>20.0</v>
      </c>
      <c r="CB27" s="127"/>
      <c r="CC27" s="127">
        <v>10.0</v>
      </c>
      <c r="CD27" s="131"/>
      <c r="CE27" s="132">
        <f t="shared" si="1"/>
        <v>1490</v>
      </c>
      <c r="CF27" s="124" t="s">
        <v>116</v>
      </c>
    </row>
    <row r="28" ht="15.75" customHeight="1">
      <c r="A28" s="25"/>
      <c r="B28" s="133" t="s">
        <v>117</v>
      </c>
      <c r="C28" s="134"/>
      <c r="D28" s="134"/>
      <c r="E28" s="134"/>
      <c r="F28" s="134"/>
      <c r="G28" s="135"/>
      <c r="H28" s="134"/>
      <c r="I28" s="134"/>
      <c r="J28" s="136"/>
      <c r="K28" s="134"/>
      <c r="L28" s="134"/>
      <c r="M28" s="134">
        <v>70.0</v>
      </c>
      <c r="N28" s="134"/>
      <c r="O28" s="134"/>
      <c r="P28" s="136">
        <v>-40.0</v>
      </c>
      <c r="Q28" s="135"/>
      <c r="R28" s="134"/>
      <c r="S28" s="134"/>
      <c r="T28" s="134"/>
      <c r="U28" s="134"/>
      <c r="V28" s="134"/>
      <c r="W28" s="134"/>
      <c r="X28" s="136"/>
      <c r="Y28" s="136">
        <v>-30.0</v>
      </c>
      <c r="Z28" s="134"/>
      <c r="AA28" s="134"/>
      <c r="AB28" s="134"/>
      <c r="AC28" s="134"/>
      <c r="AD28" s="136"/>
      <c r="AE28" s="135"/>
      <c r="AF28" s="134"/>
      <c r="AG28" s="134"/>
      <c r="AH28" s="134"/>
      <c r="AI28" s="134"/>
      <c r="AJ28" s="134"/>
      <c r="AK28" s="134"/>
      <c r="AL28" s="134"/>
      <c r="AM28" s="136">
        <v>-10.0</v>
      </c>
      <c r="AN28" s="134"/>
      <c r="AO28" s="134">
        <v>60.0</v>
      </c>
      <c r="AP28" s="134"/>
      <c r="AQ28" s="135"/>
      <c r="AR28" s="134"/>
      <c r="AS28" s="134">
        <v>50.0</v>
      </c>
      <c r="AT28" s="134">
        <v>10.0</v>
      </c>
      <c r="AU28" s="136">
        <v>-10.0</v>
      </c>
      <c r="AV28" s="134"/>
      <c r="AW28" s="134"/>
      <c r="AX28" s="134"/>
      <c r="AY28" s="134"/>
      <c r="AZ28" s="135"/>
      <c r="BA28" s="134"/>
      <c r="BB28" s="134"/>
      <c r="BC28" s="136"/>
      <c r="BD28" s="137"/>
      <c r="BE28" s="134"/>
      <c r="BF28" s="134"/>
      <c r="BG28" s="134"/>
      <c r="BH28" s="134"/>
      <c r="BI28" s="134"/>
      <c r="BJ28" s="135"/>
      <c r="BK28" s="134"/>
      <c r="BL28" s="136"/>
      <c r="BM28" s="134"/>
      <c r="BN28" s="134"/>
      <c r="BO28" s="134"/>
      <c r="BP28" s="136"/>
      <c r="BQ28" s="136"/>
      <c r="BR28" s="134"/>
      <c r="BS28" s="134"/>
      <c r="BT28" s="134"/>
      <c r="BU28" s="134"/>
      <c r="BV28" s="134"/>
      <c r="BW28" s="134"/>
      <c r="BX28" s="136"/>
      <c r="BY28" s="134"/>
      <c r="BZ28" s="135"/>
      <c r="CA28" s="134"/>
      <c r="CB28" s="134"/>
      <c r="CC28" s="134"/>
      <c r="CD28" s="138"/>
      <c r="CE28" s="139">
        <f t="shared" si="1"/>
        <v>100</v>
      </c>
      <c r="CF28" s="124">
        <f>SUM(CE25:CE28)</f>
        <v>2710</v>
      </c>
    </row>
    <row r="29" ht="15.75" customHeight="1">
      <c r="A29" s="125"/>
      <c r="B29" s="204" t="s">
        <v>118</v>
      </c>
      <c r="C29" s="205"/>
      <c r="D29" s="205"/>
      <c r="E29" s="205"/>
      <c r="F29" s="205"/>
      <c r="G29" s="206"/>
      <c r="H29" s="205"/>
      <c r="I29" s="205"/>
      <c r="J29" s="207"/>
      <c r="K29" s="205"/>
      <c r="L29" s="205"/>
      <c r="M29" s="205"/>
      <c r="N29" s="205"/>
      <c r="O29" s="205"/>
      <c r="P29" s="207"/>
      <c r="Q29" s="206"/>
      <c r="R29" s="205"/>
      <c r="S29" s="205"/>
      <c r="T29" s="205"/>
      <c r="U29" s="205"/>
      <c r="V29" s="205"/>
      <c r="W29" s="205"/>
      <c r="X29" s="207"/>
      <c r="Y29" s="207"/>
      <c r="Z29" s="205"/>
      <c r="AA29" s="205"/>
      <c r="AB29" s="205"/>
      <c r="AC29" s="205"/>
      <c r="AD29" s="207"/>
      <c r="AE29" s="206"/>
      <c r="AF29" s="205"/>
      <c r="AG29" s="205"/>
      <c r="AH29" s="205"/>
      <c r="AI29" s="205"/>
      <c r="AJ29" s="205"/>
      <c r="AK29" s="205"/>
      <c r="AL29" s="205"/>
      <c r="AM29" s="207"/>
      <c r="AN29" s="205"/>
      <c r="AO29" s="205"/>
      <c r="AP29" s="205"/>
      <c r="AQ29" s="206"/>
      <c r="AR29" s="205"/>
      <c r="AS29" s="205"/>
      <c r="AT29" s="205"/>
      <c r="AU29" s="207"/>
      <c r="AV29" s="205"/>
      <c r="AW29" s="205"/>
      <c r="AX29" s="205"/>
      <c r="AY29" s="205"/>
      <c r="AZ29" s="206"/>
      <c r="BA29" s="205"/>
      <c r="BB29" s="205"/>
      <c r="BC29" s="207"/>
      <c r="BD29" s="208"/>
      <c r="BE29" s="205"/>
      <c r="BF29" s="205"/>
      <c r="BG29" s="205"/>
      <c r="BH29" s="205"/>
      <c r="BI29" s="205">
        <v>30.0</v>
      </c>
      <c r="BJ29" s="206"/>
      <c r="BK29" s="205"/>
      <c r="BL29" s="207"/>
      <c r="BM29" s="205"/>
      <c r="BN29" s="205"/>
      <c r="BO29" s="205"/>
      <c r="BP29" s="207"/>
      <c r="BQ29" s="207"/>
      <c r="BR29" s="205">
        <v>10.0</v>
      </c>
      <c r="BS29" s="205"/>
      <c r="BT29" s="205"/>
      <c r="BU29" s="205"/>
      <c r="BV29" s="205"/>
      <c r="BW29" s="205"/>
      <c r="BX29" s="207"/>
      <c r="BY29" s="205"/>
      <c r="BZ29" s="206"/>
      <c r="CA29" s="205"/>
      <c r="CB29" s="205"/>
      <c r="CC29" s="205"/>
      <c r="CD29" s="209"/>
      <c r="CE29" s="172">
        <f t="shared" si="1"/>
        <v>40</v>
      </c>
      <c r="CF29" s="173"/>
    </row>
    <row r="30" ht="15.75" customHeight="1">
      <c r="A30" s="25"/>
      <c r="B30" s="164" t="s">
        <v>119</v>
      </c>
      <c r="C30" s="165"/>
      <c r="D30" s="165"/>
      <c r="E30" s="165"/>
      <c r="F30" s="165"/>
      <c r="G30" s="166"/>
      <c r="H30" s="165"/>
      <c r="I30" s="165"/>
      <c r="J30" s="169"/>
      <c r="K30" s="165"/>
      <c r="L30" s="165"/>
      <c r="M30" s="165"/>
      <c r="N30" s="165"/>
      <c r="O30" s="165"/>
      <c r="P30" s="169"/>
      <c r="Q30" s="166"/>
      <c r="R30" s="165"/>
      <c r="S30" s="165"/>
      <c r="T30" s="165"/>
      <c r="U30" s="165"/>
      <c r="V30" s="165"/>
      <c r="W30" s="165"/>
      <c r="X30" s="169"/>
      <c r="Y30" s="169"/>
      <c r="Z30" s="165"/>
      <c r="AA30" s="165"/>
      <c r="AB30" s="165"/>
      <c r="AC30" s="165"/>
      <c r="AD30" s="169"/>
      <c r="AE30" s="166"/>
      <c r="AF30" s="165"/>
      <c r="AG30" s="165"/>
      <c r="AH30" s="165"/>
      <c r="AI30" s="165">
        <v>10.0</v>
      </c>
      <c r="AJ30" s="165"/>
      <c r="AK30" s="165"/>
      <c r="AL30" s="165"/>
      <c r="AM30" s="169">
        <v>-30.0</v>
      </c>
      <c r="AN30" s="165">
        <v>10.0</v>
      </c>
      <c r="AO30" s="165"/>
      <c r="AP30" s="165"/>
      <c r="AQ30" s="166"/>
      <c r="AR30" s="165"/>
      <c r="AS30" s="165">
        <v>10.0</v>
      </c>
      <c r="AT30" s="165"/>
      <c r="AU30" s="169">
        <v>-10.0</v>
      </c>
      <c r="AV30" s="165"/>
      <c r="AW30" s="165"/>
      <c r="AX30" s="165"/>
      <c r="AY30" s="165"/>
      <c r="AZ30" s="166">
        <v>10.0</v>
      </c>
      <c r="BA30" s="165"/>
      <c r="BB30" s="165"/>
      <c r="BC30" s="169"/>
      <c r="BD30" s="170"/>
      <c r="BE30" s="165"/>
      <c r="BF30" s="165"/>
      <c r="BG30" s="165">
        <v>60.0</v>
      </c>
      <c r="BH30" s="165">
        <v>10.0</v>
      </c>
      <c r="BI30" s="165"/>
      <c r="BJ30" s="166"/>
      <c r="BK30" s="165">
        <v>30.0</v>
      </c>
      <c r="BL30" s="169"/>
      <c r="BM30" s="165">
        <v>20.0</v>
      </c>
      <c r="BN30" s="165"/>
      <c r="BO30" s="165"/>
      <c r="BP30" s="169"/>
      <c r="BQ30" s="169"/>
      <c r="BR30" s="165"/>
      <c r="BS30" s="165"/>
      <c r="BT30" s="165"/>
      <c r="BU30" s="165"/>
      <c r="BV30" s="165">
        <v>20.0</v>
      </c>
      <c r="BW30" s="165"/>
      <c r="BX30" s="169"/>
      <c r="BY30" s="165"/>
      <c r="BZ30" s="166">
        <v>10.0</v>
      </c>
      <c r="CA30" s="165"/>
      <c r="CB30" s="165"/>
      <c r="CC30" s="165"/>
      <c r="CD30" s="171"/>
      <c r="CE30" s="172">
        <f t="shared" si="1"/>
        <v>150</v>
      </c>
      <c r="CF30" s="23"/>
    </row>
    <row r="31" ht="15.75" customHeight="1">
      <c r="A31" s="25"/>
      <c r="B31" s="174" t="s">
        <v>120</v>
      </c>
      <c r="C31" s="175"/>
      <c r="D31" s="175"/>
      <c r="E31" s="175"/>
      <c r="F31" s="175"/>
      <c r="G31" s="176"/>
      <c r="H31" s="175"/>
      <c r="I31" s="175"/>
      <c r="J31" s="168"/>
      <c r="K31" s="175"/>
      <c r="L31" s="175"/>
      <c r="M31" s="175"/>
      <c r="N31" s="175"/>
      <c r="O31" s="175"/>
      <c r="P31" s="168"/>
      <c r="Q31" s="176">
        <v>10.0</v>
      </c>
      <c r="R31" s="175"/>
      <c r="S31" s="175"/>
      <c r="T31" s="175"/>
      <c r="U31" s="175"/>
      <c r="V31" s="175"/>
      <c r="W31" s="175"/>
      <c r="X31" s="168"/>
      <c r="Y31" s="168"/>
      <c r="Z31" s="175"/>
      <c r="AA31" s="175"/>
      <c r="AB31" s="175"/>
      <c r="AC31" s="175">
        <v>10.0</v>
      </c>
      <c r="AD31" s="168"/>
      <c r="AE31" s="176"/>
      <c r="AF31" s="175"/>
      <c r="AG31" s="175"/>
      <c r="AH31" s="175"/>
      <c r="AI31" s="175">
        <v>20.0</v>
      </c>
      <c r="AJ31" s="175"/>
      <c r="AK31" s="175"/>
      <c r="AL31" s="175"/>
      <c r="AM31" s="168"/>
      <c r="AN31" s="175"/>
      <c r="AO31" s="175"/>
      <c r="AP31" s="175"/>
      <c r="AQ31" s="176"/>
      <c r="AR31" s="175"/>
      <c r="AS31" s="175"/>
      <c r="AT31" s="175"/>
      <c r="AU31" s="168">
        <v>-20.0</v>
      </c>
      <c r="AV31" s="175"/>
      <c r="AW31" s="175"/>
      <c r="AX31" s="175">
        <v>10.0</v>
      </c>
      <c r="AY31" s="175"/>
      <c r="AZ31" s="176">
        <v>10.0</v>
      </c>
      <c r="BA31" s="175"/>
      <c r="BB31" s="175"/>
      <c r="BC31" s="168"/>
      <c r="BD31" s="177"/>
      <c r="BE31" s="175"/>
      <c r="BF31" s="175"/>
      <c r="BG31" s="175">
        <v>10.0</v>
      </c>
      <c r="BH31" s="175"/>
      <c r="BI31" s="175"/>
      <c r="BJ31" s="176">
        <v>10.0</v>
      </c>
      <c r="BK31" s="175"/>
      <c r="BL31" s="168"/>
      <c r="BM31" s="175"/>
      <c r="BN31" s="175"/>
      <c r="BO31" s="175"/>
      <c r="BP31" s="168"/>
      <c r="BQ31" s="168"/>
      <c r="BR31" s="175"/>
      <c r="BS31" s="175"/>
      <c r="BT31" s="175"/>
      <c r="BU31" s="175"/>
      <c r="BV31" s="175"/>
      <c r="BW31" s="175"/>
      <c r="BX31" s="168"/>
      <c r="BY31" s="175"/>
      <c r="BZ31" s="176"/>
      <c r="CA31" s="175"/>
      <c r="CB31" s="175"/>
      <c r="CC31" s="175"/>
      <c r="CD31" s="178"/>
      <c r="CE31" s="179">
        <f t="shared" si="1"/>
        <v>60</v>
      </c>
      <c r="CF31" s="173" t="s">
        <v>121</v>
      </c>
    </row>
    <row r="32" ht="15.75" customHeight="1">
      <c r="A32" s="25"/>
      <c r="B32" s="187" t="s">
        <v>122</v>
      </c>
      <c r="C32" s="188"/>
      <c r="D32" s="188"/>
      <c r="E32" s="188"/>
      <c r="F32" s="188"/>
      <c r="G32" s="189"/>
      <c r="H32" s="188"/>
      <c r="I32" s="188"/>
      <c r="J32" s="190"/>
      <c r="K32" s="188"/>
      <c r="L32" s="188"/>
      <c r="M32" s="188"/>
      <c r="N32" s="188"/>
      <c r="O32" s="188"/>
      <c r="P32" s="190"/>
      <c r="Q32" s="189"/>
      <c r="R32" s="188"/>
      <c r="S32" s="188"/>
      <c r="T32" s="188"/>
      <c r="U32" s="188"/>
      <c r="V32" s="188"/>
      <c r="W32" s="188"/>
      <c r="X32" s="190"/>
      <c r="Y32" s="190"/>
      <c r="Z32" s="188"/>
      <c r="AA32" s="188"/>
      <c r="AB32" s="188"/>
      <c r="AC32" s="188"/>
      <c r="AD32" s="190"/>
      <c r="AE32" s="189"/>
      <c r="AF32" s="188"/>
      <c r="AG32" s="188"/>
      <c r="AH32" s="188"/>
      <c r="AI32" s="188"/>
      <c r="AJ32" s="188"/>
      <c r="AK32" s="188"/>
      <c r="AL32" s="188"/>
      <c r="AM32" s="190"/>
      <c r="AN32" s="188"/>
      <c r="AO32" s="188"/>
      <c r="AP32" s="188"/>
      <c r="AQ32" s="189"/>
      <c r="AR32" s="188"/>
      <c r="AS32" s="188"/>
      <c r="AT32" s="188"/>
      <c r="AU32" s="190"/>
      <c r="AV32" s="188"/>
      <c r="AW32" s="188"/>
      <c r="AX32" s="188"/>
      <c r="AY32" s="188"/>
      <c r="AZ32" s="189"/>
      <c r="BA32" s="188"/>
      <c r="BB32" s="188"/>
      <c r="BC32" s="190"/>
      <c r="BD32" s="191"/>
      <c r="BE32" s="188"/>
      <c r="BF32" s="188"/>
      <c r="BG32" s="188"/>
      <c r="BH32" s="188"/>
      <c r="BI32" s="188"/>
      <c r="BJ32" s="189"/>
      <c r="BK32" s="188"/>
      <c r="BL32" s="190"/>
      <c r="BM32" s="188"/>
      <c r="BN32" s="188"/>
      <c r="BO32" s="188"/>
      <c r="BP32" s="190"/>
      <c r="BQ32" s="190"/>
      <c r="BR32" s="188"/>
      <c r="BS32" s="188"/>
      <c r="BT32" s="188"/>
      <c r="BU32" s="188"/>
      <c r="BV32" s="188"/>
      <c r="BW32" s="188"/>
      <c r="BX32" s="190"/>
      <c r="BY32" s="188"/>
      <c r="BZ32" s="189"/>
      <c r="CA32" s="188"/>
      <c r="CB32" s="188"/>
      <c r="CC32" s="188"/>
      <c r="CD32" s="192"/>
      <c r="CE32" s="193">
        <f t="shared" si="1"/>
        <v>0</v>
      </c>
      <c r="CF32" s="173">
        <f>SUM(CE29:CE32)</f>
        <v>250</v>
      </c>
    </row>
    <row r="33" ht="15.75" customHeight="1">
      <c r="A33" s="194"/>
      <c r="B33" s="210" t="s">
        <v>123</v>
      </c>
      <c r="C33" s="211"/>
      <c r="D33" s="211"/>
      <c r="E33" s="211"/>
      <c r="F33" s="211"/>
      <c r="G33" s="212"/>
      <c r="H33" s="211"/>
      <c r="I33" s="211"/>
      <c r="J33" s="213"/>
      <c r="K33" s="211"/>
      <c r="L33" s="211"/>
      <c r="M33" s="211"/>
      <c r="N33" s="211"/>
      <c r="O33" s="211"/>
      <c r="P33" s="213"/>
      <c r="Q33" s="212"/>
      <c r="R33" s="211"/>
      <c r="S33" s="211"/>
      <c r="T33" s="211"/>
      <c r="U33" s="211"/>
      <c r="V33" s="211"/>
      <c r="W33" s="211"/>
      <c r="X33" s="213"/>
      <c r="Y33" s="213"/>
      <c r="Z33" s="211"/>
      <c r="AA33" s="211"/>
      <c r="AB33" s="211"/>
      <c r="AC33" s="211"/>
      <c r="AD33" s="213"/>
      <c r="AE33" s="212"/>
      <c r="AF33" s="211"/>
      <c r="AG33" s="211"/>
      <c r="AH33" s="211"/>
      <c r="AI33" s="211"/>
      <c r="AJ33" s="211"/>
      <c r="AK33" s="211"/>
      <c r="AL33" s="211"/>
      <c r="AM33" s="213"/>
      <c r="AN33" s="211"/>
      <c r="AO33" s="211">
        <v>20.0</v>
      </c>
      <c r="AP33" s="211"/>
      <c r="AQ33" s="212"/>
      <c r="AR33" s="211"/>
      <c r="AS33" s="211"/>
      <c r="AT33" s="211"/>
      <c r="AU33" s="213"/>
      <c r="AV33" s="211"/>
      <c r="AW33" s="211"/>
      <c r="AX33" s="211"/>
      <c r="AY33" s="211"/>
      <c r="AZ33" s="212"/>
      <c r="BA33" s="211"/>
      <c r="BB33" s="211"/>
      <c r="BC33" s="213"/>
      <c r="BD33" s="214"/>
      <c r="BE33" s="211"/>
      <c r="BF33" s="211"/>
      <c r="BG33" s="211"/>
      <c r="BH33" s="211"/>
      <c r="BI33" s="211"/>
      <c r="BJ33" s="212"/>
      <c r="BK33" s="211"/>
      <c r="BL33" s="213">
        <v>-20.0</v>
      </c>
      <c r="BM33" s="211"/>
      <c r="BN33" s="211"/>
      <c r="BO33" s="211"/>
      <c r="BP33" s="213"/>
      <c r="BQ33" s="213"/>
      <c r="BR33" s="211"/>
      <c r="BS33" s="211"/>
      <c r="BT33" s="211"/>
      <c r="BU33" s="211"/>
      <c r="BV33" s="211"/>
      <c r="BW33" s="211"/>
      <c r="BX33" s="213"/>
      <c r="BY33" s="211"/>
      <c r="BZ33" s="212"/>
      <c r="CA33" s="211"/>
      <c r="CB33" s="211"/>
      <c r="CC33" s="211"/>
      <c r="CD33" s="215"/>
      <c r="CE33" s="216">
        <f t="shared" si="1"/>
        <v>0</v>
      </c>
      <c r="CF33" s="98">
        <f>CE33</f>
        <v>0</v>
      </c>
    </row>
    <row r="34" ht="15.75" customHeight="1">
      <c r="A34" s="25"/>
      <c r="B34" s="198" t="s">
        <v>124</v>
      </c>
      <c r="C34" s="199"/>
      <c r="D34" s="199"/>
      <c r="E34" s="199"/>
      <c r="F34" s="199"/>
      <c r="G34" s="200"/>
      <c r="H34" s="199"/>
      <c r="I34" s="199"/>
      <c r="J34" s="201"/>
      <c r="K34" s="199"/>
      <c r="L34" s="199"/>
      <c r="M34" s="199"/>
      <c r="N34" s="199"/>
      <c r="O34" s="199"/>
      <c r="P34" s="201"/>
      <c r="Q34" s="200">
        <v>10.0</v>
      </c>
      <c r="R34" s="199"/>
      <c r="S34" s="199"/>
      <c r="T34" s="199"/>
      <c r="U34" s="199"/>
      <c r="V34" s="199"/>
      <c r="W34" s="199"/>
      <c r="X34" s="201"/>
      <c r="Y34" s="201"/>
      <c r="Z34" s="199"/>
      <c r="AA34" s="199"/>
      <c r="AB34" s="199"/>
      <c r="AC34" s="199"/>
      <c r="AD34" s="201"/>
      <c r="AE34" s="200"/>
      <c r="AF34" s="199"/>
      <c r="AG34" s="199"/>
      <c r="AH34" s="199"/>
      <c r="AI34" s="199"/>
      <c r="AJ34" s="199"/>
      <c r="AK34" s="199"/>
      <c r="AL34" s="199"/>
      <c r="AM34" s="201"/>
      <c r="AN34" s="199"/>
      <c r="AO34" s="199"/>
      <c r="AP34" s="199"/>
      <c r="AQ34" s="200"/>
      <c r="AR34" s="199"/>
      <c r="AS34" s="199"/>
      <c r="AT34" s="199"/>
      <c r="AU34" s="201"/>
      <c r="AV34" s="199"/>
      <c r="AW34" s="199"/>
      <c r="AX34" s="199"/>
      <c r="AY34" s="199"/>
      <c r="AZ34" s="200"/>
      <c r="BA34" s="199"/>
      <c r="BB34" s="199"/>
      <c r="BC34" s="201"/>
      <c r="BD34" s="202"/>
      <c r="BE34" s="199"/>
      <c r="BF34" s="199"/>
      <c r="BG34" s="199"/>
      <c r="BH34" s="199"/>
      <c r="BI34" s="199"/>
      <c r="BJ34" s="200"/>
      <c r="BK34" s="199"/>
      <c r="BL34" s="201">
        <v>-10.0</v>
      </c>
      <c r="BM34" s="199">
        <v>10.0</v>
      </c>
      <c r="BN34" s="199"/>
      <c r="BO34" s="199">
        <v>10.0</v>
      </c>
      <c r="BP34" s="201"/>
      <c r="BQ34" s="201"/>
      <c r="BR34" s="199">
        <v>80.0</v>
      </c>
      <c r="BS34" s="199"/>
      <c r="BT34" s="199"/>
      <c r="BU34" s="199"/>
      <c r="BV34" s="199"/>
      <c r="BW34" s="199"/>
      <c r="BX34" s="201">
        <v>-60.0</v>
      </c>
      <c r="BY34" s="199"/>
      <c r="BZ34" s="200"/>
      <c r="CA34" s="199"/>
      <c r="CB34" s="199"/>
      <c r="CC34" s="199"/>
      <c r="CD34" s="203"/>
      <c r="CE34" s="123">
        <f t="shared" si="1"/>
        <v>40</v>
      </c>
      <c r="CF34" s="173"/>
    </row>
    <row r="35" ht="15.75" customHeight="1">
      <c r="A35" s="25"/>
      <c r="B35" s="198" t="s">
        <v>125</v>
      </c>
      <c r="C35" s="199"/>
      <c r="D35" s="199"/>
      <c r="E35" s="199"/>
      <c r="F35" s="199"/>
      <c r="G35" s="200">
        <v>10.0</v>
      </c>
      <c r="H35" s="199"/>
      <c r="I35" s="199"/>
      <c r="J35" s="201"/>
      <c r="K35" s="199"/>
      <c r="L35" s="199"/>
      <c r="M35" s="199">
        <v>30.0</v>
      </c>
      <c r="N35" s="199"/>
      <c r="O35" s="199"/>
      <c r="P35" s="201">
        <v>-20.0</v>
      </c>
      <c r="Q35" s="200"/>
      <c r="R35" s="199"/>
      <c r="S35" s="199"/>
      <c r="T35" s="199"/>
      <c r="U35" s="199"/>
      <c r="V35" s="199"/>
      <c r="W35" s="199"/>
      <c r="X35" s="201"/>
      <c r="Y35" s="201"/>
      <c r="Z35" s="199"/>
      <c r="AA35" s="199"/>
      <c r="AB35" s="199"/>
      <c r="AC35" s="199">
        <v>10.0</v>
      </c>
      <c r="AD35" s="201">
        <v>-50.0</v>
      </c>
      <c r="AE35" s="200">
        <v>10.0</v>
      </c>
      <c r="AF35" s="199"/>
      <c r="AG35" s="199">
        <v>30.0</v>
      </c>
      <c r="AH35" s="199"/>
      <c r="AI35" s="199"/>
      <c r="AJ35" s="199">
        <v>20.0</v>
      </c>
      <c r="AK35" s="199"/>
      <c r="AL35" s="199">
        <v>10.0</v>
      </c>
      <c r="AM35" s="201">
        <v>-40.0</v>
      </c>
      <c r="AN35" s="199"/>
      <c r="AO35" s="199"/>
      <c r="AP35" s="199"/>
      <c r="AQ35" s="200"/>
      <c r="AR35" s="199"/>
      <c r="AS35" s="199"/>
      <c r="AT35" s="199"/>
      <c r="AU35" s="201">
        <v>-10.0</v>
      </c>
      <c r="AV35" s="199"/>
      <c r="AW35" s="199"/>
      <c r="AX35" s="199"/>
      <c r="AY35" s="199"/>
      <c r="AZ35" s="200">
        <v>10.0</v>
      </c>
      <c r="BA35" s="199"/>
      <c r="BB35" s="199">
        <v>10.0</v>
      </c>
      <c r="BC35" s="201">
        <v>-10.0</v>
      </c>
      <c r="BD35" s="202"/>
      <c r="BE35" s="199"/>
      <c r="BF35" s="199"/>
      <c r="BG35" s="199">
        <v>50.0</v>
      </c>
      <c r="BH35" s="199"/>
      <c r="BI35" s="199"/>
      <c r="BJ35" s="200">
        <v>10.0</v>
      </c>
      <c r="BK35" s="199">
        <v>10.0</v>
      </c>
      <c r="BL35" s="201">
        <v>-70.0</v>
      </c>
      <c r="BM35" s="199"/>
      <c r="BN35" s="199"/>
      <c r="BO35" s="199"/>
      <c r="BP35" s="201"/>
      <c r="BQ35" s="201"/>
      <c r="BR35" s="199">
        <v>120.0</v>
      </c>
      <c r="BS35" s="199"/>
      <c r="BT35" s="199"/>
      <c r="BU35" s="199"/>
      <c r="BV35" s="199"/>
      <c r="BW35" s="199"/>
      <c r="BX35" s="201">
        <v>-60.0</v>
      </c>
      <c r="BY35" s="199"/>
      <c r="BZ35" s="200">
        <v>20.0</v>
      </c>
      <c r="CA35" s="199"/>
      <c r="CB35" s="199"/>
      <c r="CC35" s="199"/>
      <c r="CD35" s="203"/>
      <c r="CE35" s="123">
        <f t="shared" si="1"/>
        <v>90</v>
      </c>
      <c r="CF35" s="25"/>
    </row>
    <row r="36" ht="15.75" customHeight="1">
      <c r="A36" s="25"/>
      <c r="B36" s="217" t="s">
        <v>126</v>
      </c>
      <c r="C36" s="218"/>
      <c r="D36" s="218"/>
      <c r="E36" s="218"/>
      <c r="F36" s="218"/>
      <c r="G36" s="219"/>
      <c r="H36" s="218"/>
      <c r="I36" s="218"/>
      <c r="J36" s="220"/>
      <c r="K36" s="218"/>
      <c r="L36" s="218"/>
      <c r="M36" s="218">
        <v>120.0</v>
      </c>
      <c r="N36" s="218">
        <v>10.0</v>
      </c>
      <c r="O36" s="218"/>
      <c r="P36" s="220">
        <v>-60.0</v>
      </c>
      <c r="Q36" s="219"/>
      <c r="R36" s="218"/>
      <c r="S36" s="218"/>
      <c r="T36" s="218"/>
      <c r="U36" s="218">
        <v>40.0</v>
      </c>
      <c r="V36" s="218">
        <v>10.0</v>
      </c>
      <c r="W36" s="218">
        <v>300.0</v>
      </c>
      <c r="X36" s="220"/>
      <c r="Y36" s="220"/>
      <c r="Z36" s="218"/>
      <c r="AA36" s="218">
        <v>750.0</v>
      </c>
      <c r="AB36" s="218">
        <v>10.0</v>
      </c>
      <c r="AC36" s="218">
        <v>20.0</v>
      </c>
      <c r="AD36" s="220">
        <f>-730-280</f>
        <v>-1010</v>
      </c>
      <c r="AE36" s="219"/>
      <c r="AF36" s="218"/>
      <c r="AG36" s="218">
        <v>20.0</v>
      </c>
      <c r="AH36" s="218"/>
      <c r="AI36" s="218"/>
      <c r="AJ36" s="218">
        <v>130.0</v>
      </c>
      <c r="AK36" s="218"/>
      <c r="AL36" s="218">
        <v>40.0</v>
      </c>
      <c r="AM36" s="220">
        <v>-180.0</v>
      </c>
      <c r="AN36" s="218"/>
      <c r="AO36" s="218"/>
      <c r="AP36" s="218">
        <v>10.0</v>
      </c>
      <c r="AQ36" s="219">
        <v>30.0</v>
      </c>
      <c r="AR36" s="218"/>
      <c r="AS36" s="218"/>
      <c r="AT36" s="218"/>
      <c r="AU36" s="220">
        <v>-190.0</v>
      </c>
      <c r="AV36" s="218"/>
      <c r="AW36" s="218"/>
      <c r="AX36" s="218"/>
      <c r="AY36" s="218"/>
      <c r="AZ36" s="219"/>
      <c r="BA36" s="218"/>
      <c r="BB36" s="218">
        <f>200+290+420+390</f>
        <v>1300</v>
      </c>
      <c r="BC36" s="220">
        <v>-170.0</v>
      </c>
      <c r="BD36" s="221"/>
      <c r="BE36" s="218"/>
      <c r="BF36" s="218"/>
      <c r="BG36" s="218">
        <v>10.0</v>
      </c>
      <c r="BH36" s="218"/>
      <c r="BI36" s="218"/>
      <c r="BJ36" s="219"/>
      <c r="BK36" s="218"/>
      <c r="BL36" s="220">
        <v>-1140.0</v>
      </c>
      <c r="BM36" s="218"/>
      <c r="BN36" s="218"/>
      <c r="BO36" s="218"/>
      <c r="BP36" s="220"/>
      <c r="BQ36" s="220"/>
      <c r="BR36" s="218">
        <v>60.0</v>
      </c>
      <c r="BS36" s="218"/>
      <c r="BT36" s="218"/>
      <c r="BU36" s="218"/>
      <c r="BV36" s="218"/>
      <c r="BW36" s="218"/>
      <c r="BX36" s="220">
        <v>-80.0</v>
      </c>
      <c r="BY36" s="218"/>
      <c r="BZ36" s="219">
        <v>10.0</v>
      </c>
      <c r="CA36" s="218"/>
      <c r="CB36" s="218"/>
      <c r="CC36" s="218"/>
      <c r="CD36" s="222"/>
      <c r="CE36" s="223">
        <f t="shared" si="1"/>
        <v>40</v>
      </c>
      <c r="CF36" s="124" t="s">
        <v>127</v>
      </c>
    </row>
    <row r="37" ht="15.75" customHeight="1">
      <c r="A37" s="25"/>
      <c r="B37" s="133" t="s">
        <v>128</v>
      </c>
      <c r="C37" s="134"/>
      <c r="D37" s="134"/>
      <c r="E37" s="134"/>
      <c r="F37" s="134"/>
      <c r="G37" s="135"/>
      <c r="H37" s="134"/>
      <c r="I37" s="134"/>
      <c r="J37" s="136"/>
      <c r="K37" s="134"/>
      <c r="L37" s="134"/>
      <c r="M37" s="134"/>
      <c r="N37" s="134"/>
      <c r="O37" s="134"/>
      <c r="P37" s="136"/>
      <c r="Q37" s="135"/>
      <c r="R37" s="134"/>
      <c r="S37" s="134"/>
      <c r="T37" s="134"/>
      <c r="U37" s="134"/>
      <c r="V37" s="134"/>
      <c r="W37" s="134"/>
      <c r="X37" s="136"/>
      <c r="Y37" s="136"/>
      <c r="Z37" s="134"/>
      <c r="AA37" s="134">
        <v>40.0</v>
      </c>
      <c r="AB37" s="134"/>
      <c r="AC37" s="134"/>
      <c r="AD37" s="136"/>
      <c r="AE37" s="135"/>
      <c r="AF37" s="134"/>
      <c r="AG37" s="134"/>
      <c r="AH37" s="134"/>
      <c r="AI37" s="134">
        <v>10.0</v>
      </c>
      <c r="AJ37" s="134">
        <v>30.0</v>
      </c>
      <c r="AK37" s="134"/>
      <c r="AL37" s="134"/>
      <c r="AM37" s="136"/>
      <c r="AN37" s="134"/>
      <c r="AO37" s="134"/>
      <c r="AP37" s="134">
        <v>10.0</v>
      </c>
      <c r="AQ37" s="135"/>
      <c r="AR37" s="134"/>
      <c r="AS37" s="134"/>
      <c r="AT37" s="134"/>
      <c r="AU37" s="136"/>
      <c r="AV37" s="134"/>
      <c r="AW37" s="134"/>
      <c r="AX37" s="134"/>
      <c r="AY37" s="134"/>
      <c r="AZ37" s="135"/>
      <c r="BA37" s="134"/>
      <c r="BB37" s="134">
        <f>70+60+100+90</f>
        <v>320</v>
      </c>
      <c r="BC37" s="136"/>
      <c r="BD37" s="137"/>
      <c r="BE37" s="134"/>
      <c r="BF37" s="134"/>
      <c r="BG37" s="134"/>
      <c r="BH37" s="134"/>
      <c r="BI37" s="134"/>
      <c r="BJ37" s="135"/>
      <c r="BK37" s="134"/>
      <c r="BL37" s="136">
        <v>-80.0</v>
      </c>
      <c r="BM37" s="134"/>
      <c r="BN37" s="134"/>
      <c r="BO37" s="134"/>
      <c r="BP37" s="136"/>
      <c r="BQ37" s="136"/>
      <c r="BR37" s="134"/>
      <c r="BS37" s="134"/>
      <c r="BT37" s="134"/>
      <c r="BU37" s="134"/>
      <c r="BV37" s="134"/>
      <c r="BW37" s="134"/>
      <c r="BX37" s="136"/>
      <c r="BY37" s="134"/>
      <c r="BZ37" s="135"/>
      <c r="CA37" s="134"/>
      <c r="CB37" s="134"/>
      <c r="CC37" s="134"/>
      <c r="CD37" s="138"/>
      <c r="CE37" s="139">
        <f t="shared" si="1"/>
        <v>330</v>
      </c>
      <c r="CF37" s="124">
        <f>SUM(CE34:CE37)</f>
        <v>500</v>
      </c>
    </row>
    <row r="38" ht="15.75" customHeight="1">
      <c r="A38" s="125"/>
      <c r="B38" s="204" t="s">
        <v>129</v>
      </c>
      <c r="C38" s="205"/>
      <c r="D38" s="205"/>
      <c r="E38" s="205"/>
      <c r="F38" s="205"/>
      <c r="G38" s="206"/>
      <c r="H38" s="205"/>
      <c r="I38" s="205"/>
      <c r="J38" s="207"/>
      <c r="K38" s="205"/>
      <c r="L38" s="205"/>
      <c r="M38" s="205"/>
      <c r="N38" s="205"/>
      <c r="O38" s="205"/>
      <c r="P38" s="207"/>
      <c r="Q38" s="206"/>
      <c r="R38" s="205"/>
      <c r="S38" s="205"/>
      <c r="T38" s="205"/>
      <c r="U38" s="205"/>
      <c r="V38" s="205"/>
      <c r="W38" s="205"/>
      <c r="X38" s="207"/>
      <c r="Y38" s="207"/>
      <c r="Z38" s="205"/>
      <c r="AA38" s="205"/>
      <c r="AB38" s="205"/>
      <c r="AC38" s="205"/>
      <c r="AD38" s="207"/>
      <c r="AE38" s="206"/>
      <c r="AF38" s="205"/>
      <c r="AG38" s="205"/>
      <c r="AH38" s="205"/>
      <c r="AI38" s="205"/>
      <c r="AJ38" s="205"/>
      <c r="AK38" s="205"/>
      <c r="AL38" s="205">
        <v>10.0</v>
      </c>
      <c r="AM38" s="207"/>
      <c r="AN38" s="205"/>
      <c r="AO38" s="205"/>
      <c r="AP38" s="205"/>
      <c r="AQ38" s="206"/>
      <c r="AR38" s="205"/>
      <c r="AS38" s="205"/>
      <c r="AT38" s="205"/>
      <c r="AU38" s="207"/>
      <c r="AV38" s="205"/>
      <c r="AW38" s="205"/>
      <c r="AX38" s="205"/>
      <c r="AY38" s="205"/>
      <c r="AZ38" s="206"/>
      <c r="BA38" s="205"/>
      <c r="BB38" s="205"/>
      <c r="BC38" s="207"/>
      <c r="BD38" s="208"/>
      <c r="BE38" s="205"/>
      <c r="BF38" s="205"/>
      <c r="BG38" s="205">
        <v>10.0</v>
      </c>
      <c r="BH38" s="205"/>
      <c r="BI38" s="205"/>
      <c r="BJ38" s="206"/>
      <c r="BK38" s="205"/>
      <c r="BL38" s="207">
        <v>-10.0</v>
      </c>
      <c r="BM38" s="205"/>
      <c r="BN38" s="205"/>
      <c r="BO38" s="205"/>
      <c r="BP38" s="207"/>
      <c r="BQ38" s="207"/>
      <c r="BR38" s="205">
        <v>10.0</v>
      </c>
      <c r="BS38" s="205"/>
      <c r="BT38" s="205"/>
      <c r="BU38" s="205"/>
      <c r="BV38" s="205"/>
      <c r="BW38" s="205"/>
      <c r="BX38" s="207"/>
      <c r="BY38" s="205"/>
      <c r="BZ38" s="206"/>
      <c r="CA38" s="205"/>
      <c r="CB38" s="205"/>
      <c r="CC38" s="205"/>
      <c r="CD38" s="209"/>
      <c r="CE38" s="224">
        <f t="shared" si="1"/>
        <v>20</v>
      </c>
      <c r="CF38" s="173"/>
    </row>
    <row r="39" ht="15.75" customHeight="1">
      <c r="A39" s="25"/>
      <c r="B39" s="164" t="s">
        <v>130</v>
      </c>
      <c r="C39" s="165"/>
      <c r="D39" s="165"/>
      <c r="E39" s="165"/>
      <c r="F39" s="165"/>
      <c r="G39" s="166"/>
      <c r="H39" s="165"/>
      <c r="I39" s="165"/>
      <c r="J39" s="169"/>
      <c r="K39" s="165"/>
      <c r="L39" s="165"/>
      <c r="M39" s="165"/>
      <c r="N39" s="165"/>
      <c r="O39" s="165"/>
      <c r="P39" s="169"/>
      <c r="Q39" s="166"/>
      <c r="R39" s="165"/>
      <c r="S39" s="165"/>
      <c r="T39" s="165"/>
      <c r="U39" s="165"/>
      <c r="V39" s="165"/>
      <c r="W39" s="165"/>
      <c r="X39" s="169"/>
      <c r="Y39" s="169"/>
      <c r="Z39" s="165"/>
      <c r="AA39" s="165"/>
      <c r="AB39" s="165"/>
      <c r="AC39" s="165">
        <v>20.0</v>
      </c>
      <c r="AD39" s="169">
        <v>-30.0</v>
      </c>
      <c r="AE39" s="166"/>
      <c r="AF39" s="165"/>
      <c r="AG39" s="165">
        <v>10.0</v>
      </c>
      <c r="AH39" s="165"/>
      <c r="AI39" s="165">
        <v>10.0</v>
      </c>
      <c r="AJ39" s="165">
        <v>10.0</v>
      </c>
      <c r="AK39" s="165"/>
      <c r="AL39" s="165"/>
      <c r="AM39" s="169">
        <v>-20.0</v>
      </c>
      <c r="AN39" s="165"/>
      <c r="AO39" s="165"/>
      <c r="AP39" s="165"/>
      <c r="AQ39" s="166"/>
      <c r="AR39" s="165"/>
      <c r="AS39" s="165"/>
      <c r="AT39" s="165"/>
      <c r="AU39" s="169">
        <v>-10.0</v>
      </c>
      <c r="AV39" s="165"/>
      <c r="AW39" s="165"/>
      <c r="AX39" s="165"/>
      <c r="AY39" s="165"/>
      <c r="AZ39" s="166"/>
      <c r="BA39" s="165"/>
      <c r="BB39" s="165"/>
      <c r="BC39" s="169"/>
      <c r="BD39" s="170"/>
      <c r="BE39" s="165"/>
      <c r="BF39" s="165">
        <v>10.0</v>
      </c>
      <c r="BG39" s="165">
        <v>30.0</v>
      </c>
      <c r="BH39" s="165"/>
      <c r="BI39" s="165"/>
      <c r="BJ39" s="166"/>
      <c r="BK39" s="165">
        <v>40.0</v>
      </c>
      <c r="BL39" s="169">
        <v>-30.0</v>
      </c>
      <c r="BM39" s="165"/>
      <c r="BN39" s="165"/>
      <c r="BO39" s="165"/>
      <c r="BP39" s="169"/>
      <c r="BQ39" s="169"/>
      <c r="BR39" s="165">
        <v>10.0</v>
      </c>
      <c r="BS39" s="165"/>
      <c r="BT39" s="165"/>
      <c r="BU39" s="165"/>
      <c r="BV39" s="165"/>
      <c r="BW39" s="165"/>
      <c r="BX39" s="169">
        <v>-10.0</v>
      </c>
      <c r="BY39" s="165"/>
      <c r="BZ39" s="166">
        <v>10.0</v>
      </c>
      <c r="CA39" s="165"/>
      <c r="CB39" s="165"/>
      <c r="CC39" s="165"/>
      <c r="CD39" s="171"/>
      <c r="CE39" s="172">
        <f t="shared" si="1"/>
        <v>50</v>
      </c>
      <c r="CF39" s="25"/>
    </row>
    <row r="40" ht="15.75" customHeight="1">
      <c r="A40" s="25"/>
      <c r="B40" s="164" t="s">
        <v>131</v>
      </c>
      <c r="C40" s="165"/>
      <c r="D40" s="165"/>
      <c r="E40" s="165"/>
      <c r="F40" s="165"/>
      <c r="G40" s="166"/>
      <c r="H40" s="165"/>
      <c r="I40" s="165"/>
      <c r="J40" s="169"/>
      <c r="K40" s="165"/>
      <c r="L40" s="165"/>
      <c r="M40" s="165"/>
      <c r="N40" s="165">
        <v>10.0</v>
      </c>
      <c r="O40" s="165"/>
      <c r="P40" s="169"/>
      <c r="Q40" s="166"/>
      <c r="R40" s="165"/>
      <c r="S40" s="165"/>
      <c r="T40" s="165"/>
      <c r="U40" s="165"/>
      <c r="V40" s="165"/>
      <c r="W40" s="165"/>
      <c r="X40" s="169"/>
      <c r="Y40" s="169"/>
      <c r="Z40" s="165"/>
      <c r="AA40" s="165">
        <v>10.0</v>
      </c>
      <c r="AB40" s="165">
        <v>10.0</v>
      </c>
      <c r="AC40" s="165"/>
      <c r="AD40" s="169">
        <v>-20.0</v>
      </c>
      <c r="AE40" s="166">
        <v>10.0</v>
      </c>
      <c r="AF40" s="165"/>
      <c r="AG40" s="165"/>
      <c r="AH40" s="165"/>
      <c r="AI40" s="165">
        <v>10.0</v>
      </c>
      <c r="AJ40" s="165">
        <v>20.0</v>
      </c>
      <c r="AK40" s="165"/>
      <c r="AL40" s="165">
        <v>20.0</v>
      </c>
      <c r="AM40" s="169">
        <v>-60.0</v>
      </c>
      <c r="AN40" s="165"/>
      <c r="AO40" s="165"/>
      <c r="AP40" s="165"/>
      <c r="AQ40" s="166">
        <v>10.0</v>
      </c>
      <c r="AR40" s="165"/>
      <c r="AS40" s="165"/>
      <c r="AT40" s="165"/>
      <c r="AU40" s="169">
        <v>-20.0</v>
      </c>
      <c r="AV40" s="165"/>
      <c r="AW40" s="165"/>
      <c r="AX40" s="165"/>
      <c r="AY40" s="165"/>
      <c r="AZ40" s="166">
        <v>10.0</v>
      </c>
      <c r="BA40" s="165"/>
      <c r="BB40" s="165">
        <v>20.0</v>
      </c>
      <c r="BC40" s="169"/>
      <c r="BD40" s="170"/>
      <c r="BE40" s="165"/>
      <c r="BF40" s="165"/>
      <c r="BG40" s="165"/>
      <c r="BH40" s="165"/>
      <c r="BI40" s="165"/>
      <c r="BJ40" s="166"/>
      <c r="BK40" s="165"/>
      <c r="BL40" s="169">
        <v>-30.0</v>
      </c>
      <c r="BM40" s="165"/>
      <c r="BN40" s="165"/>
      <c r="BO40" s="165"/>
      <c r="BP40" s="169"/>
      <c r="BQ40" s="169"/>
      <c r="BR40" s="165"/>
      <c r="BS40" s="165"/>
      <c r="BT40" s="165"/>
      <c r="BU40" s="165"/>
      <c r="BV40" s="165"/>
      <c r="BW40" s="165"/>
      <c r="BX40" s="169"/>
      <c r="BY40" s="165"/>
      <c r="BZ40" s="166">
        <v>10.0</v>
      </c>
      <c r="CA40" s="165"/>
      <c r="CB40" s="165"/>
      <c r="CC40" s="165"/>
      <c r="CD40" s="171"/>
      <c r="CE40" s="172">
        <f t="shared" si="1"/>
        <v>10</v>
      </c>
      <c r="CF40" s="173" t="s">
        <v>132</v>
      </c>
    </row>
    <row r="41" ht="15.75" customHeight="1">
      <c r="A41" s="25"/>
      <c r="B41" s="164" t="s">
        <v>133</v>
      </c>
      <c r="C41" s="225"/>
      <c r="D41" s="225"/>
      <c r="E41" s="225"/>
      <c r="F41" s="225"/>
      <c r="G41" s="226"/>
      <c r="H41" s="225"/>
      <c r="I41" s="225"/>
      <c r="J41" s="227"/>
      <c r="K41" s="225"/>
      <c r="L41" s="225"/>
      <c r="M41" s="225"/>
      <c r="N41" s="225"/>
      <c r="O41" s="225"/>
      <c r="P41" s="227"/>
      <c r="Q41" s="226"/>
      <c r="R41" s="225"/>
      <c r="S41" s="225"/>
      <c r="T41" s="225"/>
      <c r="U41" s="225"/>
      <c r="V41" s="225"/>
      <c r="W41" s="225"/>
      <c r="X41" s="227"/>
      <c r="Y41" s="227"/>
      <c r="Z41" s="225"/>
      <c r="AA41" s="225"/>
      <c r="AB41" s="225"/>
      <c r="AC41" s="225"/>
      <c r="AD41" s="227"/>
      <c r="AE41" s="226">
        <v>10.0</v>
      </c>
      <c r="AF41" s="225"/>
      <c r="AG41" s="225"/>
      <c r="AH41" s="225"/>
      <c r="AI41" s="225"/>
      <c r="AJ41" s="225"/>
      <c r="AK41" s="225"/>
      <c r="AL41" s="225"/>
      <c r="AM41" s="227"/>
      <c r="AN41" s="225"/>
      <c r="AO41" s="225"/>
      <c r="AP41" s="225"/>
      <c r="AQ41" s="226"/>
      <c r="AR41" s="225"/>
      <c r="AS41" s="225"/>
      <c r="AT41" s="225"/>
      <c r="AU41" s="227"/>
      <c r="AV41" s="225"/>
      <c r="AW41" s="225"/>
      <c r="AX41" s="225"/>
      <c r="AY41" s="225"/>
      <c r="AZ41" s="226"/>
      <c r="BA41" s="225"/>
      <c r="BB41" s="225"/>
      <c r="BC41" s="227"/>
      <c r="BD41" s="228"/>
      <c r="BE41" s="225"/>
      <c r="BF41" s="225"/>
      <c r="BG41" s="225"/>
      <c r="BH41" s="225"/>
      <c r="BI41" s="225"/>
      <c r="BJ41" s="226"/>
      <c r="BK41" s="225"/>
      <c r="BL41" s="227"/>
      <c r="BM41" s="225"/>
      <c r="BN41" s="225"/>
      <c r="BO41" s="225"/>
      <c r="BP41" s="227"/>
      <c r="BQ41" s="227"/>
      <c r="BR41" s="225"/>
      <c r="BS41" s="225"/>
      <c r="BT41" s="225"/>
      <c r="BU41" s="225"/>
      <c r="BV41" s="225"/>
      <c r="BW41" s="225"/>
      <c r="BX41" s="227"/>
      <c r="BY41" s="225"/>
      <c r="BZ41" s="226"/>
      <c r="CA41" s="225"/>
      <c r="CB41" s="225"/>
      <c r="CC41" s="225"/>
      <c r="CD41" s="229"/>
      <c r="CE41" s="172">
        <f t="shared" si="1"/>
        <v>10</v>
      </c>
      <c r="CF41" s="173">
        <f>SUM(CE38:CE41)</f>
        <v>90</v>
      </c>
    </row>
    <row r="42" ht="15.75" customHeight="1">
      <c r="A42" s="140"/>
      <c r="B42" s="230" t="s">
        <v>134</v>
      </c>
      <c r="C42" s="231"/>
      <c r="D42" s="231"/>
      <c r="E42" s="231"/>
      <c r="F42" s="231"/>
      <c r="G42" s="232"/>
      <c r="H42" s="231"/>
      <c r="I42" s="231"/>
      <c r="J42" s="233"/>
      <c r="K42" s="231"/>
      <c r="L42" s="231">
        <v>10.0</v>
      </c>
      <c r="M42" s="231"/>
      <c r="N42" s="231"/>
      <c r="O42" s="231"/>
      <c r="P42" s="233"/>
      <c r="Q42" s="232"/>
      <c r="R42" s="231"/>
      <c r="S42" s="231"/>
      <c r="T42" s="231"/>
      <c r="U42" s="231"/>
      <c r="V42" s="231"/>
      <c r="W42" s="231"/>
      <c r="X42" s="233"/>
      <c r="Y42" s="233"/>
      <c r="Z42" s="231"/>
      <c r="AA42" s="231"/>
      <c r="AB42" s="231"/>
      <c r="AC42" s="231"/>
      <c r="AD42" s="233"/>
      <c r="AE42" s="232"/>
      <c r="AF42" s="231"/>
      <c r="AG42" s="231"/>
      <c r="AH42" s="231"/>
      <c r="AI42" s="231"/>
      <c r="AJ42" s="231"/>
      <c r="AK42" s="231"/>
      <c r="AL42" s="231"/>
      <c r="AM42" s="233"/>
      <c r="AN42" s="231"/>
      <c r="AO42" s="231"/>
      <c r="AP42" s="231"/>
      <c r="AQ42" s="232"/>
      <c r="AR42" s="231"/>
      <c r="AS42" s="231"/>
      <c r="AT42" s="231"/>
      <c r="AU42" s="233"/>
      <c r="AV42" s="231"/>
      <c r="AW42" s="231"/>
      <c r="AX42" s="231"/>
      <c r="AY42" s="231"/>
      <c r="AZ42" s="232"/>
      <c r="BA42" s="231"/>
      <c r="BB42" s="231"/>
      <c r="BC42" s="233"/>
      <c r="BD42" s="234"/>
      <c r="BE42" s="231"/>
      <c r="BF42" s="231"/>
      <c r="BG42" s="231"/>
      <c r="BH42" s="231"/>
      <c r="BI42" s="231"/>
      <c r="BJ42" s="232"/>
      <c r="BK42" s="231"/>
      <c r="BL42" s="233"/>
      <c r="BM42" s="231"/>
      <c r="BN42" s="231"/>
      <c r="BO42" s="231"/>
      <c r="BP42" s="233"/>
      <c r="BQ42" s="233"/>
      <c r="BR42" s="231"/>
      <c r="BS42" s="231"/>
      <c r="BT42" s="231"/>
      <c r="BU42" s="231"/>
      <c r="BV42" s="231"/>
      <c r="BW42" s="231"/>
      <c r="BX42" s="233"/>
      <c r="BY42" s="231"/>
      <c r="BZ42" s="232"/>
      <c r="CA42" s="231"/>
      <c r="CB42" s="231"/>
      <c r="CC42" s="231"/>
      <c r="CD42" s="235"/>
      <c r="CE42" s="236">
        <f t="shared" si="1"/>
        <v>10</v>
      </c>
      <c r="CF42" s="156">
        <f>CE42</f>
        <v>10</v>
      </c>
    </row>
    <row r="43" ht="15.75" customHeight="1">
      <c r="A43" s="25"/>
      <c r="B43" s="198"/>
      <c r="C43" s="199"/>
      <c r="D43" s="199"/>
      <c r="E43" s="199"/>
      <c r="F43" s="199"/>
      <c r="G43" s="200"/>
      <c r="H43" s="199"/>
      <c r="I43" s="199"/>
      <c r="J43" s="201"/>
      <c r="K43" s="199"/>
      <c r="L43" s="199"/>
      <c r="M43" s="199"/>
      <c r="N43" s="199"/>
      <c r="O43" s="199"/>
      <c r="P43" s="201"/>
      <c r="Q43" s="200"/>
      <c r="R43" s="199"/>
      <c r="S43" s="199"/>
      <c r="T43" s="199"/>
      <c r="U43" s="199"/>
      <c r="V43" s="199"/>
      <c r="W43" s="199"/>
      <c r="X43" s="201"/>
      <c r="Y43" s="201"/>
      <c r="Z43" s="199"/>
      <c r="AA43" s="199"/>
      <c r="AB43" s="199"/>
      <c r="AC43" s="199"/>
      <c r="AD43" s="201"/>
      <c r="AE43" s="200"/>
      <c r="AF43" s="199"/>
      <c r="AG43" s="199"/>
      <c r="AH43" s="199"/>
      <c r="AI43" s="199"/>
      <c r="AJ43" s="199"/>
      <c r="AK43" s="199"/>
      <c r="AL43" s="199"/>
      <c r="AM43" s="201"/>
      <c r="AN43" s="199"/>
      <c r="AO43" s="199"/>
      <c r="AP43" s="199"/>
      <c r="AQ43" s="200"/>
      <c r="AR43" s="199"/>
      <c r="AS43" s="199"/>
      <c r="AT43" s="199"/>
      <c r="AU43" s="201"/>
      <c r="AV43" s="199"/>
      <c r="AW43" s="199"/>
      <c r="AX43" s="199"/>
      <c r="AY43" s="199"/>
      <c r="AZ43" s="200"/>
      <c r="BA43" s="199"/>
      <c r="BB43" s="199"/>
      <c r="BC43" s="201"/>
      <c r="BD43" s="202"/>
      <c r="BE43" s="199"/>
      <c r="BF43" s="199"/>
      <c r="BG43" s="199"/>
      <c r="BH43" s="199"/>
      <c r="BI43" s="199"/>
      <c r="BJ43" s="200"/>
      <c r="BK43" s="199"/>
      <c r="BL43" s="201"/>
      <c r="BM43" s="199"/>
      <c r="BN43" s="199"/>
      <c r="BO43" s="199"/>
      <c r="BP43" s="201"/>
      <c r="BQ43" s="201"/>
      <c r="BR43" s="199"/>
      <c r="BS43" s="199"/>
      <c r="BT43" s="199"/>
      <c r="BU43" s="199"/>
      <c r="BV43" s="199"/>
      <c r="BW43" s="199"/>
      <c r="BX43" s="201"/>
      <c r="BY43" s="199"/>
      <c r="BZ43" s="200"/>
      <c r="CA43" s="199"/>
      <c r="CB43" s="199"/>
      <c r="CC43" s="199"/>
      <c r="CD43" s="203"/>
      <c r="CE43" s="123"/>
      <c r="CF43" s="124" t="s">
        <v>135</v>
      </c>
    </row>
    <row r="44" ht="15.75" customHeight="1">
      <c r="A44" s="25"/>
      <c r="B44" s="198" t="s">
        <v>136</v>
      </c>
      <c r="C44" s="199"/>
      <c r="D44" s="199"/>
      <c r="E44" s="199"/>
      <c r="F44" s="199"/>
      <c r="G44" s="200"/>
      <c r="H44" s="199"/>
      <c r="I44" s="199"/>
      <c r="J44" s="201"/>
      <c r="K44" s="199"/>
      <c r="L44" s="199"/>
      <c r="M44" s="199">
        <v>20.0</v>
      </c>
      <c r="N44" s="199">
        <v>10.0</v>
      </c>
      <c r="O44" s="199"/>
      <c r="P44" s="201"/>
      <c r="Q44" s="200"/>
      <c r="R44" s="199"/>
      <c r="S44" s="199"/>
      <c r="T44" s="199"/>
      <c r="U44" s="199"/>
      <c r="V44" s="199"/>
      <c r="W44" s="199"/>
      <c r="X44" s="201"/>
      <c r="Y44" s="201"/>
      <c r="Z44" s="199"/>
      <c r="AA44" s="199"/>
      <c r="AB44" s="199"/>
      <c r="AC44" s="199"/>
      <c r="AD44" s="201"/>
      <c r="AE44" s="200"/>
      <c r="AF44" s="199"/>
      <c r="AG44" s="199"/>
      <c r="AH44" s="199"/>
      <c r="AI44" s="199"/>
      <c r="AJ44" s="199"/>
      <c r="AK44" s="199"/>
      <c r="AL44" s="199"/>
      <c r="AM44" s="201"/>
      <c r="AN44" s="199"/>
      <c r="AO44" s="199"/>
      <c r="AP44" s="199"/>
      <c r="AQ44" s="200"/>
      <c r="AR44" s="199"/>
      <c r="AS44" s="199"/>
      <c r="AT44" s="199"/>
      <c r="AU44" s="201"/>
      <c r="AV44" s="199"/>
      <c r="AW44" s="199"/>
      <c r="AX44" s="199"/>
      <c r="AY44" s="199"/>
      <c r="AZ44" s="200"/>
      <c r="BA44" s="199"/>
      <c r="BB44" s="199"/>
      <c r="BC44" s="201"/>
      <c r="BD44" s="202"/>
      <c r="BE44" s="199"/>
      <c r="BF44" s="199"/>
      <c r="BG44" s="199">
        <v>40.0</v>
      </c>
      <c r="BH44" s="199"/>
      <c r="BI44" s="199">
        <v>10.0</v>
      </c>
      <c r="BJ44" s="200"/>
      <c r="BK44" s="199"/>
      <c r="BL44" s="201">
        <v>-50.0</v>
      </c>
      <c r="BM44" s="199"/>
      <c r="BN44" s="199"/>
      <c r="BO44" s="199"/>
      <c r="BP44" s="201"/>
      <c r="BQ44" s="201"/>
      <c r="BR44" s="199">
        <v>10.0</v>
      </c>
      <c r="BS44" s="199"/>
      <c r="BT44" s="199"/>
      <c r="BU44" s="199"/>
      <c r="BV44" s="199"/>
      <c r="BW44" s="199"/>
      <c r="BX44" s="201"/>
      <c r="BY44" s="199"/>
      <c r="BZ44" s="200">
        <v>30.0</v>
      </c>
      <c r="CA44" s="199">
        <v>10.0</v>
      </c>
      <c r="CB44" s="199"/>
      <c r="CC44" s="199"/>
      <c r="CD44" s="203"/>
      <c r="CE44" s="123">
        <f t="shared" ref="CE44:CE45" si="2">SUM(C44:CD44)</f>
        <v>80</v>
      </c>
      <c r="CF44" s="124">
        <f t="shared" ref="CF44:CF45" si="3">CE44</f>
        <v>80</v>
      </c>
    </row>
    <row r="45" ht="15.75" customHeight="1">
      <c r="A45" s="125"/>
      <c r="B45" s="164" t="s">
        <v>137</v>
      </c>
      <c r="C45" s="165"/>
      <c r="D45" s="165"/>
      <c r="E45" s="165"/>
      <c r="F45" s="165"/>
      <c r="G45" s="166"/>
      <c r="H45" s="165"/>
      <c r="I45" s="165"/>
      <c r="J45" s="169"/>
      <c r="K45" s="165"/>
      <c r="L45" s="165"/>
      <c r="M45" s="165"/>
      <c r="N45" s="165"/>
      <c r="O45" s="165"/>
      <c r="P45" s="169"/>
      <c r="Q45" s="166"/>
      <c r="R45" s="165"/>
      <c r="S45" s="165"/>
      <c r="T45" s="165"/>
      <c r="U45" s="165"/>
      <c r="V45" s="165"/>
      <c r="W45" s="165"/>
      <c r="X45" s="169"/>
      <c r="Y45" s="169"/>
      <c r="Z45" s="165"/>
      <c r="AA45" s="165"/>
      <c r="AB45" s="165"/>
      <c r="AC45" s="165"/>
      <c r="AD45" s="169"/>
      <c r="AE45" s="166"/>
      <c r="AF45" s="165"/>
      <c r="AG45" s="165"/>
      <c r="AH45" s="165"/>
      <c r="AI45" s="165"/>
      <c r="AJ45" s="165"/>
      <c r="AK45" s="165"/>
      <c r="AL45" s="165"/>
      <c r="AM45" s="169"/>
      <c r="AN45" s="165"/>
      <c r="AO45" s="165"/>
      <c r="AP45" s="165"/>
      <c r="AQ45" s="166"/>
      <c r="AR45" s="165"/>
      <c r="AS45" s="165"/>
      <c r="AT45" s="165"/>
      <c r="AU45" s="169"/>
      <c r="AV45" s="165"/>
      <c r="AW45" s="165"/>
      <c r="AX45" s="165"/>
      <c r="AY45" s="165"/>
      <c r="AZ45" s="166"/>
      <c r="BA45" s="165"/>
      <c r="BB45" s="165"/>
      <c r="BC45" s="169"/>
      <c r="BD45" s="170"/>
      <c r="BE45" s="165"/>
      <c r="BF45" s="165"/>
      <c r="BG45" s="165"/>
      <c r="BH45" s="165"/>
      <c r="BI45" s="165">
        <v>10.0</v>
      </c>
      <c r="BJ45" s="166"/>
      <c r="BK45" s="165"/>
      <c r="BL45" s="169">
        <v>-10.0</v>
      </c>
      <c r="BM45" s="165"/>
      <c r="BN45" s="165"/>
      <c r="BO45" s="165"/>
      <c r="BP45" s="169"/>
      <c r="BQ45" s="169"/>
      <c r="BR45" s="165"/>
      <c r="BS45" s="165"/>
      <c r="BT45" s="165"/>
      <c r="BU45" s="165"/>
      <c r="BV45" s="165"/>
      <c r="BW45" s="165"/>
      <c r="BX45" s="169"/>
      <c r="BY45" s="165"/>
      <c r="BZ45" s="166"/>
      <c r="CA45" s="165"/>
      <c r="CB45" s="165"/>
      <c r="CC45" s="165"/>
      <c r="CD45" s="171"/>
      <c r="CE45" s="172">
        <f t="shared" si="2"/>
        <v>0</v>
      </c>
      <c r="CF45" s="124">
        <f t="shared" si="3"/>
        <v>0</v>
      </c>
    </row>
    <row r="46" ht="15.75" customHeight="1">
      <c r="A46" s="25"/>
      <c r="B46" s="198"/>
      <c r="C46" s="199"/>
      <c r="D46" s="199"/>
      <c r="E46" s="199"/>
      <c r="F46" s="199"/>
      <c r="G46" s="200"/>
      <c r="H46" s="199"/>
      <c r="I46" s="199"/>
      <c r="J46" s="201"/>
      <c r="K46" s="199"/>
      <c r="L46" s="199"/>
      <c r="M46" s="199"/>
      <c r="N46" s="199"/>
      <c r="O46" s="199"/>
      <c r="P46" s="201"/>
      <c r="Q46" s="200"/>
      <c r="R46" s="199"/>
      <c r="S46" s="199"/>
      <c r="T46" s="199"/>
      <c r="U46" s="199"/>
      <c r="V46" s="199"/>
      <c r="W46" s="199"/>
      <c r="X46" s="201"/>
      <c r="Y46" s="201"/>
      <c r="Z46" s="199"/>
      <c r="AA46" s="199"/>
      <c r="AB46" s="199"/>
      <c r="AC46" s="199"/>
      <c r="AD46" s="201"/>
      <c r="AE46" s="200"/>
      <c r="AF46" s="199"/>
      <c r="AG46" s="199"/>
      <c r="AH46" s="199"/>
      <c r="AI46" s="199"/>
      <c r="AJ46" s="199"/>
      <c r="AK46" s="199"/>
      <c r="AL46" s="199"/>
      <c r="AM46" s="201"/>
      <c r="AN46" s="199"/>
      <c r="AO46" s="199"/>
      <c r="AP46" s="199"/>
      <c r="AQ46" s="200"/>
      <c r="AR46" s="199"/>
      <c r="AS46" s="199"/>
      <c r="AT46" s="199"/>
      <c r="AU46" s="201"/>
      <c r="AV46" s="199"/>
      <c r="AW46" s="199"/>
      <c r="AX46" s="199"/>
      <c r="AY46" s="199"/>
      <c r="AZ46" s="200"/>
      <c r="BA46" s="199"/>
      <c r="BB46" s="199"/>
      <c r="BC46" s="201"/>
      <c r="BD46" s="202"/>
      <c r="BE46" s="199"/>
      <c r="BF46" s="199"/>
      <c r="BG46" s="199"/>
      <c r="BH46" s="199"/>
      <c r="BI46" s="199"/>
      <c r="BJ46" s="200"/>
      <c r="BK46" s="199"/>
      <c r="BL46" s="201"/>
      <c r="BM46" s="199"/>
      <c r="BN46" s="199"/>
      <c r="BO46" s="199"/>
      <c r="BP46" s="201"/>
      <c r="BQ46" s="201"/>
      <c r="BR46" s="199"/>
      <c r="BS46" s="199"/>
      <c r="BT46" s="199"/>
      <c r="BU46" s="199"/>
      <c r="BV46" s="199"/>
      <c r="BW46" s="199"/>
      <c r="BX46" s="201"/>
      <c r="BY46" s="199"/>
      <c r="BZ46" s="200"/>
      <c r="CA46" s="199"/>
      <c r="CB46" s="199"/>
      <c r="CC46" s="199"/>
      <c r="CD46" s="203"/>
      <c r="CE46" s="123"/>
      <c r="CF46" s="173" t="s">
        <v>138</v>
      </c>
    </row>
    <row r="47" ht="15.75" customHeight="1">
      <c r="A47" s="25"/>
      <c r="B47" s="174" t="s">
        <v>139</v>
      </c>
      <c r="C47" s="175"/>
      <c r="D47" s="175"/>
      <c r="E47" s="175"/>
      <c r="F47" s="175"/>
      <c r="G47" s="176">
        <v>10.0</v>
      </c>
      <c r="H47" s="175"/>
      <c r="I47" s="175"/>
      <c r="J47" s="168"/>
      <c r="K47" s="175"/>
      <c r="L47" s="175"/>
      <c r="M47" s="175"/>
      <c r="N47" s="175"/>
      <c r="O47" s="175"/>
      <c r="P47" s="168"/>
      <c r="Q47" s="176">
        <v>10.0</v>
      </c>
      <c r="R47" s="175"/>
      <c r="S47" s="175"/>
      <c r="T47" s="175"/>
      <c r="U47" s="175">
        <v>10.0</v>
      </c>
      <c r="V47" s="175"/>
      <c r="W47" s="175"/>
      <c r="X47" s="168"/>
      <c r="Y47" s="168"/>
      <c r="Z47" s="175"/>
      <c r="AA47" s="175"/>
      <c r="AB47" s="175"/>
      <c r="AC47" s="175">
        <v>10.0</v>
      </c>
      <c r="AD47" s="168"/>
      <c r="AE47" s="176">
        <v>10.0</v>
      </c>
      <c r="AF47" s="175"/>
      <c r="AG47" s="175"/>
      <c r="AH47" s="175"/>
      <c r="AI47" s="175"/>
      <c r="AJ47" s="175">
        <v>10.0</v>
      </c>
      <c r="AK47" s="175">
        <v>20.0</v>
      </c>
      <c r="AL47" s="175">
        <v>10.0</v>
      </c>
      <c r="AM47" s="168"/>
      <c r="AN47" s="175">
        <v>10.0</v>
      </c>
      <c r="AO47" s="175">
        <v>20.0</v>
      </c>
      <c r="AP47" s="175">
        <v>10.0</v>
      </c>
      <c r="AQ47" s="176">
        <v>40.0</v>
      </c>
      <c r="AR47" s="175"/>
      <c r="AS47" s="175"/>
      <c r="AT47" s="175"/>
      <c r="AU47" s="168">
        <v>-120.0</v>
      </c>
      <c r="AV47" s="175">
        <v>10.0</v>
      </c>
      <c r="AW47" s="175"/>
      <c r="AX47" s="175">
        <v>80.0</v>
      </c>
      <c r="AY47" s="175"/>
      <c r="AZ47" s="176">
        <v>30.0</v>
      </c>
      <c r="BA47" s="175"/>
      <c r="BB47" s="175">
        <v>10.0</v>
      </c>
      <c r="BC47" s="168"/>
      <c r="BD47" s="177"/>
      <c r="BE47" s="175">
        <v>10.0</v>
      </c>
      <c r="BF47" s="175"/>
      <c r="BG47" s="175">
        <v>20.0</v>
      </c>
      <c r="BH47" s="175">
        <v>40.0</v>
      </c>
      <c r="BI47" s="175">
        <v>20.0</v>
      </c>
      <c r="BJ47" s="176">
        <v>40.0</v>
      </c>
      <c r="BK47" s="175">
        <v>10.0</v>
      </c>
      <c r="BL47" s="168">
        <v>-40.0</v>
      </c>
      <c r="BM47" s="175">
        <v>20.0</v>
      </c>
      <c r="BN47" s="175">
        <v>30.0</v>
      </c>
      <c r="BO47" s="175">
        <v>40.0</v>
      </c>
      <c r="BP47" s="168"/>
      <c r="BQ47" s="168"/>
      <c r="BR47" s="175">
        <v>10.0</v>
      </c>
      <c r="BS47" s="175"/>
      <c r="BT47" s="175">
        <v>10.0</v>
      </c>
      <c r="BU47" s="175"/>
      <c r="BV47" s="175">
        <v>10.0</v>
      </c>
      <c r="BW47" s="175">
        <v>20.0</v>
      </c>
      <c r="BX47" s="168"/>
      <c r="BY47" s="175">
        <v>10.0</v>
      </c>
      <c r="BZ47" s="176">
        <v>30.0</v>
      </c>
      <c r="CA47" s="175">
        <v>30.0</v>
      </c>
      <c r="CB47" s="175"/>
      <c r="CC47" s="175">
        <v>20.0</v>
      </c>
      <c r="CD47" s="178"/>
      <c r="CE47" s="172">
        <f>SUM(C47:CD47)</f>
        <v>510</v>
      </c>
      <c r="CF47" s="173">
        <f>SUM(CE47)</f>
        <v>510</v>
      </c>
    </row>
    <row r="48" ht="15.75" customHeight="1">
      <c r="A48" s="25"/>
      <c r="B48" s="174"/>
      <c r="C48" s="175"/>
      <c r="D48" s="175"/>
      <c r="E48" s="175"/>
      <c r="F48" s="175"/>
      <c r="G48" s="176"/>
      <c r="H48" s="175"/>
      <c r="I48" s="175"/>
      <c r="J48" s="168"/>
      <c r="K48" s="175"/>
      <c r="L48" s="175"/>
      <c r="M48" s="175"/>
      <c r="N48" s="175"/>
      <c r="O48" s="175"/>
      <c r="P48" s="168"/>
      <c r="Q48" s="176"/>
      <c r="R48" s="175"/>
      <c r="S48" s="175"/>
      <c r="T48" s="175"/>
      <c r="U48" s="175"/>
      <c r="V48" s="175"/>
      <c r="W48" s="175"/>
      <c r="X48" s="168"/>
      <c r="Y48" s="168"/>
      <c r="Z48" s="175"/>
      <c r="AA48" s="175"/>
      <c r="AB48" s="175"/>
      <c r="AC48" s="175"/>
      <c r="AD48" s="168"/>
      <c r="AE48" s="176"/>
      <c r="AF48" s="175"/>
      <c r="AG48" s="175"/>
      <c r="AH48" s="175"/>
      <c r="AI48" s="175"/>
      <c r="AJ48" s="175"/>
      <c r="AK48" s="175"/>
      <c r="AL48" s="175"/>
      <c r="AM48" s="168"/>
      <c r="AN48" s="175"/>
      <c r="AO48" s="175"/>
      <c r="AP48" s="175"/>
      <c r="AQ48" s="176"/>
      <c r="AR48" s="175"/>
      <c r="AS48" s="175"/>
      <c r="AT48" s="175"/>
      <c r="AU48" s="168"/>
      <c r="AV48" s="175"/>
      <c r="AW48" s="175"/>
      <c r="AX48" s="175"/>
      <c r="AY48" s="175"/>
      <c r="AZ48" s="176"/>
      <c r="BA48" s="175"/>
      <c r="BB48" s="175"/>
      <c r="BC48" s="168"/>
      <c r="BD48" s="177"/>
      <c r="BE48" s="175"/>
      <c r="BF48" s="175"/>
      <c r="BG48" s="175"/>
      <c r="BH48" s="175"/>
      <c r="BI48" s="175"/>
      <c r="BJ48" s="176"/>
      <c r="BK48" s="175"/>
      <c r="BL48" s="168"/>
      <c r="BM48" s="175"/>
      <c r="BN48" s="175"/>
      <c r="BO48" s="175"/>
      <c r="BP48" s="168"/>
      <c r="BQ48" s="168"/>
      <c r="BR48" s="175"/>
      <c r="BS48" s="175"/>
      <c r="BT48" s="175"/>
      <c r="BU48" s="175"/>
      <c r="BV48" s="175"/>
      <c r="BW48" s="175"/>
      <c r="BX48" s="168"/>
      <c r="BY48" s="175"/>
      <c r="BZ48" s="176"/>
      <c r="CA48" s="175"/>
      <c r="CB48" s="175"/>
      <c r="CC48" s="175"/>
      <c r="CD48" s="178"/>
      <c r="CE48" s="172"/>
      <c r="CF48" s="173" t="s">
        <v>140</v>
      </c>
    </row>
    <row r="49" ht="15.75" customHeight="1">
      <c r="A49" s="25"/>
      <c r="B49" s="187" t="s">
        <v>141</v>
      </c>
      <c r="C49" s="188"/>
      <c r="D49" s="188"/>
      <c r="E49" s="188">
        <v>10.0</v>
      </c>
      <c r="F49" s="188"/>
      <c r="G49" s="189"/>
      <c r="H49" s="188"/>
      <c r="I49" s="188"/>
      <c r="J49" s="190"/>
      <c r="K49" s="188"/>
      <c r="L49" s="188"/>
      <c r="M49" s="188"/>
      <c r="N49" s="188">
        <v>10.0</v>
      </c>
      <c r="O49" s="188"/>
      <c r="P49" s="190"/>
      <c r="Q49" s="189">
        <v>10.0</v>
      </c>
      <c r="R49" s="188"/>
      <c r="S49" s="188"/>
      <c r="T49" s="188"/>
      <c r="U49" s="188"/>
      <c r="V49" s="188"/>
      <c r="W49" s="188"/>
      <c r="X49" s="190"/>
      <c r="Y49" s="190"/>
      <c r="Z49" s="188"/>
      <c r="AA49" s="188"/>
      <c r="AB49" s="188"/>
      <c r="AC49" s="188"/>
      <c r="AD49" s="190"/>
      <c r="AE49" s="189"/>
      <c r="AF49" s="188"/>
      <c r="AG49" s="188"/>
      <c r="AH49" s="188"/>
      <c r="AI49" s="188"/>
      <c r="AJ49" s="188"/>
      <c r="AK49" s="188"/>
      <c r="AL49" s="188"/>
      <c r="AM49" s="190"/>
      <c r="AN49" s="188"/>
      <c r="AO49" s="188"/>
      <c r="AP49" s="188"/>
      <c r="AQ49" s="189"/>
      <c r="AR49" s="188"/>
      <c r="AS49" s="188"/>
      <c r="AT49" s="188"/>
      <c r="AU49" s="190"/>
      <c r="AV49" s="188"/>
      <c r="AW49" s="188"/>
      <c r="AX49" s="188"/>
      <c r="AY49" s="188"/>
      <c r="AZ49" s="189"/>
      <c r="BA49" s="188"/>
      <c r="BB49" s="188"/>
      <c r="BC49" s="190"/>
      <c r="BD49" s="191"/>
      <c r="BE49" s="188"/>
      <c r="BF49" s="188"/>
      <c r="BG49" s="188"/>
      <c r="BH49" s="188"/>
      <c r="BI49" s="188"/>
      <c r="BJ49" s="189"/>
      <c r="BK49" s="188"/>
      <c r="BL49" s="190"/>
      <c r="BM49" s="188"/>
      <c r="BN49" s="188"/>
      <c r="BO49" s="188"/>
      <c r="BP49" s="190"/>
      <c r="BQ49" s="190"/>
      <c r="BR49" s="188"/>
      <c r="BS49" s="188"/>
      <c r="BT49" s="188"/>
      <c r="BU49" s="188"/>
      <c r="BV49" s="188"/>
      <c r="BW49" s="188"/>
      <c r="BX49" s="190"/>
      <c r="BY49" s="188"/>
      <c r="BZ49" s="189"/>
      <c r="CA49" s="188"/>
      <c r="CB49" s="188"/>
      <c r="CC49" s="188"/>
      <c r="CD49" s="192"/>
      <c r="CE49" s="193">
        <f t="shared" ref="CE49:CE51" si="5">SUM(C49:CD49)</f>
        <v>30</v>
      </c>
      <c r="CF49" s="173">
        <f>SUM(CE49)</f>
        <v>30</v>
      </c>
    </row>
    <row r="50" ht="15.75" customHeight="1">
      <c r="B50" s="237" t="s">
        <v>142</v>
      </c>
      <c r="C50" s="238">
        <f t="shared" ref="C50:CD50" si="4">SUM(C5:C49)</f>
        <v>2590</v>
      </c>
      <c r="D50" s="238">
        <f t="shared" si="4"/>
        <v>4250</v>
      </c>
      <c r="E50" s="238">
        <f t="shared" si="4"/>
        <v>2490</v>
      </c>
      <c r="F50" s="238">
        <f t="shared" si="4"/>
        <v>4430</v>
      </c>
      <c r="G50" s="239">
        <f t="shared" si="4"/>
        <v>90</v>
      </c>
      <c r="H50" s="238">
        <f t="shared" si="4"/>
        <v>4430</v>
      </c>
      <c r="I50" s="238">
        <f t="shared" si="4"/>
        <v>5920</v>
      </c>
      <c r="J50" s="240">
        <f t="shared" si="4"/>
        <v>-20000</v>
      </c>
      <c r="K50" s="238">
        <f t="shared" si="4"/>
        <v>6520</v>
      </c>
      <c r="L50" s="238">
        <f t="shared" si="4"/>
        <v>7700</v>
      </c>
      <c r="M50" s="238">
        <f t="shared" si="4"/>
        <v>6210</v>
      </c>
      <c r="N50" s="238">
        <f t="shared" si="4"/>
        <v>3040</v>
      </c>
      <c r="O50" s="241">
        <f t="shared" si="4"/>
        <v>2420</v>
      </c>
      <c r="P50" s="240">
        <f t="shared" si="4"/>
        <v>-20000</v>
      </c>
      <c r="Q50" s="239">
        <f t="shared" si="4"/>
        <v>120</v>
      </c>
      <c r="R50" s="241">
        <f t="shared" si="4"/>
        <v>1120</v>
      </c>
      <c r="S50" s="241">
        <f t="shared" si="4"/>
        <v>3050</v>
      </c>
      <c r="T50" s="241">
        <f t="shared" si="4"/>
        <v>4720</v>
      </c>
      <c r="U50" s="241">
        <f t="shared" si="4"/>
        <v>6130</v>
      </c>
      <c r="V50" s="241">
        <f t="shared" si="4"/>
        <v>3070</v>
      </c>
      <c r="W50" s="241">
        <f t="shared" si="4"/>
        <v>3110</v>
      </c>
      <c r="X50" s="240">
        <f t="shared" si="4"/>
        <v>-20000</v>
      </c>
      <c r="Y50" s="240">
        <f t="shared" si="4"/>
        <v>-1500</v>
      </c>
      <c r="Z50" s="241">
        <f t="shared" si="4"/>
        <v>1660</v>
      </c>
      <c r="AA50" s="241">
        <f t="shared" si="4"/>
        <v>4050</v>
      </c>
      <c r="AB50" s="241">
        <f t="shared" si="4"/>
        <v>6210</v>
      </c>
      <c r="AC50" s="242">
        <f t="shared" si="4"/>
        <v>2200</v>
      </c>
      <c r="AD50" s="240">
        <f t="shared" si="4"/>
        <v>-20000</v>
      </c>
      <c r="AE50" s="239">
        <f t="shared" si="4"/>
        <v>110</v>
      </c>
      <c r="AF50" s="242">
        <f t="shared" si="4"/>
        <v>790</v>
      </c>
      <c r="AG50" s="242">
        <f t="shared" si="4"/>
        <v>790</v>
      </c>
      <c r="AH50" s="242">
        <f t="shared" si="4"/>
        <v>1020</v>
      </c>
      <c r="AI50" s="242">
        <f t="shared" si="4"/>
        <v>4530</v>
      </c>
      <c r="AJ50" s="242">
        <f t="shared" si="4"/>
        <v>2830</v>
      </c>
      <c r="AK50" s="242">
        <f t="shared" si="4"/>
        <v>4440</v>
      </c>
      <c r="AL50" s="242">
        <f t="shared" si="4"/>
        <v>4310</v>
      </c>
      <c r="AM50" s="240">
        <f t="shared" si="4"/>
        <v>-17000</v>
      </c>
      <c r="AN50" s="242">
        <f t="shared" si="4"/>
        <v>2570</v>
      </c>
      <c r="AO50" s="242">
        <f t="shared" si="4"/>
        <v>2760</v>
      </c>
      <c r="AP50" s="242">
        <f t="shared" si="4"/>
        <v>2920</v>
      </c>
      <c r="AQ50" s="239">
        <f t="shared" si="4"/>
        <v>170</v>
      </c>
      <c r="AR50" s="242">
        <f t="shared" si="4"/>
        <v>1880</v>
      </c>
      <c r="AS50" s="242">
        <f t="shared" si="4"/>
        <v>2700</v>
      </c>
      <c r="AT50" s="242">
        <f t="shared" si="4"/>
        <v>3090</v>
      </c>
      <c r="AU50" s="240">
        <f t="shared" si="4"/>
        <v>-20000</v>
      </c>
      <c r="AV50" s="242">
        <f t="shared" si="4"/>
        <v>4070</v>
      </c>
      <c r="AW50" s="242">
        <f t="shared" si="4"/>
        <v>7770</v>
      </c>
      <c r="AX50" s="242">
        <f t="shared" si="4"/>
        <v>2720</v>
      </c>
      <c r="AY50" s="242">
        <f t="shared" si="4"/>
        <v>1660</v>
      </c>
      <c r="AZ50" s="239">
        <f t="shared" si="4"/>
        <v>210</v>
      </c>
      <c r="BA50" s="238">
        <f t="shared" si="4"/>
        <v>1490</v>
      </c>
      <c r="BB50" s="238">
        <f t="shared" si="4"/>
        <v>7630</v>
      </c>
      <c r="BC50" s="240">
        <f t="shared" si="4"/>
        <v>-20000</v>
      </c>
      <c r="BD50" s="243">
        <f t="shared" si="4"/>
        <v>-10</v>
      </c>
      <c r="BE50" s="238">
        <f t="shared" si="4"/>
        <v>2170</v>
      </c>
      <c r="BF50" s="238">
        <f t="shared" si="4"/>
        <v>6030</v>
      </c>
      <c r="BG50" s="238">
        <f t="shared" si="4"/>
        <v>3980</v>
      </c>
      <c r="BH50" s="238">
        <f t="shared" si="4"/>
        <v>1410</v>
      </c>
      <c r="BI50" s="238">
        <f t="shared" si="4"/>
        <v>1750</v>
      </c>
      <c r="BJ50" s="239">
        <f t="shared" si="4"/>
        <v>140</v>
      </c>
      <c r="BK50" s="238">
        <f t="shared" si="4"/>
        <v>3850</v>
      </c>
      <c r="BL50" s="240">
        <f t="shared" si="4"/>
        <v>-20000</v>
      </c>
      <c r="BM50" s="238">
        <f t="shared" si="4"/>
        <v>4660</v>
      </c>
      <c r="BN50" s="238">
        <f t="shared" si="4"/>
        <v>3230</v>
      </c>
      <c r="BO50" s="238">
        <f t="shared" si="4"/>
        <v>5410</v>
      </c>
      <c r="BP50" s="240">
        <f t="shared" si="4"/>
        <v>-10000</v>
      </c>
      <c r="BQ50" s="240">
        <f t="shared" si="4"/>
        <v>-5000</v>
      </c>
      <c r="BR50" s="238">
        <f t="shared" si="4"/>
        <v>6330</v>
      </c>
      <c r="BS50" s="238">
        <f t="shared" si="4"/>
        <v>4750</v>
      </c>
      <c r="BT50" s="238">
        <f t="shared" si="4"/>
        <v>4590</v>
      </c>
      <c r="BU50" s="238">
        <f t="shared" si="4"/>
        <v>3080</v>
      </c>
      <c r="BV50" s="238">
        <f t="shared" si="4"/>
        <v>4820</v>
      </c>
      <c r="BW50" s="238">
        <f t="shared" si="4"/>
        <v>3380</v>
      </c>
      <c r="BX50" s="240">
        <f t="shared" si="4"/>
        <v>-20100</v>
      </c>
      <c r="BY50" s="238">
        <f t="shared" si="4"/>
        <v>4950</v>
      </c>
      <c r="BZ50" s="239">
        <f t="shared" si="4"/>
        <v>240</v>
      </c>
      <c r="CA50" s="238">
        <f t="shared" si="4"/>
        <v>6380</v>
      </c>
      <c r="CB50" s="238">
        <f t="shared" si="4"/>
        <v>4700</v>
      </c>
      <c r="CC50" s="238">
        <f t="shared" si="4"/>
        <v>4710</v>
      </c>
      <c r="CD50" s="244">
        <f t="shared" si="4"/>
        <v>-20000</v>
      </c>
      <c r="CE50" s="245">
        <f t="shared" si="5"/>
        <v>12940</v>
      </c>
      <c r="CF50" s="246">
        <f>SUM(CF5:CF49)</f>
        <v>12940</v>
      </c>
    </row>
    <row r="51" ht="15.75" customHeight="1">
      <c r="A51" s="125"/>
      <c r="B51" s="247" t="s">
        <v>143</v>
      </c>
      <c r="C51" s="248">
        <v>13.5</v>
      </c>
      <c r="D51" s="248">
        <v>16.7</v>
      </c>
      <c r="E51" s="248">
        <v>20.8</v>
      </c>
      <c r="F51" s="248">
        <v>38.9</v>
      </c>
      <c r="G51" s="248">
        <v>-90.0</v>
      </c>
      <c r="H51" s="248">
        <v>18.3</v>
      </c>
      <c r="I51" s="248">
        <v>21.4</v>
      </c>
      <c r="J51" s="248"/>
      <c r="K51" s="248">
        <v>14.0</v>
      </c>
      <c r="L51" s="248"/>
      <c r="M51" s="248">
        <v>30.0</v>
      </c>
      <c r="N51" s="248">
        <v>13.8</v>
      </c>
      <c r="O51" s="248">
        <v>22.9</v>
      </c>
      <c r="P51" s="248"/>
      <c r="Q51" s="248">
        <v>-120.0</v>
      </c>
      <c r="R51" s="248">
        <v>7.1</v>
      </c>
      <c r="S51" s="248">
        <v>8.6</v>
      </c>
      <c r="T51" s="248">
        <v>9.1</v>
      </c>
      <c r="U51" s="248">
        <v>13.5</v>
      </c>
      <c r="V51" s="248"/>
      <c r="W51" s="248">
        <v>46.6</v>
      </c>
      <c r="X51" s="248"/>
      <c r="Y51" s="248"/>
      <c r="Z51" s="248">
        <v>4.1</v>
      </c>
      <c r="AA51" s="248">
        <v>18.5</v>
      </c>
      <c r="AB51" s="248"/>
      <c r="AC51" s="248">
        <v>18.8</v>
      </c>
      <c r="AD51" s="248"/>
      <c r="AE51" s="248">
        <v>-110.0</v>
      </c>
      <c r="AF51" s="248">
        <v>16.8</v>
      </c>
      <c r="AG51" s="248">
        <v>31.2</v>
      </c>
      <c r="AH51" s="248">
        <v>25.3</v>
      </c>
      <c r="AI51" s="248">
        <v>22.3</v>
      </c>
      <c r="AJ51" s="248"/>
      <c r="AK51" s="248">
        <v>36.1</v>
      </c>
      <c r="AL51" s="248">
        <v>26.0</v>
      </c>
      <c r="AM51" s="248"/>
      <c r="AN51" s="248">
        <v>19.4</v>
      </c>
      <c r="AO51" s="248">
        <v>5.0</v>
      </c>
      <c r="AP51" s="248">
        <v>25.1</v>
      </c>
      <c r="AQ51" s="248">
        <v>-170.0</v>
      </c>
      <c r="AR51" s="248">
        <v>12.0</v>
      </c>
      <c r="AS51" s="248">
        <v>25.6</v>
      </c>
      <c r="AT51" s="248">
        <v>40.5</v>
      </c>
      <c r="AU51" s="248"/>
      <c r="AV51" s="248">
        <f>28.4+22.5</f>
        <v>50.9</v>
      </c>
      <c r="AW51" s="248">
        <v>34.0</v>
      </c>
      <c r="AX51" s="248">
        <v>6.2</v>
      </c>
      <c r="AY51" s="248">
        <v>5.3</v>
      </c>
      <c r="AZ51" s="248">
        <v>-210.0</v>
      </c>
      <c r="BA51" s="248">
        <v>17.6</v>
      </c>
      <c r="BB51" s="248">
        <v>10.1</v>
      </c>
      <c r="BC51" s="248"/>
      <c r="BD51" s="248"/>
      <c r="BE51" s="248">
        <v>25.1</v>
      </c>
      <c r="BF51" s="248">
        <v>31.4</v>
      </c>
      <c r="BG51" s="248">
        <v>14.5</v>
      </c>
      <c r="BH51" s="248">
        <v>12.9</v>
      </c>
      <c r="BI51" s="248">
        <v>12.3</v>
      </c>
      <c r="BJ51" s="248">
        <v>-140.0</v>
      </c>
      <c r="BK51" s="248">
        <v>33.0</v>
      </c>
      <c r="BL51" s="248"/>
      <c r="BM51" s="248">
        <v>16.0</v>
      </c>
      <c r="BN51" s="248">
        <v>10.4</v>
      </c>
      <c r="BO51" s="248">
        <v>15.8</v>
      </c>
      <c r="BP51" s="248"/>
      <c r="BQ51" s="248"/>
      <c r="BR51" s="248">
        <v>38.2</v>
      </c>
      <c r="BS51" s="248">
        <v>44.4</v>
      </c>
      <c r="BT51" s="248">
        <v>19.4</v>
      </c>
      <c r="BU51" s="248">
        <v>16.4</v>
      </c>
      <c r="BV51" s="248">
        <v>24.8</v>
      </c>
      <c r="BW51" s="248">
        <v>18.2</v>
      </c>
      <c r="BX51" s="248"/>
      <c r="BY51" s="248">
        <v>21.8</v>
      </c>
      <c r="BZ51" s="248">
        <v>-240.0</v>
      </c>
      <c r="CA51" s="248">
        <v>11.2</v>
      </c>
      <c r="CB51" s="248">
        <v>16.7</v>
      </c>
      <c r="CC51" s="248">
        <v>17.4</v>
      </c>
      <c r="CD51" s="248"/>
      <c r="CE51" s="249">
        <f t="shared" si="5"/>
        <v>65.9</v>
      </c>
      <c r="CF51" s="124"/>
    </row>
    <row r="52" ht="15.75" customHeight="1">
      <c r="A52" s="25"/>
      <c r="B52" s="25" t="s">
        <v>144</v>
      </c>
      <c r="C52" s="250">
        <f t="shared" ref="C52:AT52" si="6">SUM(C50:C51)</f>
        <v>2603.5</v>
      </c>
      <c r="D52" s="250">
        <f t="shared" si="6"/>
        <v>4266.7</v>
      </c>
      <c r="E52" s="250">
        <f t="shared" si="6"/>
        <v>2510.8</v>
      </c>
      <c r="F52" s="250">
        <f t="shared" si="6"/>
        <v>4468.9</v>
      </c>
      <c r="G52" s="250">
        <f t="shared" si="6"/>
        <v>0</v>
      </c>
      <c r="H52" s="250">
        <f t="shared" si="6"/>
        <v>4448.3</v>
      </c>
      <c r="I52" s="250">
        <f t="shared" si="6"/>
        <v>5941.4</v>
      </c>
      <c r="J52" s="250">
        <f t="shared" si="6"/>
        <v>-20000</v>
      </c>
      <c r="K52" s="250">
        <f t="shared" si="6"/>
        <v>6534</v>
      </c>
      <c r="L52" s="250">
        <f t="shared" si="6"/>
        <v>7700</v>
      </c>
      <c r="M52" s="250">
        <f t="shared" si="6"/>
        <v>6240</v>
      </c>
      <c r="N52" s="250">
        <f t="shared" si="6"/>
        <v>3053.8</v>
      </c>
      <c r="O52" s="250">
        <f t="shared" si="6"/>
        <v>2442.9</v>
      </c>
      <c r="P52" s="250">
        <f t="shared" si="6"/>
        <v>-20000</v>
      </c>
      <c r="Q52" s="250">
        <f t="shared" si="6"/>
        <v>0</v>
      </c>
      <c r="R52" s="250">
        <f t="shared" si="6"/>
        <v>1127.1</v>
      </c>
      <c r="S52" s="250">
        <f t="shared" si="6"/>
        <v>3058.6</v>
      </c>
      <c r="T52" s="250">
        <f t="shared" si="6"/>
        <v>4729.1</v>
      </c>
      <c r="U52" s="250">
        <f t="shared" si="6"/>
        <v>6143.5</v>
      </c>
      <c r="V52" s="250">
        <f t="shared" si="6"/>
        <v>3070</v>
      </c>
      <c r="W52" s="250">
        <f t="shared" si="6"/>
        <v>3156.6</v>
      </c>
      <c r="X52" s="250">
        <f t="shared" si="6"/>
        <v>-20000</v>
      </c>
      <c r="Y52" s="250">
        <f t="shared" si="6"/>
        <v>-1500</v>
      </c>
      <c r="Z52" s="250">
        <f t="shared" si="6"/>
        <v>1664.1</v>
      </c>
      <c r="AA52" s="250">
        <f t="shared" si="6"/>
        <v>4068.5</v>
      </c>
      <c r="AB52" s="250">
        <f t="shared" si="6"/>
        <v>6210</v>
      </c>
      <c r="AC52" s="250">
        <f t="shared" si="6"/>
        <v>2218.8</v>
      </c>
      <c r="AD52" s="250">
        <f t="shared" si="6"/>
        <v>-20000</v>
      </c>
      <c r="AE52" s="250">
        <f t="shared" si="6"/>
        <v>0</v>
      </c>
      <c r="AF52" s="250">
        <f t="shared" si="6"/>
        <v>806.8</v>
      </c>
      <c r="AG52" s="250">
        <f t="shared" si="6"/>
        <v>821.2</v>
      </c>
      <c r="AH52" s="250">
        <f t="shared" si="6"/>
        <v>1045.3</v>
      </c>
      <c r="AI52" s="250">
        <f t="shared" si="6"/>
        <v>4552.3</v>
      </c>
      <c r="AJ52" s="250">
        <f t="shared" si="6"/>
        <v>2830</v>
      </c>
      <c r="AK52" s="250">
        <f t="shared" si="6"/>
        <v>4476.1</v>
      </c>
      <c r="AL52" s="250">
        <f t="shared" si="6"/>
        <v>4336</v>
      </c>
      <c r="AM52" s="250">
        <f t="shared" si="6"/>
        <v>-17000</v>
      </c>
      <c r="AN52" s="250">
        <f t="shared" si="6"/>
        <v>2589.4</v>
      </c>
      <c r="AO52" s="250">
        <f t="shared" si="6"/>
        <v>2765</v>
      </c>
      <c r="AP52" s="250">
        <f t="shared" si="6"/>
        <v>2945.1</v>
      </c>
      <c r="AQ52" s="250">
        <f t="shared" si="6"/>
        <v>0</v>
      </c>
      <c r="AR52" s="250">
        <f t="shared" si="6"/>
        <v>1892</v>
      </c>
      <c r="AS52" s="250">
        <f t="shared" si="6"/>
        <v>2725.6</v>
      </c>
      <c r="AT52" s="250">
        <f t="shared" si="6"/>
        <v>3130.5</v>
      </c>
      <c r="AU52" s="250">
        <v>-20000.0</v>
      </c>
      <c r="AV52" s="250">
        <f t="shared" ref="AV52:BY52" si="7">SUM(AV50:AV51)</f>
        <v>4120.9</v>
      </c>
      <c r="AW52" s="250">
        <f t="shared" si="7"/>
        <v>7804</v>
      </c>
      <c r="AX52" s="250">
        <f t="shared" si="7"/>
        <v>2726.2</v>
      </c>
      <c r="AY52" s="250">
        <f t="shared" si="7"/>
        <v>1665.3</v>
      </c>
      <c r="AZ52" s="250">
        <f t="shared" si="7"/>
        <v>0</v>
      </c>
      <c r="BA52" s="250">
        <f t="shared" si="7"/>
        <v>1507.6</v>
      </c>
      <c r="BB52" s="250">
        <f t="shared" si="7"/>
        <v>7640.1</v>
      </c>
      <c r="BC52" s="250">
        <f t="shared" si="7"/>
        <v>-20000</v>
      </c>
      <c r="BD52" s="250">
        <f t="shared" si="7"/>
        <v>-10</v>
      </c>
      <c r="BE52" s="250">
        <f t="shared" si="7"/>
        <v>2195.1</v>
      </c>
      <c r="BF52" s="250">
        <f t="shared" si="7"/>
        <v>6061.4</v>
      </c>
      <c r="BG52" s="250">
        <f t="shared" si="7"/>
        <v>3994.5</v>
      </c>
      <c r="BH52" s="250">
        <f t="shared" si="7"/>
        <v>1422.9</v>
      </c>
      <c r="BI52" s="250">
        <f t="shared" si="7"/>
        <v>1762.3</v>
      </c>
      <c r="BJ52" s="250">
        <f t="shared" si="7"/>
        <v>0</v>
      </c>
      <c r="BK52" s="250">
        <f t="shared" si="7"/>
        <v>3883</v>
      </c>
      <c r="BL52" s="250">
        <f t="shared" si="7"/>
        <v>-20000</v>
      </c>
      <c r="BM52" s="250">
        <f t="shared" si="7"/>
        <v>4676</v>
      </c>
      <c r="BN52" s="250">
        <f t="shared" si="7"/>
        <v>3240.4</v>
      </c>
      <c r="BO52" s="250">
        <f t="shared" si="7"/>
        <v>5425.8</v>
      </c>
      <c r="BP52" s="250">
        <f t="shared" si="7"/>
        <v>-10000</v>
      </c>
      <c r="BQ52" s="250">
        <f t="shared" si="7"/>
        <v>-5000</v>
      </c>
      <c r="BR52" s="250">
        <f t="shared" si="7"/>
        <v>6368.2</v>
      </c>
      <c r="BS52" s="250">
        <f t="shared" si="7"/>
        <v>4794.4</v>
      </c>
      <c r="BT52" s="250">
        <f t="shared" si="7"/>
        <v>4609.4</v>
      </c>
      <c r="BU52" s="250">
        <f t="shared" si="7"/>
        <v>3096.4</v>
      </c>
      <c r="BV52" s="250">
        <f t="shared" si="7"/>
        <v>4844.8</v>
      </c>
      <c r="BW52" s="250">
        <f t="shared" si="7"/>
        <v>3398.2</v>
      </c>
      <c r="BX52" s="250">
        <f t="shared" si="7"/>
        <v>-20100</v>
      </c>
      <c r="BY52" s="250">
        <f t="shared" si="7"/>
        <v>4971.8</v>
      </c>
      <c r="BZ52" s="250"/>
      <c r="CA52" s="250">
        <f t="shared" ref="CA52:CE52" si="8">SUM(CA50:CA51)</f>
        <v>6391.2</v>
      </c>
      <c r="CB52" s="250">
        <f t="shared" si="8"/>
        <v>4716.7</v>
      </c>
      <c r="CC52" s="250">
        <f t="shared" si="8"/>
        <v>4727.4</v>
      </c>
      <c r="CD52" s="250">
        <f t="shared" si="8"/>
        <v>-20000</v>
      </c>
      <c r="CE52" s="250">
        <f t="shared" si="8"/>
        <v>13005.9</v>
      </c>
      <c r="CF52" s="71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3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71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3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71"/>
    </row>
    <row r="55" ht="15.75" customHeight="1">
      <c r="A55" s="25"/>
      <c r="B55" s="251" t="s">
        <v>143</v>
      </c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2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1"/>
      <c r="BG55" s="251"/>
      <c r="BH55" s="251"/>
      <c r="BI55" s="251"/>
      <c r="BJ55" s="251"/>
      <c r="BK55" s="251"/>
      <c r="BL55" s="251"/>
      <c r="BM55" s="251"/>
      <c r="BN55" s="251"/>
      <c r="BO55" s="251"/>
      <c r="BP55" s="251"/>
      <c r="BQ55" s="251"/>
      <c r="BR55" s="251"/>
      <c r="BS55" s="251"/>
      <c r="BT55" s="251"/>
      <c r="BU55" s="251"/>
      <c r="BV55" s="251"/>
      <c r="BW55" s="251"/>
      <c r="BX55" s="251"/>
      <c r="BY55" s="251"/>
      <c r="BZ55" s="251"/>
      <c r="CA55" s="251"/>
      <c r="CB55" s="251"/>
      <c r="CC55" s="251"/>
      <c r="CD55" s="251"/>
      <c r="CE55" s="251" t="s">
        <v>142</v>
      </c>
      <c r="CF55" s="71"/>
    </row>
    <row r="56" ht="15.75" customHeight="1">
      <c r="A56" s="25"/>
      <c r="B56" s="25" t="s">
        <v>3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3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>
        <v>5.0</v>
      </c>
      <c r="AB56" s="25"/>
      <c r="AC56" s="25"/>
      <c r="AD56" s="25"/>
      <c r="AE56" s="25"/>
      <c r="AF56" s="25">
        <v>8.2</v>
      </c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>
        <v>9.2</v>
      </c>
      <c r="AX56" s="25"/>
      <c r="AY56" s="25"/>
      <c r="AZ56" s="25"/>
      <c r="BA56" s="25"/>
      <c r="BB56" s="25"/>
      <c r="BC56" s="25"/>
      <c r="BD56" s="25"/>
      <c r="BE56" s="25">
        <v>8.0</v>
      </c>
      <c r="BF56" s="25"/>
      <c r="BG56" s="25">
        <v>2.2</v>
      </c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>
        <v>4.2</v>
      </c>
      <c r="BS56" s="25"/>
      <c r="BT56" s="25"/>
      <c r="BU56" s="25"/>
      <c r="BV56" s="25"/>
      <c r="BW56" s="25"/>
      <c r="BX56" s="25"/>
      <c r="BY56" s="25"/>
      <c r="BZ56" s="25"/>
      <c r="CA56" s="25"/>
      <c r="CB56" s="25">
        <v>3.5</v>
      </c>
      <c r="CC56" s="25"/>
      <c r="CD56" s="25"/>
      <c r="CE56" s="25">
        <f t="shared" ref="CE56:CE62" si="9">SUM(C56:CD56)</f>
        <v>40.3</v>
      </c>
      <c r="CF56" s="71"/>
    </row>
    <row r="57" ht="15.75" customHeight="1">
      <c r="A57" s="25"/>
      <c r="B57" s="25" t="s">
        <v>4</v>
      </c>
      <c r="C57" s="25">
        <f>6.9+2.3</f>
        <v>9.2</v>
      </c>
      <c r="D57" s="25">
        <v>4.2</v>
      </c>
      <c r="E57" s="25">
        <v>5.0</v>
      </c>
      <c r="F57" s="25">
        <v>8.9</v>
      </c>
      <c r="G57" s="25"/>
      <c r="H57" s="25">
        <v>1.3</v>
      </c>
      <c r="I57" s="25">
        <v>4.7</v>
      </c>
      <c r="J57" s="25"/>
      <c r="K57" s="25">
        <v>3.0</v>
      </c>
      <c r="L57" s="25"/>
      <c r="M57" s="25">
        <v>2.0</v>
      </c>
      <c r="N57" s="25"/>
      <c r="O57" s="25">
        <f>7+4</f>
        <v>11</v>
      </c>
      <c r="P57" s="23"/>
      <c r="Q57" s="25"/>
      <c r="R57" s="25">
        <v>3.5</v>
      </c>
      <c r="S57" s="25">
        <v>3.3</v>
      </c>
      <c r="T57" s="25"/>
      <c r="U57" s="25">
        <v>8.7</v>
      </c>
      <c r="V57" s="25"/>
      <c r="W57" s="25">
        <f>2.9+5.7+6.4</f>
        <v>15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>
        <f>4.4+6.3</f>
        <v>10.7</v>
      </c>
      <c r="AI57" s="25">
        <v>4.2</v>
      </c>
      <c r="AJ57" s="25"/>
      <c r="AK57" s="25">
        <f>8.2+8.4</f>
        <v>16.6</v>
      </c>
      <c r="AL57" s="25">
        <v>7.0</v>
      </c>
      <c r="AM57" s="25"/>
      <c r="AN57" s="25"/>
      <c r="AO57" s="25">
        <v>5.0</v>
      </c>
      <c r="AP57" s="25">
        <v>8.8</v>
      </c>
      <c r="AQ57" s="25"/>
      <c r="AR57" s="25"/>
      <c r="AS57" s="25">
        <f>8.8+7.8</f>
        <v>16.6</v>
      </c>
      <c r="AT57" s="25">
        <f>7.9+3.3</f>
        <v>11.2</v>
      </c>
      <c r="AU57" s="25"/>
      <c r="AV57" s="25">
        <f>1+4.3</f>
        <v>5.3</v>
      </c>
      <c r="AW57" s="25">
        <v>5.6</v>
      </c>
      <c r="AX57" s="25"/>
      <c r="AY57" s="25">
        <v>5.3</v>
      </c>
      <c r="AZ57" s="25"/>
      <c r="BA57" s="25">
        <v>7.2</v>
      </c>
      <c r="BB57" s="25"/>
      <c r="BC57" s="25"/>
      <c r="BD57" s="25"/>
      <c r="BE57" s="25">
        <v>7.8</v>
      </c>
      <c r="BF57" s="25"/>
      <c r="BG57" s="25">
        <v>5.5</v>
      </c>
      <c r="BH57" s="25">
        <v>2.0</v>
      </c>
      <c r="BI57" s="25">
        <v>6.9</v>
      </c>
      <c r="BJ57" s="25"/>
      <c r="BK57" s="25"/>
      <c r="BL57" s="25"/>
      <c r="BM57" s="25"/>
      <c r="BN57" s="25">
        <v>4.2</v>
      </c>
      <c r="BO57" s="25">
        <v>3.8</v>
      </c>
      <c r="BP57" s="25"/>
      <c r="BQ57" s="25"/>
      <c r="BR57" s="25">
        <v>8.5</v>
      </c>
      <c r="BS57" s="25">
        <v>3.2</v>
      </c>
      <c r="BT57" s="25">
        <v>4.6</v>
      </c>
      <c r="BU57" s="25">
        <v>5.6</v>
      </c>
      <c r="BV57" s="25">
        <v>5.2</v>
      </c>
      <c r="BW57" s="25"/>
      <c r="BX57" s="25"/>
      <c r="BY57" s="25">
        <f>5.9+6.7+6.5</f>
        <v>19.1</v>
      </c>
      <c r="BZ57" s="25"/>
      <c r="CA57" s="25">
        <f>6.2+5</f>
        <v>11.2</v>
      </c>
      <c r="CB57" s="25">
        <v>5.2</v>
      </c>
      <c r="CC57" s="25">
        <f>2.6+6.8</f>
        <v>9.4</v>
      </c>
      <c r="CD57" s="25"/>
      <c r="CE57" s="25">
        <f t="shared" si="9"/>
        <v>285.5</v>
      </c>
      <c r="CF57" s="71"/>
    </row>
    <row r="58" ht="15.75" customHeight="1">
      <c r="A58" s="25"/>
      <c r="B58" s="25" t="s">
        <v>5</v>
      </c>
      <c r="C58" s="25">
        <v>4.3</v>
      </c>
      <c r="D58" s="25"/>
      <c r="E58" s="25">
        <v>10.0</v>
      </c>
      <c r="F58" s="25">
        <f>4.9+7.5+5.3</f>
        <v>17.7</v>
      </c>
      <c r="G58" s="25"/>
      <c r="H58" s="25"/>
      <c r="I58" s="25">
        <v>5.0</v>
      </c>
      <c r="J58" s="25"/>
      <c r="K58" s="25">
        <v>3.0</v>
      </c>
      <c r="L58" s="25"/>
      <c r="M58" s="25"/>
      <c r="N58" s="25"/>
      <c r="O58" s="25">
        <f>1.5+6.9</f>
        <v>8.4</v>
      </c>
      <c r="P58" s="23"/>
      <c r="Q58" s="25"/>
      <c r="R58" s="25">
        <v>3.6</v>
      </c>
      <c r="S58" s="25">
        <v>5.3</v>
      </c>
      <c r="T58" s="25">
        <v>4.3</v>
      </c>
      <c r="U58" s="25">
        <v>4.8</v>
      </c>
      <c r="V58" s="25"/>
      <c r="W58" s="25"/>
      <c r="X58" s="25"/>
      <c r="Y58" s="25"/>
      <c r="Z58" s="25">
        <v>4.1</v>
      </c>
      <c r="AA58" s="25">
        <f>7.7+2</f>
        <v>9.7</v>
      </c>
      <c r="AB58" s="25"/>
      <c r="AC58" s="25">
        <v>8.0</v>
      </c>
      <c r="AD58" s="25"/>
      <c r="AE58" s="25"/>
      <c r="AF58" s="25"/>
      <c r="AG58" s="25">
        <f>8.1+5.8</f>
        <v>13.9</v>
      </c>
      <c r="AH58" s="25">
        <v>5.8</v>
      </c>
      <c r="AI58" s="25">
        <v>6.6</v>
      </c>
      <c r="AJ58" s="25"/>
      <c r="AK58" s="25">
        <v>2.2</v>
      </c>
      <c r="AL58" s="25"/>
      <c r="AM58" s="25"/>
      <c r="AN58" s="25">
        <v>8.5</v>
      </c>
      <c r="AO58" s="25"/>
      <c r="AP58" s="25"/>
      <c r="AQ58" s="25"/>
      <c r="AR58" s="25">
        <v>8.6</v>
      </c>
      <c r="AS58" s="25">
        <v>3.5</v>
      </c>
      <c r="AT58" s="25">
        <f>5.6+3.2</f>
        <v>8.8</v>
      </c>
      <c r="AU58" s="25"/>
      <c r="AV58" s="25">
        <f>6.8+3.7+7.1+8.7</f>
        <v>26.3</v>
      </c>
      <c r="AW58" s="25"/>
      <c r="AX58" s="25"/>
      <c r="AY58" s="25"/>
      <c r="AZ58" s="25"/>
      <c r="BA58" s="25"/>
      <c r="BB58" s="25"/>
      <c r="BC58" s="25"/>
      <c r="BD58" s="25"/>
      <c r="BE58" s="25">
        <v>6.2</v>
      </c>
      <c r="BF58" s="25">
        <f>7.6+2.9</f>
        <v>10.5</v>
      </c>
      <c r="BG58" s="25">
        <v>4.3</v>
      </c>
      <c r="BH58" s="25">
        <f>4.5+6.4</f>
        <v>10.9</v>
      </c>
      <c r="BI58" s="25"/>
      <c r="BJ58" s="25"/>
      <c r="BK58" s="25">
        <f>9.6+7.8</f>
        <v>17.4</v>
      </c>
      <c r="BL58" s="25"/>
      <c r="BM58" s="25">
        <v>6.0</v>
      </c>
      <c r="BN58" s="25"/>
      <c r="BO58" s="25">
        <v>5.0</v>
      </c>
      <c r="BP58" s="25"/>
      <c r="BQ58" s="25"/>
      <c r="BR58" s="25">
        <v>4.6</v>
      </c>
      <c r="BS58" s="25">
        <v>4.9</v>
      </c>
      <c r="BT58" s="25">
        <v>6.2</v>
      </c>
      <c r="BU58" s="25">
        <v>3.8</v>
      </c>
      <c r="BV58" s="25">
        <v>5.8</v>
      </c>
      <c r="BW58" s="25">
        <f>7.6+6.6</f>
        <v>14.2</v>
      </c>
      <c r="BX58" s="25"/>
      <c r="BY58" s="25"/>
      <c r="BZ58" s="25"/>
      <c r="CA58" s="25"/>
      <c r="CB58" s="25">
        <f>1.5+6.5</f>
        <v>8</v>
      </c>
      <c r="CC58" s="25">
        <v>4.0</v>
      </c>
      <c r="CD58" s="25"/>
      <c r="CE58" s="25">
        <f t="shared" si="9"/>
        <v>284.2</v>
      </c>
      <c r="CF58" s="71"/>
    </row>
    <row r="59" ht="15.75" customHeight="1">
      <c r="A59" s="25"/>
      <c r="B59" s="25" t="s">
        <v>6</v>
      </c>
      <c r="C59" s="25"/>
      <c r="D59" s="25">
        <v>5.8</v>
      </c>
      <c r="E59" s="25"/>
      <c r="F59" s="25">
        <v>5.5</v>
      </c>
      <c r="G59" s="25"/>
      <c r="H59" s="25">
        <v>9.0</v>
      </c>
      <c r="I59" s="25">
        <v>6.3</v>
      </c>
      <c r="J59" s="25"/>
      <c r="K59" s="25"/>
      <c r="L59" s="25"/>
      <c r="M59" s="25">
        <f>5.2+3.4</f>
        <v>8.6</v>
      </c>
      <c r="N59" s="25">
        <v>5.4</v>
      </c>
      <c r="O59" s="25"/>
      <c r="P59" s="23"/>
      <c r="Q59" s="25"/>
      <c r="R59" s="25"/>
      <c r="S59" s="25"/>
      <c r="T59" s="25"/>
      <c r="U59" s="25"/>
      <c r="V59" s="25"/>
      <c r="W59" s="25">
        <v>3.8</v>
      </c>
      <c r="X59" s="25"/>
      <c r="Y59" s="25"/>
      <c r="Z59" s="25"/>
      <c r="AA59" s="25"/>
      <c r="AB59" s="25"/>
      <c r="AC59" s="25"/>
      <c r="AD59" s="25"/>
      <c r="AE59" s="25"/>
      <c r="AF59" s="25"/>
      <c r="AG59" s="25">
        <v>8.0</v>
      </c>
      <c r="AH59" s="25"/>
      <c r="AI59" s="25">
        <v>6.4</v>
      </c>
      <c r="AJ59" s="25"/>
      <c r="AK59" s="25">
        <v>2.5</v>
      </c>
      <c r="AL59" s="25">
        <v>6.0</v>
      </c>
      <c r="AM59" s="25"/>
      <c r="AN59" s="25">
        <v>6.7</v>
      </c>
      <c r="AO59" s="25"/>
      <c r="AP59" s="25"/>
      <c r="AQ59" s="25"/>
      <c r="AR59" s="25"/>
      <c r="AS59" s="25"/>
      <c r="AT59" s="25">
        <v>8.6</v>
      </c>
      <c r="AU59" s="25"/>
      <c r="AV59" s="25">
        <f>3.2+4.2+6.7</f>
        <v>14.1</v>
      </c>
      <c r="AW59" s="25">
        <v>2.9</v>
      </c>
      <c r="AX59" s="25">
        <v>6.2</v>
      </c>
      <c r="AY59" s="25"/>
      <c r="AZ59" s="25"/>
      <c r="BA59" s="25">
        <f>6.4+4</f>
        <v>10.4</v>
      </c>
      <c r="BB59" s="25">
        <v>5.9</v>
      </c>
      <c r="BC59" s="25"/>
      <c r="BD59" s="25"/>
      <c r="BE59" s="25"/>
      <c r="BF59" s="25">
        <v>7.3</v>
      </c>
      <c r="BG59" s="25"/>
      <c r="BH59" s="25"/>
      <c r="BI59" s="25">
        <v>5.4</v>
      </c>
      <c r="BJ59" s="25"/>
      <c r="BK59" s="25">
        <v>6.8</v>
      </c>
      <c r="BL59" s="25"/>
      <c r="BM59" s="25"/>
      <c r="BN59" s="25"/>
      <c r="BO59" s="25">
        <v>7.0</v>
      </c>
      <c r="BP59" s="25"/>
      <c r="BQ59" s="25"/>
      <c r="BR59" s="25"/>
      <c r="BS59" s="25">
        <f>2.6+7.3</f>
        <v>9.9</v>
      </c>
      <c r="BT59" s="25">
        <v>5.1</v>
      </c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>
        <f t="shared" si="9"/>
        <v>163.6</v>
      </c>
      <c r="CF59" s="71"/>
    </row>
    <row r="60" ht="15.75" customHeight="1">
      <c r="A60" s="25"/>
      <c r="B60" s="25" t="s">
        <v>7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3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>
        <v>3.4</v>
      </c>
      <c r="AS60" s="25"/>
      <c r="AT60" s="25"/>
      <c r="AU60" s="25"/>
      <c r="AV60" s="25">
        <v>2.5</v>
      </c>
      <c r="AW60" s="25">
        <v>6.7</v>
      </c>
      <c r="AX60" s="25"/>
      <c r="AY60" s="25"/>
      <c r="AZ60" s="25"/>
      <c r="BA60" s="25"/>
      <c r="BB60" s="25">
        <v>4.2</v>
      </c>
      <c r="BC60" s="25"/>
      <c r="BD60" s="25"/>
      <c r="BE60" s="25"/>
      <c r="BF60" s="25">
        <v>7.0</v>
      </c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>
        <v>5.3</v>
      </c>
      <c r="BS60" s="25">
        <v>3.6</v>
      </c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>
        <f t="shared" si="9"/>
        <v>32.7</v>
      </c>
      <c r="CF60" s="71"/>
    </row>
    <row r="61" ht="15.75" customHeight="1">
      <c r="A61" s="25"/>
      <c r="B61" s="25" t="s">
        <v>145</v>
      </c>
      <c r="C61" s="25"/>
      <c r="D61" s="25"/>
      <c r="E61" s="25">
        <v>5.8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3"/>
      <c r="Q61" s="25"/>
      <c r="R61" s="25"/>
      <c r="S61" s="25"/>
      <c r="T61" s="25">
        <v>1.8</v>
      </c>
      <c r="U61" s="25"/>
      <c r="V61" s="25"/>
      <c r="W61" s="25">
        <f>4.4+9.2</f>
        <v>13.6</v>
      </c>
      <c r="X61" s="25"/>
      <c r="Y61" s="25"/>
      <c r="Z61" s="25"/>
      <c r="AA61" s="25">
        <v>3.8</v>
      </c>
      <c r="AB61" s="25"/>
      <c r="AC61" s="25">
        <v>6.5</v>
      </c>
      <c r="AD61" s="25"/>
      <c r="AE61" s="25"/>
      <c r="AF61" s="25"/>
      <c r="AG61" s="25">
        <v>3.0</v>
      </c>
      <c r="AH61" s="25"/>
      <c r="AI61" s="25"/>
      <c r="AJ61" s="25"/>
      <c r="AK61" s="25">
        <v>6.9</v>
      </c>
      <c r="AL61" s="25">
        <v>8.0</v>
      </c>
      <c r="AM61" s="25"/>
      <c r="AN61" s="25"/>
      <c r="AO61" s="25"/>
      <c r="AP61" s="25">
        <f>5.6+5.4</f>
        <v>11</v>
      </c>
      <c r="AQ61" s="25"/>
      <c r="AR61" s="25"/>
      <c r="AS61" s="25"/>
      <c r="AT61" s="25"/>
      <c r="AU61" s="25"/>
      <c r="AV61" s="25"/>
      <c r="AW61" s="25">
        <v>5.9</v>
      </c>
      <c r="AX61" s="25"/>
      <c r="AY61" s="25"/>
      <c r="AZ61" s="25"/>
      <c r="BA61" s="25"/>
      <c r="BB61" s="25"/>
      <c r="BC61" s="25"/>
      <c r="BD61" s="25"/>
      <c r="BE61" s="25"/>
      <c r="BF61" s="25">
        <v>6.6</v>
      </c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>
        <v>9.0</v>
      </c>
      <c r="BS61" s="25">
        <v>9.2</v>
      </c>
      <c r="BT61" s="25">
        <v>3.5</v>
      </c>
      <c r="BU61" s="25"/>
      <c r="BV61" s="25"/>
      <c r="BW61" s="25">
        <v>4.0</v>
      </c>
      <c r="BX61" s="25"/>
      <c r="BY61" s="25">
        <v>2.7</v>
      </c>
      <c r="BZ61" s="25"/>
      <c r="CA61" s="25"/>
      <c r="CB61" s="25"/>
      <c r="CC61" s="25">
        <v>4.0</v>
      </c>
      <c r="CD61" s="25"/>
      <c r="CE61" s="25">
        <f t="shared" si="9"/>
        <v>105.3</v>
      </c>
      <c r="CF61" s="71"/>
    </row>
    <row r="62" ht="15.75" customHeight="1">
      <c r="A62" s="25"/>
      <c r="B62" s="25" t="s">
        <v>146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3"/>
      <c r="Q62" s="25"/>
      <c r="R62" s="25"/>
      <c r="S62" s="25"/>
      <c r="T62" s="25">
        <v>3.0</v>
      </c>
      <c r="U62" s="25"/>
      <c r="V62" s="25"/>
      <c r="W62" s="25">
        <v>5.4</v>
      </c>
      <c r="X62" s="25"/>
      <c r="Y62" s="25"/>
      <c r="Z62" s="25"/>
      <c r="AA62" s="25"/>
      <c r="AB62" s="25"/>
      <c r="AC62" s="25">
        <v>4.3</v>
      </c>
      <c r="AD62" s="25"/>
      <c r="AE62" s="25"/>
      <c r="AF62" s="25"/>
      <c r="AG62" s="25"/>
      <c r="AH62" s="25"/>
      <c r="AI62" s="25">
        <v>5.1</v>
      </c>
      <c r="AJ62" s="25"/>
      <c r="AK62" s="25">
        <v>7.9</v>
      </c>
      <c r="AL62" s="25">
        <v>5.0</v>
      </c>
      <c r="AM62" s="25"/>
      <c r="AN62" s="25"/>
      <c r="AO62" s="25"/>
      <c r="AP62" s="25"/>
      <c r="AQ62" s="25"/>
      <c r="AR62" s="25"/>
      <c r="AS62" s="25"/>
      <c r="AT62" s="25">
        <v>4.4</v>
      </c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>
        <v>3.1</v>
      </c>
      <c r="BF62" s="25"/>
      <c r="BG62" s="25">
        <v>2.2</v>
      </c>
      <c r="BH62" s="25"/>
      <c r="BI62" s="25"/>
      <c r="BJ62" s="25"/>
      <c r="BK62" s="25"/>
      <c r="BL62" s="25"/>
      <c r="BM62" s="25">
        <v>5.0</v>
      </c>
      <c r="BN62" s="25">
        <v>6.2</v>
      </c>
      <c r="BO62" s="25"/>
      <c r="BP62" s="25"/>
      <c r="BQ62" s="25"/>
      <c r="BR62" s="25">
        <v>6.6</v>
      </c>
      <c r="BS62" s="25"/>
      <c r="BT62" s="25"/>
      <c r="BU62" s="25"/>
      <c r="BV62" s="25">
        <v>5.2</v>
      </c>
      <c r="BW62" s="25"/>
      <c r="BX62" s="25"/>
      <c r="BY62" s="25"/>
      <c r="BZ62" s="25"/>
      <c r="CA62" s="25"/>
      <c r="CB62" s="25"/>
      <c r="CC62" s="25"/>
      <c r="CD62" s="25"/>
      <c r="CE62" s="25">
        <f t="shared" si="9"/>
        <v>63.4</v>
      </c>
      <c r="CF62" s="71"/>
    </row>
    <row r="63" ht="15.75" customHeight="1">
      <c r="A63" s="25"/>
      <c r="B63" s="25" t="s">
        <v>147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>
        <v>6.1</v>
      </c>
      <c r="N63" s="25"/>
      <c r="O63" s="25"/>
      <c r="P63" s="23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>
        <v>8.8</v>
      </c>
      <c r="BL63" s="25"/>
      <c r="BM63" s="25"/>
      <c r="BN63" s="25"/>
      <c r="BO63" s="25"/>
      <c r="BP63" s="25"/>
      <c r="BQ63" s="25"/>
      <c r="BR63" s="25"/>
      <c r="BS63" s="25">
        <v>7.5</v>
      </c>
      <c r="BT63" s="25"/>
      <c r="BU63" s="25"/>
      <c r="BV63" s="25">
        <v>8.6</v>
      </c>
      <c r="BW63" s="25"/>
      <c r="BX63" s="25"/>
      <c r="BY63" s="25"/>
      <c r="BZ63" s="25"/>
      <c r="CA63" s="25"/>
      <c r="CB63" s="25"/>
      <c r="CC63" s="25"/>
      <c r="CD63" s="25"/>
      <c r="CE63" s="25"/>
      <c r="CF63" s="71"/>
    </row>
    <row r="64" ht="15.75" customHeight="1">
      <c r="A64" s="25"/>
      <c r="B64" s="25" t="s">
        <v>148</v>
      </c>
      <c r="C64" s="25"/>
      <c r="D64" s="25"/>
      <c r="E64" s="25"/>
      <c r="F64" s="25">
        <v>4.0</v>
      </c>
      <c r="G64" s="25"/>
      <c r="H64" s="25"/>
      <c r="I64" s="25"/>
      <c r="J64" s="25"/>
      <c r="K64" s="25"/>
      <c r="L64" s="25"/>
      <c r="M64" s="25"/>
      <c r="N64" s="25"/>
      <c r="O64" s="25"/>
      <c r="P64" s="23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>
        <f t="shared" ref="CE64:CE67" si="10">SUM(C64:CD64)</f>
        <v>4</v>
      </c>
      <c r="CF64" s="71"/>
    </row>
    <row r="65" ht="15.75" customHeight="1">
      <c r="A65" s="25"/>
      <c r="B65" s="25" t="s">
        <v>11</v>
      </c>
      <c r="C65" s="25"/>
      <c r="D65" s="25">
        <v>6.7</v>
      </c>
      <c r="E65" s="25"/>
      <c r="F65" s="25">
        <v>2.8</v>
      </c>
      <c r="G65" s="25"/>
      <c r="H65" s="25">
        <v>8.0</v>
      </c>
      <c r="I65" s="25">
        <v>5.4</v>
      </c>
      <c r="J65" s="25"/>
      <c r="K65" s="25">
        <v>8.0</v>
      </c>
      <c r="L65" s="25"/>
      <c r="M65" s="25">
        <f>6.7+6.6</f>
        <v>13.3</v>
      </c>
      <c r="N65" s="25">
        <v>8.4</v>
      </c>
      <c r="O65" s="25">
        <v>3.5</v>
      </c>
      <c r="P65" s="23"/>
      <c r="Q65" s="25"/>
      <c r="R65" s="25"/>
      <c r="S65" s="25"/>
      <c r="T65" s="25"/>
      <c r="U65" s="25"/>
      <c r="V65" s="25"/>
      <c r="W65" s="25">
        <v>8.8</v>
      </c>
      <c r="X65" s="25"/>
      <c r="Y65" s="25"/>
      <c r="Z65" s="25"/>
      <c r="AA65" s="25"/>
      <c r="AB65" s="25"/>
      <c r="AC65" s="25"/>
      <c r="AD65" s="25"/>
      <c r="AE65" s="25"/>
      <c r="AF65" s="25">
        <v>8.6</v>
      </c>
      <c r="AG65" s="25"/>
      <c r="AH65" s="25">
        <v>8.8</v>
      </c>
      <c r="AI65" s="25"/>
      <c r="AJ65" s="25"/>
      <c r="AK65" s="25"/>
      <c r="AL65" s="25"/>
      <c r="AM65" s="25"/>
      <c r="AN65" s="25">
        <v>4.2</v>
      </c>
      <c r="AO65" s="25"/>
      <c r="AP65" s="25">
        <v>5.3</v>
      </c>
      <c r="AQ65" s="25"/>
      <c r="AR65" s="25"/>
      <c r="AS65" s="25">
        <v>5.5</v>
      </c>
      <c r="AT65" s="25">
        <v>7.5</v>
      </c>
      <c r="AU65" s="25"/>
      <c r="AV65" s="25">
        <v>2.7</v>
      </c>
      <c r="AW65" s="25">
        <v>3.7</v>
      </c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>
        <v>5.0</v>
      </c>
      <c r="BN65" s="25"/>
      <c r="BO65" s="25"/>
      <c r="BP65" s="25"/>
      <c r="BQ65" s="25"/>
      <c r="BR65" s="25"/>
      <c r="BS65" s="25">
        <v>6.1</v>
      </c>
      <c r="BT65" s="25"/>
      <c r="BU65" s="25">
        <v>7.0</v>
      </c>
      <c r="BV65" s="25"/>
      <c r="BW65" s="25"/>
      <c r="BX65" s="25"/>
      <c r="BY65" s="25"/>
      <c r="BZ65" s="25"/>
      <c r="CA65" s="25"/>
      <c r="CB65" s="25"/>
      <c r="CC65" s="25"/>
      <c r="CD65" s="25"/>
      <c r="CE65" s="25">
        <f t="shared" si="10"/>
        <v>129.3</v>
      </c>
      <c r="CF65" s="71"/>
    </row>
    <row r="66" ht="15.75" customHeight="1">
      <c r="A66" s="25"/>
      <c r="B66" s="25" t="s">
        <v>141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3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>
        <v>6.3</v>
      </c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>
        <f t="shared" si="10"/>
        <v>6.3</v>
      </c>
      <c r="CF66" s="71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3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>
        <f t="shared" si="10"/>
        <v>0</v>
      </c>
      <c r="CF67" s="71"/>
    </row>
    <row r="68" ht="15.75" customHeight="1">
      <c r="A68" s="25"/>
      <c r="B68" s="251" t="s">
        <v>142</v>
      </c>
      <c r="C68" s="251">
        <f t="shared" ref="C68:AL68" si="11">SUM(C56:C67)</f>
        <v>13.5</v>
      </c>
      <c r="D68" s="251">
        <f t="shared" si="11"/>
        <v>16.7</v>
      </c>
      <c r="E68" s="251">
        <f t="shared" si="11"/>
        <v>20.8</v>
      </c>
      <c r="F68" s="251">
        <f t="shared" si="11"/>
        <v>38.9</v>
      </c>
      <c r="G68" s="251">
        <f t="shared" si="11"/>
        <v>0</v>
      </c>
      <c r="H68" s="251">
        <f t="shared" si="11"/>
        <v>18.3</v>
      </c>
      <c r="I68" s="251">
        <f t="shared" si="11"/>
        <v>21.4</v>
      </c>
      <c r="J68" s="251">
        <f t="shared" si="11"/>
        <v>0</v>
      </c>
      <c r="K68" s="251">
        <f t="shared" si="11"/>
        <v>14</v>
      </c>
      <c r="L68" s="251">
        <f t="shared" si="11"/>
        <v>0</v>
      </c>
      <c r="M68" s="251">
        <f t="shared" si="11"/>
        <v>30</v>
      </c>
      <c r="N68" s="251">
        <f t="shared" si="11"/>
        <v>13.8</v>
      </c>
      <c r="O68" s="251">
        <f t="shared" si="11"/>
        <v>22.9</v>
      </c>
      <c r="P68" s="251">
        <f t="shared" si="11"/>
        <v>0</v>
      </c>
      <c r="Q68" s="251">
        <f t="shared" si="11"/>
        <v>0</v>
      </c>
      <c r="R68" s="251">
        <f t="shared" si="11"/>
        <v>7.1</v>
      </c>
      <c r="S68" s="251">
        <f t="shared" si="11"/>
        <v>8.6</v>
      </c>
      <c r="T68" s="251">
        <f t="shared" si="11"/>
        <v>9.1</v>
      </c>
      <c r="U68" s="251">
        <f t="shared" si="11"/>
        <v>13.5</v>
      </c>
      <c r="V68" s="251">
        <f t="shared" si="11"/>
        <v>0</v>
      </c>
      <c r="W68" s="251">
        <f t="shared" si="11"/>
        <v>46.6</v>
      </c>
      <c r="X68" s="251">
        <f t="shared" si="11"/>
        <v>0</v>
      </c>
      <c r="Y68" s="251">
        <f t="shared" si="11"/>
        <v>0</v>
      </c>
      <c r="Z68" s="251">
        <f t="shared" si="11"/>
        <v>4.1</v>
      </c>
      <c r="AA68" s="251">
        <f t="shared" si="11"/>
        <v>18.5</v>
      </c>
      <c r="AB68" s="251">
        <f t="shared" si="11"/>
        <v>0</v>
      </c>
      <c r="AC68" s="251">
        <f t="shared" si="11"/>
        <v>18.8</v>
      </c>
      <c r="AD68" s="251">
        <f t="shared" si="11"/>
        <v>0</v>
      </c>
      <c r="AE68" s="251">
        <f t="shared" si="11"/>
        <v>0</v>
      </c>
      <c r="AF68" s="251">
        <f t="shared" si="11"/>
        <v>16.8</v>
      </c>
      <c r="AG68" s="251">
        <f t="shared" si="11"/>
        <v>31.2</v>
      </c>
      <c r="AH68" s="251">
        <f t="shared" si="11"/>
        <v>25.3</v>
      </c>
      <c r="AI68" s="251">
        <f t="shared" si="11"/>
        <v>22.3</v>
      </c>
      <c r="AJ68" s="251">
        <f t="shared" si="11"/>
        <v>0</v>
      </c>
      <c r="AK68" s="251">
        <f t="shared" si="11"/>
        <v>36.1</v>
      </c>
      <c r="AL68" s="251">
        <f t="shared" si="11"/>
        <v>26</v>
      </c>
      <c r="AM68" s="251"/>
      <c r="AN68" s="251">
        <f t="shared" ref="AN68:AT68" si="12">SUM(AN56:AN67)</f>
        <v>19.4</v>
      </c>
      <c r="AO68" s="251">
        <f t="shared" si="12"/>
        <v>5</v>
      </c>
      <c r="AP68" s="251">
        <f t="shared" si="12"/>
        <v>25.1</v>
      </c>
      <c r="AQ68" s="251">
        <f t="shared" si="12"/>
        <v>0</v>
      </c>
      <c r="AR68" s="251">
        <f t="shared" si="12"/>
        <v>12</v>
      </c>
      <c r="AS68" s="251">
        <f t="shared" si="12"/>
        <v>25.6</v>
      </c>
      <c r="AT68" s="251">
        <f t="shared" si="12"/>
        <v>40.5</v>
      </c>
      <c r="AU68" s="251"/>
      <c r="AV68" s="251">
        <f t="shared" ref="AV68:CE68" si="13">SUM(AV56:AV67)</f>
        <v>50.9</v>
      </c>
      <c r="AW68" s="251">
        <f t="shared" si="13"/>
        <v>34</v>
      </c>
      <c r="AX68" s="251">
        <f t="shared" si="13"/>
        <v>6.2</v>
      </c>
      <c r="AY68" s="251">
        <f t="shared" si="13"/>
        <v>5.3</v>
      </c>
      <c r="AZ68" s="251">
        <f t="shared" si="13"/>
        <v>0</v>
      </c>
      <c r="BA68" s="251">
        <f t="shared" si="13"/>
        <v>17.6</v>
      </c>
      <c r="BB68" s="251">
        <f t="shared" si="13"/>
        <v>10.1</v>
      </c>
      <c r="BC68" s="251">
        <f t="shared" si="13"/>
        <v>0</v>
      </c>
      <c r="BD68" s="251">
        <f t="shared" si="13"/>
        <v>0</v>
      </c>
      <c r="BE68" s="251">
        <f t="shared" si="13"/>
        <v>25.1</v>
      </c>
      <c r="BF68" s="251">
        <f t="shared" si="13"/>
        <v>31.4</v>
      </c>
      <c r="BG68" s="251">
        <f t="shared" si="13"/>
        <v>14.2</v>
      </c>
      <c r="BH68" s="251">
        <f t="shared" si="13"/>
        <v>12.9</v>
      </c>
      <c r="BI68" s="251">
        <f t="shared" si="13"/>
        <v>12.3</v>
      </c>
      <c r="BJ68" s="251">
        <f t="shared" si="13"/>
        <v>0</v>
      </c>
      <c r="BK68" s="251">
        <f t="shared" si="13"/>
        <v>33</v>
      </c>
      <c r="BL68" s="251">
        <f t="shared" si="13"/>
        <v>0</v>
      </c>
      <c r="BM68" s="251">
        <f t="shared" si="13"/>
        <v>16</v>
      </c>
      <c r="BN68" s="251">
        <f t="shared" si="13"/>
        <v>10.4</v>
      </c>
      <c r="BO68" s="251">
        <f t="shared" si="13"/>
        <v>15.8</v>
      </c>
      <c r="BP68" s="251">
        <f t="shared" si="13"/>
        <v>0</v>
      </c>
      <c r="BQ68" s="251">
        <f t="shared" si="13"/>
        <v>0</v>
      </c>
      <c r="BR68" s="251">
        <f t="shared" si="13"/>
        <v>38.2</v>
      </c>
      <c r="BS68" s="251">
        <f t="shared" si="13"/>
        <v>44.4</v>
      </c>
      <c r="BT68" s="251">
        <f t="shared" si="13"/>
        <v>19.4</v>
      </c>
      <c r="BU68" s="251">
        <f t="shared" si="13"/>
        <v>16.4</v>
      </c>
      <c r="BV68" s="251">
        <f t="shared" si="13"/>
        <v>24.8</v>
      </c>
      <c r="BW68" s="251">
        <f t="shared" si="13"/>
        <v>18.2</v>
      </c>
      <c r="BX68" s="251">
        <f t="shared" si="13"/>
        <v>0</v>
      </c>
      <c r="BY68" s="251">
        <f t="shared" si="13"/>
        <v>21.8</v>
      </c>
      <c r="BZ68" s="251">
        <f t="shared" si="13"/>
        <v>0</v>
      </c>
      <c r="CA68" s="251">
        <f t="shared" si="13"/>
        <v>11.2</v>
      </c>
      <c r="CB68" s="251">
        <f t="shared" si="13"/>
        <v>16.7</v>
      </c>
      <c r="CC68" s="251">
        <f t="shared" si="13"/>
        <v>17.4</v>
      </c>
      <c r="CD68" s="251">
        <f t="shared" si="13"/>
        <v>0</v>
      </c>
      <c r="CE68" s="251">
        <f t="shared" si="13"/>
        <v>1114.6</v>
      </c>
      <c r="CF68" s="71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3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71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3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71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3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71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3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71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3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71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3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71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3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71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3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71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3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71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3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71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3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71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3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71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3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71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3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71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3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71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3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71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3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71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3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71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3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71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3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71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3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71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3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71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3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71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3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71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3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71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3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71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3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71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3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71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3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71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3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71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3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71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3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71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3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71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3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71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3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71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3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71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3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71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3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F106" s="71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3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F107" s="71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3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F108" s="71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3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F109" s="71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3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F110" s="71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3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F111" s="71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3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F112" s="71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3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F113" s="71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3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F114" s="71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3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F115" s="71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3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F116" s="71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3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F117" s="71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3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F118" s="71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3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F119" s="71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3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F120" s="71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3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F121" s="71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3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F122" s="71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3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F123" s="71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3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F124" s="71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3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F125" s="71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3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F126" s="71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3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F127" s="71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3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F128" s="71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3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F129" s="71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3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F130" s="71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3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F131" s="71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3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F132" s="71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3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F133" s="71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3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F134" s="71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3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F135" s="71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3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F136" s="71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3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F137" s="71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3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F138" s="71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3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F139" s="71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3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F140" s="71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3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F141" s="71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3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F142" s="71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3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F143" s="71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3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F144" s="71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3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F145" s="71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3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F146" s="71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3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F147" s="71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3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F148" s="71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3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F149" s="71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3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F150" s="71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3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F151" s="71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3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F152" s="71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3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F153" s="71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3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F154" s="71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3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F155" s="71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3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F156" s="71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3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F157" s="71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3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F158" s="71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3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F159" s="71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3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F160" s="71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3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F161" s="71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3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F162" s="71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3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F163" s="71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3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F164" s="71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3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F165" s="71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3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F166" s="71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3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F167" s="71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3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F168" s="71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3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F169" s="71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3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F170" s="71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3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F171" s="71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3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F172" s="71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3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F173" s="71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3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F174" s="71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3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F175" s="71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3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F176" s="71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3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F177" s="71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3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F178" s="71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3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F179" s="71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3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F180" s="71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3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F181" s="71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3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F182" s="71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3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F183" s="71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3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F184" s="71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3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F185" s="71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3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F186" s="71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3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F187" s="71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3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F188" s="71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3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F189" s="71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3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F190" s="71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3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F191" s="71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3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F192" s="71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3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F193" s="71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3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F194" s="71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3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F195" s="71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3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F196" s="71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3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F197" s="71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3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F198" s="71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3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F199" s="71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3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F200" s="71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3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F201" s="71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3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F202" s="71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3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F203" s="71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3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F204" s="71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3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F205" s="71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3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F206" s="71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3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F207" s="71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3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F208" s="71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3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F209" s="71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3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F210" s="71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3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F211" s="71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3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F212" s="71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3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F213" s="71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3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F214" s="71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3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F215" s="71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3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F216" s="71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3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F217" s="71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3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F218" s="71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3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F219" s="71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3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F220" s="71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3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F221" s="71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3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F222" s="71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3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F223" s="71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3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F224" s="71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3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F225" s="71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3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F226" s="71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3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F227" s="71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3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F228" s="71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3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F229" s="71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3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F230" s="71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3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F231" s="71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3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F232" s="71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3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F233" s="71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3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F234" s="71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3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F235" s="71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3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F236" s="71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3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F237" s="71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3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F238" s="71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3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F239" s="71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3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F240" s="71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3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F241" s="71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3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F242" s="71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3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F243" s="71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3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F244" s="71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3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F245" s="71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3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F246" s="71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3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F247" s="71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3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F248" s="71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3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F249" s="71"/>
    </row>
    <row r="250" ht="15.75" customHeight="1"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3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F250" s="71"/>
    </row>
    <row r="251" ht="15.75" customHeight="1"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3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F251" s="71"/>
    </row>
    <row r="252" ht="15.75" customHeight="1"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3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F252" s="71"/>
    </row>
    <row r="253" ht="15.75" customHeight="1"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3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F253" s="71"/>
    </row>
    <row r="254" ht="15.75" customHeight="1"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3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F254" s="71"/>
    </row>
    <row r="255" ht="15.75" customHeight="1"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3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F255" s="71"/>
    </row>
    <row r="256" ht="15.75" customHeight="1"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3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F256" s="71"/>
    </row>
    <row r="257" ht="15.75" customHeight="1"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3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F257" s="71"/>
    </row>
    <row r="258" ht="15.75" customHeight="1"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3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F258" s="71"/>
    </row>
    <row r="259" ht="15.75" customHeight="1"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3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F259" s="71"/>
    </row>
    <row r="260" ht="15.75" customHeight="1"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3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F260" s="71"/>
    </row>
    <row r="261" ht="15.75" customHeight="1"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3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F261" s="71"/>
    </row>
    <row r="262" ht="15.75" customHeight="1"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3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F262" s="71"/>
    </row>
    <row r="263" ht="15.75" customHeight="1"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3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F263" s="71"/>
    </row>
    <row r="264" ht="15.75" customHeight="1"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3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F264" s="71"/>
    </row>
    <row r="265" ht="15.75" customHeight="1"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3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F265" s="71"/>
    </row>
    <row r="266" ht="15.75" customHeight="1"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3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F266" s="71"/>
    </row>
    <row r="267" ht="15.75" customHeight="1"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3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F267" s="71"/>
    </row>
    <row r="268" ht="15.75" customHeight="1"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3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F268" s="71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4"/>
    <mergeCell ref="C3:N3"/>
    <mergeCell ref="O3:AB3"/>
    <mergeCell ref="AC3:AY3"/>
    <mergeCell ref="AZ3:BK3"/>
    <mergeCell ref="CE3:CE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hidden="1" min="1" max="1" width="5.0"/>
    <col customWidth="1" min="2" max="2" width="22.14"/>
    <col customWidth="1" min="3" max="4" width="12.71"/>
    <col customWidth="1" min="5" max="9" width="8.71"/>
    <col customWidth="1" min="10" max="10" width="12.71"/>
    <col customWidth="1" min="11" max="14" width="8.71"/>
    <col customWidth="1" min="15" max="15" width="12.71"/>
    <col customWidth="1" min="16" max="17" width="8.71"/>
    <col customWidth="1" min="18" max="18" width="12.71"/>
    <col customWidth="1" min="19" max="22" width="8.71"/>
    <col customWidth="1" min="23" max="23" width="12.71"/>
    <col customWidth="1" min="24" max="24" width="12.29"/>
  </cols>
  <sheetData>
    <row r="1">
      <c r="B1" s="68" t="s">
        <v>63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70"/>
    </row>
    <row r="2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Y2" s="71"/>
    </row>
    <row r="3" ht="16.5" customHeight="1">
      <c r="B3" s="72" t="s">
        <v>64</v>
      </c>
      <c r="C3" s="77" t="s">
        <v>149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5"/>
      <c r="W3" s="253" t="s">
        <v>150</v>
      </c>
      <c r="X3" s="79" t="s">
        <v>70</v>
      </c>
      <c r="Y3" s="80"/>
    </row>
    <row r="4">
      <c r="B4" s="81"/>
      <c r="C4" s="254" t="s">
        <v>151</v>
      </c>
      <c r="D4" s="83" t="s">
        <v>152</v>
      </c>
      <c r="E4" s="86">
        <v>4.0</v>
      </c>
      <c r="F4" s="86">
        <v>5.0</v>
      </c>
      <c r="G4" s="86">
        <v>6.0</v>
      </c>
      <c r="H4" s="86">
        <v>7.0</v>
      </c>
      <c r="I4" s="86">
        <v>8.0</v>
      </c>
      <c r="J4" s="255" t="s">
        <v>153</v>
      </c>
      <c r="K4" s="86">
        <v>9.0</v>
      </c>
      <c r="L4" s="86">
        <v>11.0</v>
      </c>
      <c r="M4" s="86">
        <v>12.0</v>
      </c>
      <c r="N4" s="86">
        <v>13.0</v>
      </c>
      <c r="O4" s="83" t="s">
        <v>154</v>
      </c>
      <c r="P4" s="86">
        <v>14.0</v>
      </c>
      <c r="Q4" s="86">
        <v>15.0</v>
      </c>
      <c r="R4" s="255" t="s">
        <v>155</v>
      </c>
      <c r="S4" s="86">
        <v>18.0</v>
      </c>
      <c r="T4" s="86">
        <v>19.0</v>
      </c>
      <c r="U4" s="86">
        <v>20.0</v>
      </c>
      <c r="V4" s="86">
        <v>28.0</v>
      </c>
      <c r="W4" s="255" t="s">
        <v>77</v>
      </c>
      <c r="X4" s="89"/>
      <c r="Y4" s="80"/>
    </row>
    <row r="5">
      <c r="B5" s="90" t="s">
        <v>88</v>
      </c>
      <c r="C5" s="256"/>
      <c r="D5" s="92"/>
      <c r="E5" s="91"/>
      <c r="F5" s="91"/>
      <c r="G5" s="91"/>
      <c r="H5" s="91"/>
      <c r="I5" s="91"/>
      <c r="J5" s="257"/>
      <c r="K5" s="91"/>
      <c r="L5" s="91">
        <v>10.0</v>
      </c>
      <c r="M5" s="91">
        <v>120.0</v>
      </c>
      <c r="N5" s="91">
        <v>10.0</v>
      </c>
      <c r="O5" s="92"/>
      <c r="P5" s="91">
        <v>210.0</v>
      </c>
      <c r="Q5" s="91">
        <v>30.0</v>
      </c>
      <c r="R5" s="257"/>
      <c r="S5" s="91"/>
      <c r="T5" s="91">
        <v>150.0</v>
      </c>
      <c r="U5" s="91">
        <v>190.0</v>
      </c>
      <c r="V5" s="91"/>
      <c r="W5" s="257">
        <v>-580.0</v>
      </c>
      <c r="X5" s="96">
        <f t="shared" ref="X5:X39" si="1">SUM(C5:W5)</f>
        <v>140</v>
      </c>
      <c r="Y5" s="97"/>
    </row>
    <row r="6">
      <c r="B6" s="90" t="s">
        <v>89</v>
      </c>
      <c r="C6" s="256">
        <v>80.0</v>
      </c>
      <c r="D6" s="92"/>
      <c r="E6" s="91">
        <v>30.0</v>
      </c>
      <c r="F6" s="91">
        <v>30.0</v>
      </c>
      <c r="G6" s="91">
        <v>100.0</v>
      </c>
      <c r="H6" s="91">
        <v>300.0</v>
      </c>
      <c r="I6" s="91">
        <v>100.0</v>
      </c>
      <c r="J6" s="257">
        <v>-430.0</v>
      </c>
      <c r="K6" s="91">
        <v>40.0</v>
      </c>
      <c r="L6" s="91">
        <v>110.0</v>
      </c>
      <c r="M6" s="91">
        <v>400.0</v>
      </c>
      <c r="N6" s="91">
        <v>110.0</v>
      </c>
      <c r="O6" s="92"/>
      <c r="P6" s="91">
        <f>80+70+20</f>
        <v>170</v>
      </c>
      <c r="Q6" s="91">
        <f>140+70</f>
        <v>210</v>
      </c>
      <c r="R6" s="257"/>
      <c r="S6" s="91">
        <v>30.0</v>
      </c>
      <c r="T6" s="91">
        <v>870.0</v>
      </c>
      <c r="U6" s="91">
        <f>310+270</f>
        <v>580</v>
      </c>
      <c r="V6" s="91">
        <v>10.0</v>
      </c>
      <c r="W6" s="257">
        <v>-2160.0</v>
      </c>
      <c r="X6" s="96">
        <f t="shared" si="1"/>
        <v>580</v>
      </c>
      <c r="Y6" s="98"/>
    </row>
    <row r="7">
      <c r="B7" s="99" t="s">
        <v>90</v>
      </c>
      <c r="C7" s="258">
        <f>1320+1350+290</f>
        <v>2960</v>
      </c>
      <c r="D7" s="101"/>
      <c r="E7" s="100">
        <f>230+340+240</f>
        <v>810</v>
      </c>
      <c r="F7" s="91">
        <f>580+510</f>
        <v>1090</v>
      </c>
      <c r="G7" s="100">
        <f>420+800+420</f>
        <v>1640</v>
      </c>
      <c r="H7" s="100">
        <f>510+520+450+800</f>
        <v>2280</v>
      </c>
      <c r="I7" s="100">
        <f>160+290</f>
        <v>450</v>
      </c>
      <c r="J7" s="259">
        <v>-7910.0</v>
      </c>
      <c r="K7" s="100">
        <f>350+270+320</f>
        <v>940</v>
      </c>
      <c r="L7" s="100">
        <f>340+260+180</f>
        <v>780</v>
      </c>
      <c r="M7" s="100">
        <v>650.0</v>
      </c>
      <c r="N7" s="100">
        <f>480+550</f>
        <v>1030</v>
      </c>
      <c r="O7" s="101">
        <v>10.0</v>
      </c>
      <c r="P7" s="100">
        <f>460+270+220+400</f>
        <v>1350</v>
      </c>
      <c r="Q7" s="100">
        <f>750+520+40</f>
        <v>1310</v>
      </c>
      <c r="R7" s="259">
        <v>-5200.0</v>
      </c>
      <c r="S7" s="100">
        <f>210+140</f>
        <v>350</v>
      </c>
      <c r="T7" s="100">
        <f>150+280+340+200</f>
        <v>970</v>
      </c>
      <c r="U7" s="100">
        <f>350+290</f>
        <v>640</v>
      </c>
      <c r="V7" s="100">
        <f>160+40+140+70</f>
        <v>410</v>
      </c>
      <c r="W7" s="259">
        <v>-3460.0</v>
      </c>
      <c r="X7" s="105">
        <f t="shared" si="1"/>
        <v>1100</v>
      </c>
      <c r="Y7" s="71"/>
    </row>
    <row r="8">
      <c r="B8" s="260" t="s">
        <v>92</v>
      </c>
      <c r="C8" s="261">
        <v>260.0</v>
      </c>
      <c r="D8" s="111"/>
      <c r="E8" s="262">
        <f>50+170+80</f>
        <v>300</v>
      </c>
      <c r="F8" s="100">
        <f>90+120</f>
        <v>210</v>
      </c>
      <c r="G8" s="262">
        <f>160+250+250</f>
        <v>660</v>
      </c>
      <c r="H8" s="262">
        <f>210+290+270+310</f>
        <v>1080</v>
      </c>
      <c r="I8" s="262">
        <f>70+250</f>
        <v>320</v>
      </c>
      <c r="J8" s="263">
        <v>-2530.0</v>
      </c>
      <c r="K8" s="262">
        <f>380+330+280</f>
        <v>990</v>
      </c>
      <c r="L8" s="262">
        <f>110+370+210</f>
        <v>690</v>
      </c>
      <c r="M8" s="262">
        <v>400.0</v>
      </c>
      <c r="N8" s="262">
        <v>690.0</v>
      </c>
      <c r="O8" s="111">
        <v>30.0</v>
      </c>
      <c r="P8" s="262">
        <f>60+180+30+120</f>
        <v>390</v>
      </c>
      <c r="Q8" s="262">
        <f>400+10</f>
        <v>410</v>
      </c>
      <c r="R8" s="263">
        <v>-3300.0</v>
      </c>
      <c r="S8" s="262">
        <v>330.0</v>
      </c>
      <c r="T8" s="262">
        <f>160+110+150+60</f>
        <v>480</v>
      </c>
      <c r="U8" s="262">
        <f>360</f>
        <v>360</v>
      </c>
      <c r="V8" s="262">
        <f>350+410+530+720</f>
        <v>2010</v>
      </c>
      <c r="W8" s="263">
        <v>-3750.0</v>
      </c>
      <c r="X8" s="264">
        <f t="shared" si="1"/>
        <v>30</v>
      </c>
      <c r="Y8" s="98" t="s">
        <v>91</v>
      </c>
    </row>
    <row r="9">
      <c r="B9" s="106" t="s">
        <v>156</v>
      </c>
      <c r="C9" s="265"/>
      <c r="D9" s="108"/>
      <c r="E9" s="107"/>
      <c r="F9" s="107"/>
      <c r="G9" s="107"/>
      <c r="H9" s="107">
        <v>80.0</v>
      </c>
      <c r="I9" s="107"/>
      <c r="J9" s="266"/>
      <c r="K9" s="107">
        <v>10.0</v>
      </c>
      <c r="L9" s="107">
        <v>20.0</v>
      </c>
      <c r="M9" s="107"/>
      <c r="N9" s="107"/>
      <c r="O9" s="108"/>
      <c r="P9" s="107"/>
      <c r="Q9" s="107"/>
      <c r="R9" s="266"/>
      <c r="S9" s="107"/>
      <c r="T9" s="107"/>
      <c r="U9" s="107"/>
      <c r="V9" s="107">
        <f>30+50+200+80</f>
        <v>360</v>
      </c>
      <c r="W9" s="266">
        <v>-390.0</v>
      </c>
      <c r="X9" s="113">
        <f t="shared" si="1"/>
        <v>80</v>
      </c>
      <c r="Y9" s="98">
        <f>SUM(X5:X9)</f>
        <v>1930</v>
      </c>
    </row>
    <row r="10">
      <c r="A10" s="25"/>
      <c r="B10" s="198" t="s">
        <v>93</v>
      </c>
      <c r="C10" s="267"/>
      <c r="D10" s="200"/>
      <c r="E10" s="199">
        <v>10.0</v>
      </c>
      <c r="F10" s="199"/>
      <c r="G10" s="199"/>
      <c r="H10" s="199">
        <v>20.0</v>
      </c>
      <c r="I10" s="199">
        <v>20.0</v>
      </c>
      <c r="J10" s="268">
        <v>-60.0</v>
      </c>
      <c r="K10" s="199">
        <v>10.0</v>
      </c>
      <c r="L10" s="199">
        <v>50.0</v>
      </c>
      <c r="M10" s="199">
        <v>150.0</v>
      </c>
      <c r="N10" s="199">
        <v>40.0</v>
      </c>
      <c r="O10" s="200"/>
      <c r="P10" s="199">
        <v>50.0</v>
      </c>
      <c r="Q10" s="199">
        <v>30.0</v>
      </c>
      <c r="R10" s="268"/>
      <c r="S10" s="199">
        <v>20.0</v>
      </c>
      <c r="T10" s="199">
        <v>130.0</v>
      </c>
      <c r="U10" s="199">
        <v>260.0</v>
      </c>
      <c r="V10" s="199"/>
      <c r="W10" s="268"/>
      <c r="X10" s="123">
        <f t="shared" si="1"/>
        <v>730</v>
      </c>
      <c r="Y10" s="124"/>
    </row>
    <row r="11">
      <c r="A11" s="125"/>
      <c r="B11" s="126" t="s">
        <v>94</v>
      </c>
      <c r="C11" s="269"/>
      <c r="D11" s="128">
        <v>10.0</v>
      </c>
      <c r="E11" s="127">
        <f>50+130+130</f>
        <v>310</v>
      </c>
      <c r="F11" s="127">
        <v>80.0</v>
      </c>
      <c r="G11" s="127">
        <v>100.0</v>
      </c>
      <c r="H11" s="127">
        <f>80+150+90+10</f>
        <v>330</v>
      </c>
      <c r="I11" s="127">
        <v>290.0</v>
      </c>
      <c r="J11" s="270">
        <v>-810.0</v>
      </c>
      <c r="K11" s="127">
        <v>120.0</v>
      </c>
      <c r="L11" s="127">
        <f>270+90+70</f>
        <v>430</v>
      </c>
      <c r="M11" s="127">
        <v>270.0</v>
      </c>
      <c r="N11" s="127">
        <v>150.0</v>
      </c>
      <c r="O11" s="128">
        <v>10.0</v>
      </c>
      <c r="P11" s="127">
        <f>180+110+60+60</f>
        <v>410</v>
      </c>
      <c r="Q11" s="127">
        <v>170.0</v>
      </c>
      <c r="R11" s="270"/>
      <c r="S11" s="127">
        <v>180.0</v>
      </c>
      <c r="T11" s="127">
        <f>170+110+270+270</f>
        <v>820</v>
      </c>
      <c r="U11" s="127">
        <v>320.0</v>
      </c>
      <c r="V11" s="127">
        <v>20.0</v>
      </c>
      <c r="W11" s="270"/>
      <c r="X11" s="123">
        <f t="shared" si="1"/>
        <v>3210</v>
      </c>
      <c r="Y11" s="124"/>
    </row>
    <row r="12">
      <c r="A12" s="125"/>
      <c r="B12" s="126" t="s">
        <v>95</v>
      </c>
      <c r="C12" s="269"/>
      <c r="D12" s="128"/>
      <c r="E12" s="127">
        <f>820+580+930</f>
        <v>2330</v>
      </c>
      <c r="F12" s="127">
        <f>720+560</f>
        <v>1280</v>
      </c>
      <c r="G12" s="127">
        <f>640+380+110</f>
        <v>1130</v>
      </c>
      <c r="H12" s="127">
        <f>360+380+330+250</f>
        <v>1320</v>
      </c>
      <c r="I12" s="127">
        <v>1300.0</v>
      </c>
      <c r="J12" s="270">
        <v>-5830.0</v>
      </c>
      <c r="K12" s="127">
        <f>370+480+580</f>
        <v>1430</v>
      </c>
      <c r="L12" s="127">
        <f>430+310+490</f>
        <v>1230</v>
      </c>
      <c r="M12" s="127">
        <v>710.0</v>
      </c>
      <c r="N12" s="127">
        <v>440.0</v>
      </c>
      <c r="O12" s="128">
        <v>40.0</v>
      </c>
      <c r="P12" s="127">
        <f>660+760+850+470</f>
        <v>2740</v>
      </c>
      <c r="Q12" s="127">
        <f>690-40</f>
        <v>650</v>
      </c>
      <c r="R12" s="270">
        <v>-7020.0</v>
      </c>
      <c r="S12" s="127">
        <v>730.0</v>
      </c>
      <c r="T12" s="127">
        <f>380+440+270+230</f>
        <v>1320</v>
      </c>
      <c r="U12" s="127">
        <v>470.0</v>
      </c>
      <c r="V12" s="127">
        <f>280+150+90+50</f>
        <v>570</v>
      </c>
      <c r="W12" s="270">
        <v>-980.0</v>
      </c>
      <c r="X12" s="132">
        <f t="shared" si="1"/>
        <v>3860</v>
      </c>
      <c r="Y12" s="125"/>
    </row>
    <row r="13">
      <c r="A13" s="125"/>
      <c r="B13" s="126" t="s">
        <v>96</v>
      </c>
      <c r="C13" s="269"/>
      <c r="D13" s="128">
        <v>20.0</v>
      </c>
      <c r="E13" s="127">
        <f>470+330+270</f>
        <v>1070</v>
      </c>
      <c r="F13" s="127">
        <v>370.0</v>
      </c>
      <c r="G13" s="127">
        <f>220+70+20</f>
        <v>310</v>
      </c>
      <c r="H13" s="127">
        <f>230+230+300+180</f>
        <v>940</v>
      </c>
      <c r="I13" s="127">
        <v>870.0</v>
      </c>
      <c r="J13" s="270">
        <v>-2730.0</v>
      </c>
      <c r="K13" s="127">
        <f>390+400+350</f>
        <v>1140</v>
      </c>
      <c r="L13" s="127">
        <f>200+430+540</f>
        <v>1170</v>
      </c>
      <c r="M13" s="127">
        <v>580.0</v>
      </c>
      <c r="N13" s="127">
        <v>540.0</v>
      </c>
      <c r="O13" s="128"/>
      <c r="P13" s="127">
        <f>240+260+220+200</f>
        <v>920</v>
      </c>
      <c r="Q13" s="127">
        <f>230-10</f>
        <v>220</v>
      </c>
      <c r="R13" s="270">
        <v>-4480.0</v>
      </c>
      <c r="S13" s="127">
        <v>550.0</v>
      </c>
      <c r="T13" s="127">
        <f>570+360+170+150</f>
        <v>1250</v>
      </c>
      <c r="U13" s="127">
        <f>170+190</f>
        <v>360</v>
      </c>
      <c r="V13" s="127">
        <f>560+750+480+630</f>
        <v>2420</v>
      </c>
      <c r="W13" s="270">
        <v>-3690.0</v>
      </c>
      <c r="X13" s="132">
        <f t="shared" si="1"/>
        <v>1830</v>
      </c>
      <c r="Y13" s="124" t="s">
        <v>97</v>
      </c>
    </row>
    <row r="14">
      <c r="A14" s="125"/>
      <c r="B14" s="133" t="s">
        <v>98</v>
      </c>
      <c r="C14" s="271">
        <v>10.0</v>
      </c>
      <c r="D14" s="135"/>
      <c r="E14" s="134"/>
      <c r="F14" s="134"/>
      <c r="G14" s="134"/>
      <c r="H14" s="134">
        <v>40.0</v>
      </c>
      <c r="I14" s="134">
        <v>50.0</v>
      </c>
      <c r="J14" s="272"/>
      <c r="K14" s="134">
        <v>40.0</v>
      </c>
      <c r="L14" s="134">
        <v>30.0</v>
      </c>
      <c r="M14" s="134">
        <v>10.0</v>
      </c>
      <c r="N14" s="134">
        <v>40.0</v>
      </c>
      <c r="O14" s="135"/>
      <c r="P14" s="134">
        <v>30.0</v>
      </c>
      <c r="Q14" s="134"/>
      <c r="R14" s="272"/>
      <c r="S14" s="134">
        <v>40.0</v>
      </c>
      <c r="T14" s="134">
        <v>20.0</v>
      </c>
      <c r="U14" s="134">
        <v>20.0</v>
      </c>
      <c r="V14" s="134">
        <f>130+70+120+80</f>
        <v>400</v>
      </c>
      <c r="W14" s="272">
        <v>-550.0</v>
      </c>
      <c r="X14" s="139">
        <f t="shared" si="1"/>
        <v>180</v>
      </c>
      <c r="Y14" s="124">
        <f>SUM(X10:X14)</f>
        <v>9810</v>
      </c>
    </row>
    <row r="15">
      <c r="A15" s="140"/>
      <c r="B15" s="164" t="s">
        <v>103</v>
      </c>
      <c r="C15" s="273">
        <v>20.0</v>
      </c>
      <c r="D15" s="166"/>
      <c r="E15" s="165">
        <v>20.0</v>
      </c>
      <c r="F15" s="165"/>
      <c r="G15" s="165">
        <v>10.0</v>
      </c>
      <c r="H15" s="165"/>
      <c r="I15" s="165"/>
      <c r="J15" s="274"/>
      <c r="K15" s="165"/>
      <c r="L15" s="165">
        <v>10.0</v>
      </c>
      <c r="M15" s="165"/>
      <c r="N15" s="165"/>
      <c r="O15" s="166"/>
      <c r="P15" s="165"/>
      <c r="Q15" s="165"/>
      <c r="R15" s="274"/>
      <c r="S15" s="165">
        <v>30.0</v>
      </c>
      <c r="T15" s="165">
        <v>10.0</v>
      </c>
      <c r="U15" s="165"/>
      <c r="V15" s="165"/>
      <c r="W15" s="274"/>
      <c r="X15" s="172">
        <f t="shared" si="1"/>
        <v>100</v>
      </c>
      <c r="Y15" s="156"/>
    </row>
    <row r="16">
      <c r="A16" s="125"/>
      <c r="B16" s="164" t="s">
        <v>104</v>
      </c>
      <c r="C16" s="273"/>
      <c r="D16" s="166"/>
      <c r="E16" s="165"/>
      <c r="F16" s="165">
        <v>10.0</v>
      </c>
      <c r="G16" s="165">
        <v>10.0</v>
      </c>
      <c r="H16" s="165"/>
      <c r="I16" s="165"/>
      <c r="J16" s="274"/>
      <c r="K16" s="165">
        <v>10.0</v>
      </c>
      <c r="L16" s="165">
        <v>20.0</v>
      </c>
      <c r="M16" s="165"/>
      <c r="N16" s="165"/>
      <c r="O16" s="166">
        <v>10.0</v>
      </c>
      <c r="P16" s="165">
        <v>30.0</v>
      </c>
      <c r="Q16" s="165"/>
      <c r="R16" s="274"/>
      <c r="S16" s="165">
        <v>30.0</v>
      </c>
      <c r="T16" s="165">
        <v>10.0</v>
      </c>
      <c r="U16" s="165">
        <v>10.0</v>
      </c>
      <c r="V16" s="165"/>
      <c r="W16" s="274"/>
      <c r="X16" s="172">
        <f t="shared" si="1"/>
        <v>140</v>
      </c>
      <c r="Y16" s="173"/>
    </row>
    <row r="17">
      <c r="A17" s="125"/>
      <c r="B17" s="174" t="s">
        <v>105</v>
      </c>
      <c r="C17" s="275">
        <v>70.0</v>
      </c>
      <c r="D17" s="176">
        <v>10.0</v>
      </c>
      <c r="E17" s="175">
        <v>50.0</v>
      </c>
      <c r="F17" s="175">
        <v>30.0</v>
      </c>
      <c r="G17" s="175">
        <v>20.0</v>
      </c>
      <c r="H17" s="175">
        <v>20.0</v>
      </c>
      <c r="I17" s="175">
        <v>40.0</v>
      </c>
      <c r="J17" s="276"/>
      <c r="K17" s="175">
        <v>50.0</v>
      </c>
      <c r="L17" s="175">
        <v>20.0</v>
      </c>
      <c r="M17" s="175">
        <v>10.0</v>
      </c>
      <c r="N17" s="175">
        <v>10.0</v>
      </c>
      <c r="O17" s="176">
        <v>40.0</v>
      </c>
      <c r="P17" s="175">
        <v>130.0</v>
      </c>
      <c r="Q17" s="175">
        <v>20.0</v>
      </c>
      <c r="R17" s="276"/>
      <c r="S17" s="175">
        <v>370.0</v>
      </c>
      <c r="T17" s="175">
        <v>60.0</v>
      </c>
      <c r="U17" s="175"/>
      <c r="V17" s="175">
        <v>30.0</v>
      </c>
      <c r="W17" s="276">
        <v>-540.0</v>
      </c>
      <c r="X17" s="179">
        <f t="shared" si="1"/>
        <v>440</v>
      </c>
      <c r="Y17" s="125"/>
    </row>
    <row r="18">
      <c r="A18" s="125"/>
      <c r="B18" s="180" t="s">
        <v>106</v>
      </c>
      <c r="C18" s="277"/>
      <c r="D18" s="182">
        <v>10.0</v>
      </c>
      <c r="E18" s="181">
        <v>10.0</v>
      </c>
      <c r="F18" s="181"/>
      <c r="G18" s="181"/>
      <c r="H18" s="181"/>
      <c r="I18" s="181"/>
      <c r="J18" s="278"/>
      <c r="K18" s="181"/>
      <c r="L18" s="181"/>
      <c r="M18" s="181"/>
      <c r="N18" s="181">
        <v>10.0</v>
      </c>
      <c r="O18" s="182">
        <v>10.0</v>
      </c>
      <c r="P18" s="181"/>
      <c r="Q18" s="181"/>
      <c r="R18" s="278"/>
      <c r="S18" s="181">
        <v>160.0</v>
      </c>
      <c r="T18" s="181">
        <v>10.0</v>
      </c>
      <c r="U18" s="181">
        <v>10.0</v>
      </c>
      <c r="V18" s="181">
        <v>40.0</v>
      </c>
      <c r="W18" s="278">
        <v>-200.0</v>
      </c>
      <c r="X18" s="186">
        <f t="shared" si="1"/>
        <v>60</v>
      </c>
      <c r="Y18" s="173" t="s">
        <v>107</v>
      </c>
    </row>
    <row r="19">
      <c r="A19" s="125"/>
      <c r="B19" s="187" t="s">
        <v>108</v>
      </c>
      <c r="C19" s="279"/>
      <c r="D19" s="189"/>
      <c r="E19" s="188"/>
      <c r="F19" s="188"/>
      <c r="G19" s="188"/>
      <c r="H19" s="188"/>
      <c r="I19" s="188"/>
      <c r="J19" s="280"/>
      <c r="K19" s="188"/>
      <c r="L19" s="188"/>
      <c r="M19" s="188"/>
      <c r="N19" s="188"/>
      <c r="O19" s="189"/>
      <c r="P19" s="188"/>
      <c r="Q19" s="188"/>
      <c r="R19" s="280"/>
      <c r="S19" s="188">
        <v>50.0</v>
      </c>
      <c r="T19" s="188"/>
      <c r="U19" s="188"/>
      <c r="V19" s="188"/>
      <c r="W19" s="280">
        <v>-50.0</v>
      </c>
      <c r="X19" s="193">
        <f t="shared" si="1"/>
        <v>0</v>
      </c>
      <c r="Y19" s="173">
        <f>SUM(X15:X19)</f>
        <v>740</v>
      </c>
    </row>
    <row r="20">
      <c r="A20" s="25"/>
      <c r="B20" s="114" t="s">
        <v>113</v>
      </c>
      <c r="C20" s="281"/>
      <c r="D20" s="116"/>
      <c r="E20" s="115"/>
      <c r="F20" s="115"/>
      <c r="G20" s="115"/>
      <c r="H20" s="115"/>
      <c r="I20" s="115"/>
      <c r="J20" s="282"/>
      <c r="K20" s="115"/>
      <c r="L20" s="115"/>
      <c r="M20" s="115"/>
      <c r="N20" s="115"/>
      <c r="O20" s="116"/>
      <c r="P20" s="115"/>
      <c r="Q20" s="115"/>
      <c r="R20" s="282"/>
      <c r="S20" s="115"/>
      <c r="T20" s="115"/>
      <c r="U20" s="115"/>
      <c r="V20" s="115"/>
      <c r="W20" s="282"/>
      <c r="X20" s="197">
        <f t="shared" si="1"/>
        <v>0</v>
      </c>
      <c r="Y20" s="124"/>
    </row>
    <row r="21" ht="15.75" customHeight="1">
      <c r="A21" s="194"/>
      <c r="B21" s="198" t="s">
        <v>114</v>
      </c>
      <c r="C21" s="267">
        <v>10.0</v>
      </c>
      <c r="D21" s="200"/>
      <c r="E21" s="199">
        <v>10.0</v>
      </c>
      <c r="F21" s="199"/>
      <c r="G21" s="199"/>
      <c r="H21" s="199">
        <v>20.0</v>
      </c>
      <c r="I21" s="199"/>
      <c r="J21" s="268"/>
      <c r="K21" s="199">
        <v>10.0</v>
      </c>
      <c r="L21" s="199"/>
      <c r="M21" s="199">
        <v>10.0</v>
      </c>
      <c r="N21" s="199"/>
      <c r="O21" s="200">
        <v>50.0</v>
      </c>
      <c r="P21" s="199"/>
      <c r="Q21" s="199"/>
      <c r="R21" s="268"/>
      <c r="S21" s="199">
        <v>10.0</v>
      </c>
      <c r="T21" s="199">
        <v>30.0</v>
      </c>
      <c r="U21" s="199">
        <v>20.0</v>
      </c>
      <c r="V21" s="199"/>
      <c r="W21" s="268"/>
      <c r="X21" s="123">
        <f t="shared" si="1"/>
        <v>170</v>
      </c>
      <c r="Y21" s="98"/>
    </row>
    <row r="22" ht="15.75" customHeight="1">
      <c r="A22" s="25"/>
      <c r="B22" s="126" t="s">
        <v>115</v>
      </c>
      <c r="C22" s="269"/>
      <c r="D22" s="128"/>
      <c r="E22" s="127"/>
      <c r="F22" s="127"/>
      <c r="G22" s="127">
        <v>10.0</v>
      </c>
      <c r="H22" s="127">
        <v>30.0</v>
      </c>
      <c r="I22" s="127">
        <v>10.0</v>
      </c>
      <c r="J22" s="270"/>
      <c r="K22" s="127">
        <v>20.0</v>
      </c>
      <c r="L22" s="127">
        <v>10.0</v>
      </c>
      <c r="M22" s="127">
        <v>10.0</v>
      </c>
      <c r="N22" s="127"/>
      <c r="O22" s="128">
        <v>10.0</v>
      </c>
      <c r="P22" s="127">
        <v>50.0</v>
      </c>
      <c r="Q22" s="127">
        <v>20.0</v>
      </c>
      <c r="R22" s="270"/>
      <c r="S22" s="127"/>
      <c r="T22" s="127">
        <v>10.0</v>
      </c>
      <c r="U22" s="127"/>
      <c r="V22" s="127">
        <v>10.0</v>
      </c>
      <c r="W22" s="270"/>
      <c r="X22" s="132">
        <f t="shared" si="1"/>
        <v>190</v>
      </c>
      <c r="Y22" s="124" t="s">
        <v>116</v>
      </c>
    </row>
    <row r="23" ht="15.75" customHeight="1">
      <c r="A23" s="25"/>
      <c r="B23" s="133" t="s">
        <v>117</v>
      </c>
      <c r="C23" s="271"/>
      <c r="D23" s="135"/>
      <c r="E23" s="134"/>
      <c r="F23" s="134"/>
      <c r="G23" s="134"/>
      <c r="H23" s="134"/>
      <c r="I23" s="134"/>
      <c r="J23" s="272"/>
      <c r="K23" s="134"/>
      <c r="L23" s="134"/>
      <c r="M23" s="134"/>
      <c r="N23" s="134"/>
      <c r="O23" s="135">
        <v>10.0</v>
      </c>
      <c r="P23" s="134">
        <v>10.0</v>
      </c>
      <c r="Q23" s="134"/>
      <c r="R23" s="272"/>
      <c r="S23" s="134"/>
      <c r="T23" s="134"/>
      <c r="U23" s="134"/>
      <c r="V23" s="134"/>
      <c r="W23" s="272"/>
      <c r="X23" s="139">
        <f t="shared" si="1"/>
        <v>20</v>
      </c>
      <c r="Y23" s="124">
        <f>SUM(X20:X23)</f>
        <v>380</v>
      </c>
    </row>
    <row r="24" ht="15.75" customHeight="1">
      <c r="A24" s="125"/>
      <c r="B24" s="204" t="s">
        <v>118</v>
      </c>
      <c r="C24" s="283"/>
      <c r="D24" s="206"/>
      <c r="E24" s="205"/>
      <c r="F24" s="205"/>
      <c r="G24" s="205"/>
      <c r="H24" s="205"/>
      <c r="I24" s="205"/>
      <c r="J24" s="284"/>
      <c r="K24" s="205"/>
      <c r="L24" s="205"/>
      <c r="M24" s="205"/>
      <c r="N24" s="205"/>
      <c r="O24" s="206"/>
      <c r="P24" s="205"/>
      <c r="Q24" s="205"/>
      <c r="R24" s="284"/>
      <c r="S24" s="205"/>
      <c r="T24" s="205"/>
      <c r="U24" s="205"/>
      <c r="V24" s="205"/>
      <c r="W24" s="284"/>
      <c r="X24" s="172">
        <f t="shared" si="1"/>
        <v>0</v>
      </c>
      <c r="Y24" s="173"/>
    </row>
    <row r="25" ht="15.75" customHeight="1">
      <c r="A25" s="25"/>
      <c r="B25" s="164" t="s">
        <v>119</v>
      </c>
      <c r="C25" s="273">
        <v>10.0</v>
      </c>
      <c r="D25" s="166"/>
      <c r="E25" s="165"/>
      <c r="F25" s="165"/>
      <c r="G25" s="165"/>
      <c r="H25" s="165"/>
      <c r="I25" s="165"/>
      <c r="J25" s="274"/>
      <c r="K25" s="165"/>
      <c r="L25" s="165"/>
      <c r="M25" s="165"/>
      <c r="N25" s="165"/>
      <c r="O25" s="166"/>
      <c r="P25" s="165"/>
      <c r="Q25" s="165"/>
      <c r="R25" s="274"/>
      <c r="S25" s="165"/>
      <c r="T25" s="165"/>
      <c r="U25" s="165"/>
      <c r="V25" s="165"/>
      <c r="W25" s="274"/>
      <c r="X25" s="172">
        <f t="shared" si="1"/>
        <v>10</v>
      </c>
      <c r="Y25" s="23"/>
    </row>
    <row r="26" ht="15.75" customHeight="1">
      <c r="A26" s="25"/>
      <c r="B26" s="174" t="s">
        <v>120</v>
      </c>
      <c r="C26" s="275"/>
      <c r="D26" s="176"/>
      <c r="E26" s="175"/>
      <c r="F26" s="175"/>
      <c r="G26" s="175"/>
      <c r="H26" s="175"/>
      <c r="I26" s="175"/>
      <c r="J26" s="276"/>
      <c r="K26" s="175"/>
      <c r="L26" s="175"/>
      <c r="M26" s="175"/>
      <c r="N26" s="175"/>
      <c r="O26" s="176"/>
      <c r="P26" s="175"/>
      <c r="Q26" s="175"/>
      <c r="R26" s="276"/>
      <c r="S26" s="175">
        <v>10.0</v>
      </c>
      <c r="T26" s="175"/>
      <c r="U26" s="175"/>
      <c r="V26" s="175"/>
      <c r="W26" s="276"/>
      <c r="X26" s="179">
        <f t="shared" si="1"/>
        <v>10</v>
      </c>
      <c r="Y26" s="173" t="s">
        <v>121</v>
      </c>
    </row>
    <row r="27" ht="15.75" customHeight="1">
      <c r="A27" s="25"/>
      <c r="B27" s="187" t="s">
        <v>122</v>
      </c>
      <c r="C27" s="279"/>
      <c r="D27" s="189"/>
      <c r="E27" s="188"/>
      <c r="F27" s="188"/>
      <c r="G27" s="188"/>
      <c r="H27" s="188"/>
      <c r="I27" s="188"/>
      <c r="J27" s="280"/>
      <c r="K27" s="188"/>
      <c r="L27" s="188"/>
      <c r="M27" s="188"/>
      <c r="N27" s="188"/>
      <c r="O27" s="189"/>
      <c r="P27" s="188"/>
      <c r="Q27" s="188"/>
      <c r="R27" s="280"/>
      <c r="S27" s="188"/>
      <c r="T27" s="188"/>
      <c r="U27" s="188"/>
      <c r="V27" s="188"/>
      <c r="W27" s="280"/>
      <c r="X27" s="193">
        <f t="shared" si="1"/>
        <v>0</v>
      </c>
      <c r="Y27" s="173">
        <f>SUM(X24:X27)</f>
        <v>20</v>
      </c>
    </row>
    <row r="28" ht="15.75" customHeight="1">
      <c r="A28" s="25"/>
      <c r="B28" s="198" t="s">
        <v>124</v>
      </c>
      <c r="C28" s="267"/>
      <c r="D28" s="200"/>
      <c r="E28" s="199"/>
      <c r="F28" s="199"/>
      <c r="G28" s="199"/>
      <c r="H28" s="199"/>
      <c r="I28" s="199"/>
      <c r="J28" s="268"/>
      <c r="K28" s="199"/>
      <c r="L28" s="199"/>
      <c r="M28" s="199"/>
      <c r="N28" s="199"/>
      <c r="O28" s="200"/>
      <c r="P28" s="199"/>
      <c r="Q28" s="199"/>
      <c r="R28" s="268"/>
      <c r="S28" s="199"/>
      <c r="T28" s="199"/>
      <c r="U28" s="199"/>
      <c r="V28" s="199"/>
      <c r="W28" s="268"/>
      <c r="X28" s="123">
        <f t="shared" si="1"/>
        <v>0</v>
      </c>
      <c r="Y28" s="173"/>
    </row>
    <row r="29" ht="15.75" customHeight="1">
      <c r="A29" s="25"/>
      <c r="B29" s="198" t="s">
        <v>125</v>
      </c>
      <c r="C29" s="267"/>
      <c r="D29" s="200"/>
      <c r="E29" s="199"/>
      <c r="F29" s="199"/>
      <c r="G29" s="199"/>
      <c r="H29" s="199"/>
      <c r="I29" s="199"/>
      <c r="J29" s="268"/>
      <c r="K29" s="199"/>
      <c r="L29" s="199"/>
      <c r="M29" s="199"/>
      <c r="N29" s="199"/>
      <c r="O29" s="200"/>
      <c r="P29" s="199">
        <v>20.0</v>
      </c>
      <c r="Q29" s="199"/>
      <c r="R29" s="268"/>
      <c r="S29" s="199">
        <v>20.0</v>
      </c>
      <c r="T29" s="199"/>
      <c r="U29" s="199"/>
      <c r="V29" s="199"/>
      <c r="W29" s="268">
        <v>-10.0</v>
      </c>
      <c r="X29" s="123">
        <f t="shared" si="1"/>
        <v>30</v>
      </c>
      <c r="Y29" s="25"/>
    </row>
    <row r="30" ht="15.75" customHeight="1">
      <c r="A30" s="25"/>
      <c r="B30" s="217" t="s">
        <v>126</v>
      </c>
      <c r="C30" s="285"/>
      <c r="D30" s="219"/>
      <c r="E30" s="218"/>
      <c r="F30" s="218"/>
      <c r="G30" s="218"/>
      <c r="H30" s="218"/>
      <c r="I30" s="218"/>
      <c r="J30" s="286"/>
      <c r="K30" s="218"/>
      <c r="L30" s="218"/>
      <c r="M30" s="218"/>
      <c r="N30" s="218"/>
      <c r="O30" s="219"/>
      <c r="P30" s="218">
        <v>110.0</v>
      </c>
      <c r="Q30" s="218">
        <v>10.0</v>
      </c>
      <c r="R30" s="286"/>
      <c r="S30" s="218">
        <v>20.0</v>
      </c>
      <c r="T30" s="218"/>
      <c r="U30" s="218"/>
      <c r="V30" s="218"/>
      <c r="W30" s="286">
        <v>-70.0</v>
      </c>
      <c r="X30" s="223">
        <f t="shared" si="1"/>
        <v>70</v>
      </c>
      <c r="Y30" s="124" t="s">
        <v>127</v>
      </c>
    </row>
    <row r="31" ht="15.75" customHeight="1">
      <c r="A31" s="25"/>
      <c r="B31" s="133" t="s">
        <v>128</v>
      </c>
      <c r="C31" s="271"/>
      <c r="D31" s="135"/>
      <c r="E31" s="134"/>
      <c r="F31" s="134"/>
      <c r="G31" s="134"/>
      <c r="H31" s="134"/>
      <c r="I31" s="134"/>
      <c r="J31" s="272"/>
      <c r="K31" s="134"/>
      <c r="L31" s="134"/>
      <c r="M31" s="134"/>
      <c r="N31" s="134"/>
      <c r="O31" s="135"/>
      <c r="P31" s="134"/>
      <c r="Q31" s="134">
        <v>10.0</v>
      </c>
      <c r="R31" s="272"/>
      <c r="S31" s="134"/>
      <c r="T31" s="134"/>
      <c r="U31" s="134"/>
      <c r="V31" s="134"/>
      <c r="W31" s="272">
        <v>-10.0</v>
      </c>
      <c r="X31" s="139">
        <f t="shared" si="1"/>
        <v>0</v>
      </c>
      <c r="Y31" s="124">
        <f>SUM(X28:X31)</f>
        <v>100</v>
      </c>
    </row>
    <row r="32" ht="15.75" customHeight="1">
      <c r="A32" s="125"/>
      <c r="B32" s="204" t="s">
        <v>129</v>
      </c>
      <c r="C32" s="283">
        <v>10.0</v>
      </c>
      <c r="D32" s="206"/>
      <c r="E32" s="205"/>
      <c r="F32" s="205"/>
      <c r="G32" s="205"/>
      <c r="H32" s="205"/>
      <c r="I32" s="205"/>
      <c r="J32" s="284"/>
      <c r="K32" s="205"/>
      <c r="L32" s="205"/>
      <c r="M32" s="205"/>
      <c r="N32" s="205"/>
      <c r="O32" s="206"/>
      <c r="P32" s="205"/>
      <c r="Q32" s="205"/>
      <c r="R32" s="284"/>
      <c r="S32" s="205"/>
      <c r="T32" s="205"/>
      <c r="U32" s="205"/>
      <c r="V32" s="205"/>
      <c r="W32" s="284"/>
      <c r="X32" s="224">
        <f t="shared" si="1"/>
        <v>10</v>
      </c>
      <c r="Y32" s="173"/>
    </row>
    <row r="33" ht="15.75" customHeight="1">
      <c r="A33" s="25"/>
      <c r="B33" s="164" t="s">
        <v>130</v>
      </c>
      <c r="C33" s="273"/>
      <c r="D33" s="166"/>
      <c r="E33" s="165"/>
      <c r="F33" s="165"/>
      <c r="G33" s="165"/>
      <c r="H33" s="165"/>
      <c r="I33" s="165"/>
      <c r="J33" s="274"/>
      <c r="K33" s="165"/>
      <c r="L33" s="165"/>
      <c r="M33" s="165"/>
      <c r="N33" s="165"/>
      <c r="O33" s="166">
        <v>10.0</v>
      </c>
      <c r="P33" s="165">
        <v>20.0</v>
      </c>
      <c r="Q33" s="165"/>
      <c r="R33" s="274"/>
      <c r="S33" s="165"/>
      <c r="T33" s="165"/>
      <c r="U33" s="165"/>
      <c r="V33" s="165"/>
      <c r="W33" s="274">
        <v>-30.0</v>
      </c>
      <c r="X33" s="172">
        <f t="shared" si="1"/>
        <v>0</v>
      </c>
      <c r="Y33" s="25"/>
    </row>
    <row r="34" ht="15.75" customHeight="1">
      <c r="A34" s="25"/>
      <c r="B34" s="164" t="s">
        <v>131</v>
      </c>
      <c r="C34" s="273"/>
      <c r="D34" s="166"/>
      <c r="E34" s="165"/>
      <c r="F34" s="165"/>
      <c r="G34" s="165"/>
      <c r="H34" s="165"/>
      <c r="I34" s="165"/>
      <c r="J34" s="274"/>
      <c r="K34" s="165"/>
      <c r="L34" s="165"/>
      <c r="M34" s="165"/>
      <c r="N34" s="165"/>
      <c r="O34" s="166"/>
      <c r="P34" s="165">
        <v>10.0</v>
      </c>
      <c r="Q34" s="165"/>
      <c r="R34" s="274"/>
      <c r="S34" s="165"/>
      <c r="T34" s="165"/>
      <c r="U34" s="165"/>
      <c r="V34" s="165"/>
      <c r="W34" s="274">
        <v>-30.0</v>
      </c>
      <c r="X34" s="172">
        <f t="shared" si="1"/>
        <v>-20</v>
      </c>
      <c r="Y34" s="173" t="s">
        <v>132</v>
      </c>
    </row>
    <row r="35" ht="15.75" customHeight="1">
      <c r="A35" s="25"/>
      <c r="B35" s="164" t="s">
        <v>133</v>
      </c>
      <c r="C35" s="287"/>
      <c r="D35" s="226"/>
      <c r="E35" s="225"/>
      <c r="F35" s="225"/>
      <c r="G35" s="225"/>
      <c r="H35" s="225"/>
      <c r="I35" s="225"/>
      <c r="J35" s="288"/>
      <c r="K35" s="225"/>
      <c r="L35" s="225"/>
      <c r="M35" s="225"/>
      <c r="N35" s="225"/>
      <c r="O35" s="226"/>
      <c r="P35" s="225"/>
      <c r="Q35" s="225"/>
      <c r="R35" s="288"/>
      <c r="S35" s="225"/>
      <c r="T35" s="225"/>
      <c r="U35" s="225"/>
      <c r="V35" s="225"/>
      <c r="W35" s="288"/>
      <c r="X35" s="172">
        <f t="shared" si="1"/>
        <v>0</v>
      </c>
      <c r="Y35" s="173">
        <f>SUM(X32:X35)</f>
        <v>-10</v>
      </c>
    </row>
    <row r="36" ht="15.75" customHeight="1">
      <c r="A36" s="140"/>
      <c r="B36" s="230" t="s">
        <v>134</v>
      </c>
      <c r="C36" s="289"/>
      <c r="D36" s="232"/>
      <c r="E36" s="231"/>
      <c r="F36" s="231"/>
      <c r="G36" s="231"/>
      <c r="H36" s="231"/>
      <c r="I36" s="231"/>
      <c r="J36" s="290"/>
      <c r="K36" s="231"/>
      <c r="L36" s="231"/>
      <c r="M36" s="231"/>
      <c r="N36" s="231"/>
      <c r="O36" s="232"/>
      <c r="P36" s="231"/>
      <c r="Q36" s="231"/>
      <c r="R36" s="290"/>
      <c r="S36" s="231"/>
      <c r="T36" s="231"/>
      <c r="U36" s="231"/>
      <c r="V36" s="231"/>
      <c r="W36" s="290"/>
      <c r="X36" s="236">
        <f t="shared" si="1"/>
        <v>0</v>
      </c>
      <c r="Y36" s="156">
        <f t="shared" ref="Y36:Y39" si="2">X36</f>
        <v>0</v>
      </c>
    </row>
    <row r="37" ht="15.75" customHeight="1">
      <c r="A37" s="25"/>
      <c r="B37" s="90" t="s">
        <v>157</v>
      </c>
      <c r="C37" s="256"/>
      <c r="D37" s="92"/>
      <c r="E37" s="91"/>
      <c r="F37" s="91"/>
      <c r="G37" s="91"/>
      <c r="H37" s="91">
        <v>10.0</v>
      </c>
      <c r="I37" s="91"/>
      <c r="J37" s="257"/>
      <c r="K37" s="91"/>
      <c r="L37" s="91"/>
      <c r="M37" s="91"/>
      <c r="N37" s="91"/>
      <c r="O37" s="92"/>
      <c r="P37" s="91"/>
      <c r="Q37" s="91"/>
      <c r="R37" s="257"/>
      <c r="S37" s="91"/>
      <c r="T37" s="91"/>
      <c r="U37" s="91"/>
      <c r="V37" s="91"/>
      <c r="W37" s="257"/>
      <c r="X37" s="96">
        <f t="shared" si="1"/>
        <v>10</v>
      </c>
      <c r="Y37" s="98">
        <f t="shared" si="2"/>
        <v>10</v>
      </c>
    </row>
    <row r="38" ht="15.75" customHeight="1">
      <c r="A38" s="25"/>
      <c r="B38" s="198" t="s">
        <v>136</v>
      </c>
      <c r="C38" s="267">
        <v>30.0</v>
      </c>
      <c r="D38" s="200"/>
      <c r="E38" s="199"/>
      <c r="F38" s="199"/>
      <c r="G38" s="199"/>
      <c r="H38" s="199"/>
      <c r="I38" s="199"/>
      <c r="J38" s="268"/>
      <c r="K38" s="199"/>
      <c r="L38" s="199">
        <v>10.0</v>
      </c>
      <c r="M38" s="199"/>
      <c r="N38" s="199"/>
      <c r="O38" s="200">
        <v>20.0</v>
      </c>
      <c r="P38" s="199"/>
      <c r="Q38" s="199"/>
      <c r="R38" s="268"/>
      <c r="S38" s="199"/>
      <c r="T38" s="199"/>
      <c r="U38" s="199"/>
      <c r="V38" s="199"/>
      <c r="W38" s="268"/>
      <c r="X38" s="123">
        <f t="shared" si="1"/>
        <v>60</v>
      </c>
      <c r="Y38" s="124">
        <f t="shared" si="2"/>
        <v>60</v>
      </c>
    </row>
    <row r="39" ht="15.75" customHeight="1">
      <c r="A39" s="125"/>
      <c r="B39" s="164" t="s">
        <v>137</v>
      </c>
      <c r="C39" s="273"/>
      <c r="D39" s="166"/>
      <c r="E39" s="165"/>
      <c r="F39" s="165"/>
      <c r="G39" s="165"/>
      <c r="H39" s="165"/>
      <c r="I39" s="165"/>
      <c r="J39" s="274"/>
      <c r="K39" s="165"/>
      <c r="L39" s="165"/>
      <c r="M39" s="165"/>
      <c r="N39" s="165"/>
      <c r="O39" s="166"/>
      <c r="P39" s="165"/>
      <c r="Q39" s="165"/>
      <c r="R39" s="274"/>
      <c r="S39" s="165"/>
      <c r="T39" s="165"/>
      <c r="U39" s="165"/>
      <c r="V39" s="165"/>
      <c r="W39" s="274"/>
      <c r="X39" s="172">
        <f t="shared" si="1"/>
        <v>0</v>
      </c>
      <c r="Y39" s="124">
        <f t="shared" si="2"/>
        <v>0</v>
      </c>
    </row>
    <row r="40" ht="15.75" customHeight="1">
      <c r="A40" s="25"/>
      <c r="B40" s="198"/>
      <c r="C40" s="267"/>
      <c r="D40" s="200"/>
      <c r="E40" s="199"/>
      <c r="F40" s="199"/>
      <c r="G40" s="199"/>
      <c r="H40" s="199"/>
      <c r="I40" s="199"/>
      <c r="J40" s="268"/>
      <c r="K40" s="199"/>
      <c r="L40" s="199"/>
      <c r="M40" s="199"/>
      <c r="N40" s="199"/>
      <c r="O40" s="200"/>
      <c r="P40" s="199"/>
      <c r="Q40" s="199"/>
      <c r="R40" s="268"/>
      <c r="S40" s="199"/>
      <c r="T40" s="199"/>
      <c r="U40" s="199"/>
      <c r="V40" s="199"/>
      <c r="W40" s="268"/>
      <c r="X40" s="123"/>
      <c r="Y40" s="173" t="s">
        <v>138</v>
      </c>
    </row>
    <row r="41" ht="15.75" customHeight="1">
      <c r="A41" s="25"/>
      <c r="B41" s="174" t="s">
        <v>139</v>
      </c>
      <c r="C41" s="275">
        <v>530.0</v>
      </c>
      <c r="D41" s="176">
        <v>30.0</v>
      </c>
      <c r="E41" s="175"/>
      <c r="F41" s="175"/>
      <c r="G41" s="175"/>
      <c r="H41" s="175">
        <v>10.0</v>
      </c>
      <c r="I41" s="175">
        <v>10.0</v>
      </c>
      <c r="J41" s="276"/>
      <c r="K41" s="175"/>
      <c r="L41" s="175">
        <v>20.0</v>
      </c>
      <c r="M41" s="175">
        <v>20.0</v>
      </c>
      <c r="N41" s="175"/>
      <c r="O41" s="176">
        <v>40.0</v>
      </c>
      <c r="P41" s="175">
        <v>60.0</v>
      </c>
      <c r="Q41" s="175">
        <v>30.0</v>
      </c>
      <c r="R41" s="276"/>
      <c r="S41" s="175">
        <v>50.0</v>
      </c>
      <c r="T41" s="175">
        <v>30.0</v>
      </c>
      <c r="U41" s="175"/>
      <c r="V41" s="175"/>
      <c r="W41" s="276"/>
      <c r="X41" s="172">
        <f>SUM(C41:W41)</f>
        <v>830</v>
      </c>
      <c r="Y41" s="173">
        <f>SUM(X41)</f>
        <v>830</v>
      </c>
    </row>
    <row r="42" ht="15.75" customHeight="1">
      <c r="A42" s="25"/>
      <c r="B42" s="174"/>
      <c r="C42" s="275"/>
      <c r="D42" s="176"/>
      <c r="E42" s="175"/>
      <c r="F42" s="175"/>
      <c r="G42" s="175"/>
      <c r="H42" s="175"/>
      <c r="I42" s="175"/>
      <c r="J42" s="276"/>
      <c r="K42" s="175"/>
      <c r="L42" s="175"/>
      <c r="M42" s="175"/>
      <c r="N42" s="175"/>
      <c r="O42" s="176"/>
      <c r="P42" s="175"/>
      <c r="Q42" s="175"/>
      <c r="R42" s="276"/>
      <c r="S42" s="175"/>
      <c r="T42" s="175"/>
      <c r="U42" s="175"/>
      <c r="V42" s="175"/>
      <c r="W42" s="276"/>
      <c r="X42" s="172"/>
      <c r="Y42" s="173" t="s">
        <v>140</v>
      </c>
    </row>
    <row r="43" ht="15.75" customHeight="1">
      <c r="A43" s="25"/>
      <c r="B43" s="187" t="s">
        <v>141</v>
      </c>
      <c r="C43" s="279"/>
      <c r="D43" s="189"/>
      <c r="E43" s="188"/>
      <c r="F43" s="188"/>
      <c r="G43" s="188"/>
      <c r="H43" s="188"/>
      <c r="I43" s="188"/>
      <c r="J43" s="280"/>
      <c r="K43" s="188"/>
      <c r="L43" s="188"/>
      <c r="M43" s="188"/>
      <c r="N43" s="188"/>
      <c r="O43" s="189"/>
      <c r="P43" s="188"/>
      <c r="Q43" s="188"/>
      <c r="R43" s="280"/>
      <c r="S43" s="188"/>
      <c r="T43" s="188"/>
      <c r="U43" s="188"/>
      <c r="V43" s="188"/>
      <c r="W43" s="280"/>
      <c r="X43" s="193">
        <f t="shared" ref="X43:X45" si="4">SUM(C43:W43)</f>
        <v>0</v>
      </c>
      <c r="Y43" s="173">
        <f>SUM(X43)</f>
        <v>0</v>
      </c>
    </row>
    <row r="44" ht="15.75" customHeight="1">
      <c r="B44" s="237" t="s">
        <v>142</v>
      </c>
      <c r="C44" s="291">
        <f t="shared" ref="C44:W44" si="3">SUM(C5:C43)</f>
        <v>3990</v>
      </c>
      <c r="D44" s="239">
        <f t="shared" si="3"/>
        <v>80</v>
      </c>
      <c r="E44" s="242">
        <f t="shared" si="3"/>
        <v>4950</v>
      </c>
      <c r="F44" s="242">
        <f t="shared" si="3"/>
        <v>3100</v>
      </c>
      <c r="G44" s="242">
        <f t="shared" si="3"/>
        <v>3990</v>
      </c>
      <c r="H44" s="242">
        <f t="shared" si="3"/>
        <v>6480</v>
      </c>
      <c r="I44" s="242">
        <f t="shared" si="3"/>
        <v>3460</v>
      </c>
      <c r="J44" s="292">
        <f t="shared" si="3"/>
        <v>-20300</v>
      </c>
      <c r="K44" s="242">
        <f t="shared" si="3"/>
        <v>4810</v>
      </c>
      <c r="L44" s="242">
        <f t="shared" si="3"/>
        <v>4610</v>
      </c>
      <c r="M44" s="242">
        <f t="shared" si="3"/>
        <v>3340</v>
      </c>
      <c r="N44" s="242">
        <f t="shared" si="3"/>
        <v>3070</v>
      </c>
      <c r="O44" s="239">
        <f t="shared" si="3"/>
        <v>290</v>
      </c>
      <c r="P44" s="242">
        <f t="shared" si="3"/>
        <v>6710</v>
      </c>
      <c r="Q44" s="242">
        <f t="shared" si="3"/>
        <v>3120</v>
      </c>
      <c r="R44" s="292">
        <f t="shared" si="3"/>
        <v>-20000</v>
      </c>
      <c r="S44" s="242">
        <f t="shared" si="3"/>
        <v>2980</v>
      </c>
      <c r="T44" s="242">
        <f t="shared" si="3"/>
        <v>6170</v>
      </c>
      <c r="U44" s="242">
        <f t="shared" si="3"/>
        <v>3240</v>
      </c>
      <c r="V44" s="242">
        <f t="shared" si="3"/>
        <v>6280</v>
      </c>
      <c r="W44" s="292">
        <f t="shared" si="3"/>
        <v>-16500</v>
      </c>
      <c r="X44" s="245">
        <f t="shared" si="4"/>
        <v>13870</v>
      </c>
      <c r="Y44" s="246">
        <f>SUM(Y5:Y43)</f>
        <v>13870</v>
      </c>
    </row>
    <row r="45" ht="15.75" customHeight="1">
      <c r="A45" s="125"/>
      <c r="B45" s="247" t="s">
        <v>143</v>
      </c>
      <c r="C45" s="248">
        <v>103.9</v>
      </c>
      <c r="D45" s="248">
        <v>-80.0</v>
      </c>
      <c r="E45" s="248">
        <v>22.0</v>
      </c>
      <c r="F45" s="248">
        <v>33.9</v>
      </c>
      <c r="G45" s="248">
        <v>19.2</v>
      </c>
      <c r="H45" s="248">
        <v>38.9</v>
      </c>
      <c r="I45" s="248">
        <v>24.0</v>
      </c>
      <c r="J45" s="248"/>
      <c r="K45" s="248">
        <v>14.6</v>
      </c>
      <c r="L45" s="248">
        <v>21.7</v>
      </c>
      <c r="M45" s="248">
        <v>19.9</v>
      </c>
      <c r="N45" s="248">
        <v>22.9</v>
      </c>
      <c r="O45" s="248">
        <v>-290.0</v>
      </c>
      <c r="P45" s="248">
        <v>20.3</v>
      </c>
      <c r="Q45" s="248">
        <v>14.8</v>
      </c>
      <c r="R45" s="248"/>
      <c r="S45" s="248">
        <v>24.9</v>
      </c>
      <c r="T45" s="248">
        <v>12.7</v>
      </c>
      <c r="U45" s="248">
        <v>19.6</v>
      </c>
      <c r="V45" s="248">
        <v>23.1</v>
      </c>
      <c r="W45" s="248"/>
      <c r="X45" s="249">
        <f t="shared" si="4"/>
        <v>66.4</v>
      </c>
      <c r="Y45" s="124"/>
    </row>
    <row r="46" ht="15.75" customHeight="1">
      <c r="A46" s="25"/>
      <c r="B46" s="25" t="s">
        <v>144</v>
      </c>
      <c r="C46" s="250">
        <f t="shared" ref="C46:X46" si="5">SUM(C44:C45)</f>
        <v>4093.9</v>
      </c>
      <c r="D46" s="250">
        <f t="shared" si="5"/>
        <v>0</v>
      </c>
      <c r="E46" s="250">
        <f t="shared" si="5"/>
        <v>4972</v>
      </c>
      <c r="F46" s="250">
        <f t="shared" si="5"/>
        <v>3133.9</v>
      </c>
      <c r="G46" s="250">
        <f t="shared" si="5"/>
        <v>4009.2</v>
      </c>
      <c r="H46" s="250">
        <f t="shared" si="5"/>
        <v>6518.9</v>
      </c>
      <c r="I46" s="250">
        <f t="shared" si="5"/>
        <v>3484</v>
      </c>
      <c r="J46" s="250">
        <f t="shared" si="5"/>
        <v>-20300</v>
      </c>
      <c r="K46" s="250">
        <f t="shared" si="5"/>
        <v>4824.6</v>
      </c>
      <c r="L46" s="250">
        <f t="shared" si="5"/>
        <v>4631.7</v>
      </c>
      <c r="M46" s="250">
        <f t="shared" si="5"/>
        <v>3359.9</v>
      </c>
      <c r="N46" s="250">
        <f t="shared" si="5"/>
        <v>3092.9</v>
      </c>
      <c r="O46" s="250">
        <f t="shared" si="5"/>
        <v>0</v>
      </c>
      <c r="P46" s="250">
        <f t="shared" si="5"/>
        <v>6730.3</v>
      </c>
      <c r="Q46" s="250">
        <f t="shared" si="5"/>
        <v>3134.8</v>
      </c>
      <c r="R46" s="250">
        <f t="shared" si="5"/>
        <v>-20000</v>
      </c>
      <c r="S46" s="250">
        <f t="shared" si="5"/>
        <v>3004.9</v>
      </c>
      <c r="T46" s="250">
        <f t="shared" si="5"/>
        <v>6182.7</v>
      </c>
      <c r="U46" s="250">
        <f t="shared" si="5"/>
        <v>3259.6</v>
      </c>
      <c r="V46" s="250">
        <f t="shared" si="5"/>
        <v>6303.1</v>
      </c>
      <c r="W46" s="250">
        <f t="shared" si="5"/>
        <v>-16500</v>
      </c>
      <c r="X46" s="250">
        <f t="shared" si="5"/>
        <v>13936.4</v>
      </c>
      <c r="Y46" s="71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71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71"/>
    </row>
    <row r="49" ht="15.75" customHeight="1">
      <c r="A49" s="25"/>
      <c r="B49" s="251" t="s">
        <v>143</v>
      </c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 t="s">
        <v>142</v>
      </c>
      <c r="Y49" s="71"/>
    </row>
    <row r="50" ht="15.75" customHeight="1">
      <c r="A50" s="25"/>
      <c r="B50" s="25" t="s">
        <v>3</v>
      </c>
      <c r="C50" s="293">
        <v>40.300000000000004</v>
      </c>
      <c r="D50" s="25"/>
      <c r="E50" s="25"/>
      <c r="F50" s="25">
        <f>6+5.6</f>
        <v>11.6</v>
      </c>
      <c r="G50" s="25">
        <f>7.5+3</f>
        <v>10.5</v>
      </c>
      <c r="H50" s="25"/>
      <c r="I50" s="25">
        <v>4.0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>
        <v>2.7</v>
      </c>
      <c r="V50" s="25">
        <f>6.4+7.7+5</f>
        <v>19.1</v>
      </c>
      <c r="W50" s="25"/>
      <c r="X50" s="25">
        <f t="shared" ref="X50:X56" si="6">SUM(C50:W50)</f>
        <v>88.2</v>
      </c>
      <c r="Y50" s="71"/>
    </row>
    <row r="51" ht="15.75" customHeight="1">
      <c r="A51" s="25"/>
      <c r="B51" s="25" t="s">
        <v>4</v>
      </c>
      <c r="C51" s="293">
        <v>305.69999999999993</v>
      </c>
      <c r="D51" s="25"/>
      <c r="E51" s="25">
        <f>7.9+4.2</f>
        <v>12.1</v>
      </c>
      <c r="F51" s="25">
        <f>7.2+7</f>
        <v>14.2</v>
      </c>
      <c r="G51" s="25"/>
      <c r="H51" s="25">
        <v>7.3</v>
      </c>
      <c r="I51" s="25"/>
      <c r="J51" s="25"/>
      <c r="K51" s="25">
        <v>6.3</v>
      </c>
      <c r="L51" s="25"/>
      <c r="M51" s="25">
        <f>6.9+7</f>
        <v>13.9</v>
      </c>
      <c r="N51" s="25">
        <f>4+7.1</f>
        <v>11.1</v>
      </c>
      <c r="O51" s="25"/>
      <c r="P51" s="25">
        <v>2.6</v>
      </c>
      <c r="Q51" s="25">
        <f>3+4</f>
        <v>7</v>
      </c>
      <c r="R51" s="25"/>
      <c r="S51" s="25">
        <f>6.7+3.5</f>
        <v>10.2</v>
      </c>
      <c r="T51" s="25">
        <f>4.3+5.9</f>
        <v>10.2</v>
      </c>
      <c r="U51" s="25">
        <v>6.7</v>
      </c>
      <c r="V51" s="25"/>
      <c r="W51" s="25"/>
      <c r="X51" s="25">
        <f t="shared" si="6"/>
        <v>407.3</v>
      </c>
      <c r="Y51" s="71"/>
    </row>
    <row r="52" ht="15.75" customHeight="1">
      <c r="A52" s="25"/>
      <c r="B52" s="25" t="s">
        <v>5</v>
      </c>
      <c r="C52" s="293">
        <v>293.5</v>
      </c>
      <c r="D52" s="25"/>
      <c r="E52" s="25">
        <v>4.2</v>
      </c>
      <c r="F52" s="25"/>
      <c r="G52" s="25">
        <v>8.7</v>
      </c>
      <c r="H52" s="25">
        <f>8+5+4</f>
        <v>17</v>
      </c>
      <c r="I52" s="25">
        <f>5+7.8</f>
        <v>12.8</v>
      </c>
      <c r="J52" s="25"/>
      <c r="K52" s="25">
        <f>2.3+2.3</f>
        <v>4.6</v>
      </c>
      <c r="L52" s="25">
        <f>5.5+6.2</f>
        <v>11.7</v>
      </c>
      <c r="M52" s="25"/>
      <c r="N52" s="25"/>
      <c r="O52" s="25"/>
      <c r="P52" s="25"/>
      <c r="Q52" s="25"/>
      <c r="R52" s="25"/>
      <c r="S52" s="25">
        <f>8+6.7</f>
        <v>14.7</v>
      </c>
      <c r="T52" s="25"/>
      <c r="U52" s="25"/>
      <c r="V52" s="25"/>
      <c r="W52" s="25"/>
      <c r="X52" s="25">
        <f t="shared" si="6"/>
        <v>367.2</v>
      </c>
      <c r="Y52" s="71"/>
    </row>
    <row r="53" ht="15.75" customHeight="1">
      <c r="A53" s="25"/>
      <c r="B53" s="25" t="s">
        <v>6</v>
      </c>
      <c r="C53" s="293">
        <v>166.60000000000002</v>
      </c>
      <c r="D53" s="25"/>
      <c r="E53" s="25"/>
      <c r="F53" s="25">
        <v>8.1</v>
      </c>
      <c r="G53" s="25"/>
      <c r="H53" s="25">
        <f>3.3+3.3</f>
        <v>6.6</v>
      </c>
      <c r="I53" s="25"/>
      <c r="J53" s="25"/>
      <c r="K53" s="25"/>
      <c r="L53" s="25">
        <f>7.4+2.6</f>
        <v>10</v>
      </c>
      <c r="M53" s="25"/>
      <c r="N53" s="25">
        <v>7.0</v>
      </c>
      <c r="O53" s="25"/>
      <c r="P53" s="25">
        <f>5.5+4.8</f>
        <v>10.3</v>
      </c>
      <c r="Q53" s="25"/>
      <c r="R53" s="25"/>
      <c r="S53" s="25"/>
      <c r="T53" s="25">
        <v>2.5</v>
      </c>
      <c r="U53" s="25"/>
      <c r="V53" s="25"/>
      <c r="W53" s="25"/>
      <c r="X53" s="25">
        <f t="shared" si="6"/>
        <v>211.1</v>
      </c>
      <c r="Y53" s="71"/>
    </row>
    <row r="54" ht="15.75" customHeight="1">
      <c r="A54" s="25"/>
      <c r="B54" s="25" t="s">
        <v>7</v>
      </c>
      <c r="C54" s="293">
        <v>38.2</v>
      </c>
      <c r="D54" s="25"/>
      <c r="E54" s="25">
        <v>5.7</v>
      </c>
      <c r="F54" s="25"/>
      <c r="G54" s="25"/>
      <c r="H54" s="25"/>
      <c r="I54" s="25"/>
      <c r="J54" s="25"/>
      <c r="K54" s="25">
        <v>3.7</v>
      </c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>
        <f t="shared" si="6"/>
        <v>47.6</v>
      </c>
      <c r="Y54" s="71"/>
    </row>
    <row r="55" ht="15.75" customHeight="1">
      <c r="A55" s="25"/>
      <c r="B55" s="25" t="s">
        <v>145</v>
      </c>
      <c r="C55" s="293">
        <v>105.3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>
        <v>7.8</v>
      </c>
      <c r="R55" s="25"/>
      <c r="S55" s="25"/>
      <c r="T55" s="25"/>
      <c r="U55" s="25">
        <v>5.2</v>
      </c>
      <c r="V55" s="25"/>
      <c r="W55" s="25"/>
      <c r="X55" s="25">
        <f t="shared" si="6"/>
        <v>118.3</v>
      </c>
      <c r="Y55" s="71"/>
    </row>
    <row r="56" ht="15.75" customHeight="1">
      <c r="A56" s="25"/>
      <c r="B56" s="25" t="s">
        <v>146</v>
      </c>
      <c r="C56" s="293">
        <v>63.400000000000006</v>
      </c>
      <c r="D56" s="25"/>
      <c r="E56" s="25"/>
      <c r="F56" s="25"/>
      <c r="G56" s="25"/>
      <c r="H56" s="25">
        <v>8.0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>
        <f t="shared" si="6"/>
        <v>71.4</v>
      </c>
      <c r="Y56" s="71"/>
    </row>
    <row r="57" ht="15.75" customHeight="1">
      <c r="A57" s="25"/>
      <c r="B57" s="25" t="s">
        <v>147</v>
      </c>
      <c r="C57" s="293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>
        <v>7.4</v>
      </c>
      <c r="Q57" s="25"/>
      <c r="R57" s="25"/>
      <c r="S57" s="25"/>
      <c r="T57" s="25"/>
      <c r="U57" s="25">
        <v>5.0</v>
      </c>
      <c r="V57" s="25"/>
      <c r="W57" s="25"/>
      <c r="X57" s="25"/>
      <c r="Y57" s="71"/>
    </row>
    <row r="58" ht="15.75" customHeight="1">
      <c r="A58" s="25"/>
      <c r="B58" s="25" t="s">
        <v>148</v>
      </c>
      <c r="C58" s="293">
        <v>4.0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>
        <f t="shared" ref="X58:X61" si="7">SUM(C58:W58)</f>
        <v>4</v>
      </c>
      <c r="Y58" s="71"/>
    </row>
    <row r="59" ht="15.75" customHeight="1">
      <c r="A59" s="25"/>
      <c r="B59" s="25" t="s">
        <v>11</v>
      </c>
      <c r="C59" s="293">
        <v>129.3</v>
      </c>
      <c r="D59" s="25"/>
      <c r="E59" s="25"/>
      <c r="F59" s="25"/>
      <c r="G59" s="25"/>
      <c r="H59" s="25"/>
      <c r="I59" s="25"/>
      <c r="J59" s="25"/>
      <c r="K59" s="25"/>
      <c r="L59" s="25"/>
      <c r="M59" s="25">
        <v>6.0</v>
      </c>
      <c r="N59" s="25">
        <v>4.8</v>
      </c>
      <c r="O59" s="25"/>
      <c r="P59" s="25"/>
      <c r="Q59" s="25"/>
      <c r="R59" s="25"/>
      <c r="S59" s="25"/>
      <c r="T59" s="25"/>
      <c r="U59" s="25"/>
      <c r="V59" s="25">
        <v>4.0</v>
      </c>
      <c r="W59" s="25"/>
      <c r="X59" s="25">
        <f t="shared" si="7"/>
        <v>144.1</v>
      </c>
      <c r="Y59" s="71"/>
    </row>
    <row r="60" ht="15.75" customHeight="1">
      <c r="A60" s="25"/>
      <c r="B60" s="25" t="s">
        <v>141</v>
      </c>
      <c r="C60" s="293">
        <v>6.3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>
        <f t="shared" si="7"/>
        <v>6.3</v>
      </c>
      <c r="Y60" s="71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>
        <f t="shared" si="7"/>
        <v>0</v>
      </c>
      <c r="Y61" s="71"/>
    </row>
    <row r="62" ht="15.75" customHeight="1">
      <c r="A62" s="25"/>
      <c r="B62" s="251" t="s">
        <v>142</v>
      </c>
      <c r="C62" s="251">
        <f t="shared" ref="C62:X62" si="8">SUM(C50:C61)</f>
        <v>1152.6</v>
      </c>
      <c r="D62" s="251">
        <f t="shared" si="8"/>
        <v>0</v>
      </c>
      <c r="E62" s="251">
        <f t="shared" si="8"/>
        <v>22</v>
      </c>
      <c r="F62" s="251">
        <f t="shared" si="8"/>
        <v>33.9</v>
      </c>
      <c r="G62" s="251">
        <f t="shared" si="8"/>
        <v>19.2</v>
      </c>
      <c r="H62" s="251">
        <f t="shared" si="8"/>
        <v>38.9</v>
      </c>
      <c r="I62" s="251">
        <f t="shared" si="8"/>
        <v>16.8</v>
      </c>
      <c r="J62" s="251">
        <f t="shared" si="8"/>
        <v>0</v>
      </c>
      <c r="K62" s="251">
        <f t="shared" si="8"/>
        <v>14.6</v>
      </c>
      <c r="L62" s="251">
        <f t="shared" si="8"/>
        <v>21.7</v>
      </c>
      <c r="M62" s="251">
        <f t="shared" si="8"/>
        <v>19.9</v>
      </c>
      <c r="N62" s="251">
        <f t="shared" si="8"/>
        <v>22.9</v>
      </c>
      <c r="O62" s="251">
        <f t="shared" si="8"/>
        <v>0</v>
      </c>
      <c r="P62" s="251">
        <f t="shared" si="8"/>
        <v>20.3</v>
      </c>
      <c r="Q62" s="251">
        <f t="shared" si="8"/>
        <v>14.8</v>
      </c>
      <c r="R62" s="251">
        <f t="shared" si="8"/>
        <v>0</v>
      </c>
      <c r="S62" s="251">
        <f t="shared" si="8"/>
        <v>24.9</v>
      </c>
      <c r="T62" s="251">
        <f t="shared" si="8"/>
        <v>12.7</v>
      </c>
      <c r="U62" s="251">
        <f t="shared" si="8"/>
        <v>19.6</v>
      </c>
      <c r="V62" s="251">
        <f t="shared" si="8"/>
        <v>23.1</v>
      </c>
      <c r="W62" s="251">
        <f t="shared" si="8"/>
        <v>0</v>
      </c>
      <c r="X62" s="251">
        <f t="shared" si="8"/>
        <v>1465.5</v>
      </c>
      <c r="Y62" s="71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71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71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71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71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71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71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71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71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71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71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71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71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71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71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71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71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71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71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71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71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71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71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71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71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71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71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71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71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71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71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71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71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71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71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71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71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71"/>
    </row>
    <row r="100" ht="15.75" customHeight="1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Y100" s="71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Y101" s="71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Y102" s="71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Y103" s="71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Y104" s="71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Y105" s="71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Y106" s="71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Y107" s="71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Y108" s="71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Y109" s="71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Y110" s="71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Y111" s="71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Y112" s="71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Y113" s="71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Y114" s="71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Y115" s="71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Y116" s="71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Y117" s="71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Y118" s="71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Y119" s="71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Y120" s="71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Y121" s="71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Y122" s="71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Y123" s="71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Y124" s="71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Y125" s="71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Y126" s="71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Y127" s="71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Y128" s="71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Y129" s="71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Y130" s="71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Y131" s="71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Y132" s="71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Y133" s="71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Y134" s="71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Y135" s="71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Y136" s="71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Y137" s="71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Y138" s="71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Y139" s="71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Y140" s="71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Y141" s="71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Y142" s="71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Y143" s="71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Y144" s="71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Y145" s="71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Y146" s="71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Y147" s="71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Y148" s="71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Y149" s="71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Y150" s="71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Y151" s="71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Y152" s="71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Y153" s="71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Y154" s="71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Y155" s="71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Y156" s="71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Y157" s="71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Y158" s="71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Y159" s="71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Y160" s="71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Y161" s="71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Y162" s="71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Y163" s="71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Y164" s="71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Y165" s="71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Y166" s="71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Y167" s="71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Y168" s="71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Y169" s="71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Y170" s="71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Y171" s="71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Y172" s="71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Y173" s="71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Y174" s="71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Y175" s="71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Y176" s="71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Y177" s="71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Y178" s="71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Y179" s="71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Y180" s="71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Y181" s="71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Y182" s="71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Y183" s="71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Y184" s="71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Y185" s="71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Y186" s="71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Y187" s="71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Y188" s="71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Y189" s="71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Y190" s="71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Y191" s="71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Y192" s="71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Y193" s="71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Y194" s="71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Y195" s="71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Y196" s="71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Y197" s="71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Y198" s="71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Y199" s="71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Y200" s="71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Y201" s="71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Y202" s="71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Y203" s="71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Y204" s="71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Y205" s="71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Y206" s="71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Y207" s="71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Y208" s="71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Y209" s="71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Y210" s="71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Y211" s="71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Y212" s="71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Y213" s="71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Y214" s="71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Y215" s="71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Y216" s="71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Y217" s="71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Y218" s="71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Y219" s="71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Y220" s="71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Y221" s="71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Y222" s="71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Y223" s="71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Y224" s="71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Y225" s="71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Y226" s="71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Y227" s="71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Y228" s="71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Y229" s="71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Y230" s="71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Y231" s="71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Y232" s="71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Y233" s="71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Y234" s="71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Y235" s="71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Y236" s="71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Y237" s="71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Y238" s="71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Y239" s="71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Y240" s="71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Y241" s="71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Y242" s="71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Y243" s="71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Y244" s="71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Y245" s="71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Y246" s="71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Y247" s="71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Y248" s="71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Y249" s="71"/>
    </row>
    <row r="250" ht="15.75" customHeight="1"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Y250" s="71"/>
    </row>
    <row r="251" ht="15.75" customHeight="1"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Y251" s="71"/>
    </row>
    <row r="252" ht="15.75" customHeight="1"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Y252" s="71"/>
    </row>
    <row r="253" ht="15.75" customHeight="1"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Y253" s="71"/>
    </row>
    <row r="254" ht="15.75" customHeight="1"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Y254" s="71"/>
    </row>
    <row r="255" ht="15.75" customHeight="1"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Y255" s="71"/>
    </row>
    <row r="256" ht="15.75" customHeight="1"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Y256" s="71"/>
    </row>
    <row r="257" ht="15.75" customHeight="1"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Y257" s="71"/>
    </row>
    <row r="258" ht="15.75" customHeight="1"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Y258" s="71"/>
    </row>
    <row r="259" ht="15.75" customHeight="1"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Y259" s="71"/>
    </row>
    <row r="260" ht="15.75" customHeight="1"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Y260" s="71"/>
    </row>
    <row r="261" ht="15.75" customHeight="1"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Y261" s="71"/>
    </row>
    <row r="262" ht="15.75" customHeight="1"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Y262" s="71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3:B4"/>
    <mergeCell ref="C3:V3"/>
    <mergeCell ref="X3:X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hidden="1" min="1" max="1" width="5.0"/>
    <col customWidth="1" min="2" max="2" width="26.86"/>
    <col customWidth="1" min="3" max="3" width="8.71"/>
    <col customWidth="1" min="4" max="4" width="11.14"/>
    <col customWidth="1" min="5" max="6" width="8.71"/>
    <col customWidth="1" min="7" max="7" width="11.71"/>
    <col customWidth="1" min="8" max="14" width="8.71"/>
    <col customWidth="1" min="15" max="16" width="12.29"/>
    <col customWidth="1" min="17" max="17" width="9.14"/>
    <col customWidth="1" min="18" max="18" width="9.0"/>
    <col customWidth="1" min="19" max="22" width="9.14"/>
    <col customWidth="1" min="23" max="30" width="8.43"/>
    <col customWidth="1" min="31" max="42" width="9.0"/>
    <col customWidth="1" min="43" max="43" width="12.29"/>
    <col customWidth="1" min="45" max="45" width="12.43"/>
    <col customWidth="1" min="46" max="46" width="13.43"/>
    <col customWidth="1" min="47" max="47" width="18.0"/>
    <col customWidth="1" min="48" max="48" width="13.29"/>
    <col customWidth="1" min="49" max="49" width="9.14"/>
    <col customWidth="1" min="50" max="55" width="8.71"/>
  </cols>
  <sheetData>
    <row r="1">
      <c r="B1" s="68" t="s">
        <v>63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294"/>
      <c r="R1" s="294"/>
      <c r="S1" s="294"/>
      <c r="T1" s="294"/>
      <c r="U1" s="294"/>
      <c r="V1" s="294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70"/>
      <c r="AS1" s="25"/>
      <c r="AT1" s="23"/>
      <c r="AU1" s="25"/>
      <c r="AV1" s="25"/>
      <c r="AW1" s="25"/>
    </row>
    <row r="2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11"/>
      <c r="R2" s="11"/>
      <c r="S2" s="11"/>
      <c r="T2" s="295"/>
      <c r="U2" s="295"/>
      <c r="V2" s="295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R2" s="71"/>
      <c r="AS2" s="25"/>
      <c r="AT2" s="23"/>
      <c r="AU2" s="25"/>
      <c r="AV2" s="25"/>
      <c r="AW2" s="25"/>
    </row>
    <row r="3" ht="16.5" customHeight="1">
      <c r="B3" s="297" t="s">
        <v>64</v>
      </c>
      <c r="C3" s="298" t="s">
        <v>66</v>
      </c>
      <c r="D3" s="299"/>
      <c r="E3" s="300" t="s">
        <v>158</v>
      </c>
      <c r="F3" s="299"/>
      <c r="G3" s="299"/>
      <c r="H3" s="301"/>
      <c r="I3" s="301"/>
      <c r="J3" s="301"/>
      <c r="K3" s="298" t="s">
        <v>159</v>
      </c>
      <c r="L3" s="301"/>
      <c r="M3" s="301"/>
      <c r="N3" s="301"/>
      <c r="O3" s="301"/>
      <c r="P3" s="301"/>
      <c r="Q3" s="302"/>
      <c r="R3" s="302"/>
      <c r="S3" s="302"/>
      <c r="T3" s="303" t="s">
        <v>160</v>
      </c>
      <c r="U3" s="304"/>
      <c r="V3" s="304"/>
      <c r="W3" s="305"/>
      <c r="X3" s="304"/>
      <c r="Y3" s="305"/>
      <c r="Z3" s="305"/>
      <c r="AA3" s="305"/>
      <c r="AB3" s="305"/>
      <c r="AC3" s="305"/>
      <c r="AD3" s="305"/>
      <c r="AE3" s="299"/>
      <c r="AF3" s="305"/>
      <c r="AG3" s="305"/>
      <c r="AH3" s="305"/>
      <c r="AI3" s="305"/>
      <c r="AJ3" s="305"/>
      <c r="AK3" s="305"/>
      <c r="AL3" s="305"/>
      <c r="AM3" s="305"/>
      <c r="AN3" s="306" t="s">
        <v>161</v>
      </c>
      <c r="AO3" s="305"/>
      <c r="AP3" s="305"/>
      <c r="AQ3" s="307" t="s">
        <v>70</v>
      </c>
      <c r="AR3" s="80" t="s">
        <v>162</v>
      </c>
      <c r="AS3" s="25"/>
      <c r="AT3" s="23"/>
      <c r="AU3" s="25"/>
      <c r="AV3" s="308"/>
      <c r="AW3" s="25"/>
    </row>
    <row r="4">
      <c r="B4" s="81"/>
      <c r="C4" s="309">
        <v>30.0</v>
      </c>
      <c r="D4" s="310">
        <v>31.0</v>
      </c>
      <c r="E4" s="310">
        <v>1.0</v>
      </c>
      <c r="F4" s="310">
        <v>11.0</v>
      </c>
      <c r="G4" s="311">
        <v>16.0</v>
      </c>
      <c r="H4" s="312">
        <v>26.0</v>
      </c>
      <c r="I4" s="313">
        <v>29.0</v>
      </c>
      <c r="J4" s="312">
        <v>31.0</v>
      </c>
      <c r="K4" s="312">
        <v>1.0</v>
      </c>
      <c r="L4" s="312">
        <v>2.0</v>
      </c>
      <c r="M4" s="312">
        <v>3.0</v>
      </c>
      <c r="N4" s="312">
        <v>4.0</v>
      </c>
      <c r="O4" s="314" t="s">
        <v>163</v>
      </c>
      <c r="P4" s="314" t="s">
        <v>164</v>
      </c>
      <c r="Q4" s="315">
        <v>26.0</v>
      </c>
      <c r="R4" s="315">
        <v>28.0</v>
      </c>
      <c r="S4" s="315">
        <v>30.0</v>
      </c>
      <c r="T4" s="315">
        <v>1.0</v>
      </c>
      <c r="U4" s="315">
        <v>3.0</v>
      </c>
      <c r="V4" s="315">
        <v>4.0</v>
      </c>
      <c r="W4" s="313">
        <v>5.0</v>
      </c>
      <c r="X4" s="316">
        <v>8.0</v>
      </c>
      <c r="Y4" s="312">
        <v>9.0</v>
      </c>
      <c r="Z4" s="313">
        <v>10.0</v>
      </c>
      <c r="AA4" s="313">
        <v>11.0</v>
      </c>
      <c r="AB4" s="313">
        <v>12.0</v>
      </c>
      <c r="AC4" s="317" t="s">
        <v>165</v>
      </c>
      <c r="AD4" s="317" t="s">
        <v>166</v>
      </c>
      <c r="AE4" s="313">
        <v>13.0</v>
      </c>
      <c r="AF4" s="313">
        <v>14.0</v>
      </c>
      <c r="AG4" s="313">
        <v>17.0</v>
      </c>
      <c r="AH4" s="313">
        <v>18.0</v>
      </c>
      <c r="AI4" s="313">
        <v>21.0</v>
      </c>
      <c r="AJ4" s="313">
        <v>24.0</v>
      </c>
      <c r="AK4" s="313">
        <v>26.0</v>
      </c>
      <c r="AL4" s="313">
        <v>28.0</v>
      </c>
      <c r="AM4" s="313">
        <v>29.0</v>
      </c>
      <c r="AN4" s="313">
        <v>29.0</v>
      </c>
      <c r="AO4" s="313">
        <v>30.0</v>
      </c>
      <c r="AP4" s="312"/>
      <c r="AQ4" s="318"/>
      <c r="AR4" s="80"/>
      <c r="AS4" s="25"/>
      <c r="AT4" s="22"/>
      <c r="AU4" s="319"/>
      <c r="AV4" s="23"/>
      <c r="AW4" s="25"/>
    </row>
    <row r="5">
      <c r="B5" s="90" t="s">
        <v>167</v>
      </c>
      <c r="C5" s="91"/>
      <c r="D5" s="320">
        <v>921.3</v>
      </c>
      <c r="E5" s="320">
        <v>394.4</v>
      </c>
      <c r="F5" s="321">
        <v>7.0</v>
      </c>
      <c r="G5" s="322">
        <v>-1217.0</v>
      </c>
      <c r="H5" s="323">
        <v>5.7</v>
      </c>
      <c r="I5" s="324"/>
      <c r="J5" s="325"/>
      <c r="K5" s="326"/>
      <c r="L5" s="324"/>
      <c r="M5" s="326"/>
      <c r="N5" s="325">
        <v>34.6</v>
      </c>
      <c r="O5" s="327">
        <v>-10.0</v>
      </c>
      <c r="P5" s="327">
        <f>-5.7</f>
        <v>-5.7</v>
      </c>
      <c r="Q5" s="328"/>
      <c r="R5" s="328"/>
      <c r="S5" s="328"/>
      <c r="T5" s="328"/>
      <c r="U5" s="328"/>
      <c r="V5" s="328"/>
      <c r="W5" s="329"/>
      <c r="X5" s="325"/>
      <c r="Y5" s="325"/>
      <c r="Z5" s="330">
        <v>1110.0</v>
      </c>
      <c r="AA5" s="330">
        <v>330.0</v>
      </c>
      <c r="AB5" s="330">
        <f>20+10</f>
        <v>30</v>
      </c>
      <c r="AC5" s="331"/>
      <c r="AD5" s="331">
        <v>-1420.0</v>
      </c>
      <c r="AE5" s="330">
        <f>4.3+1120</f>
        <v>1124.3</v>
      </c>
      <c r="AF5" s="330">
        <f>210+6.5</f>
        <v>216.5</v>
      </c>
      <c r="AG5" s="330"/>
      <c r="AH5" s="330">
        <v>3.1</v>
      </c>
      <c r="AI5" s="330">
        <v>140.0</v>
      </c>
      <c r="AJ5" s="330">
        <v>630.0</v>
      </c>
      <c r="AK5" s="330">
        <v>60.0</v>
      </c>
      <c r="AL5" s="330">
        <v>30.0</v>
      </c>
      <c r="AM5" s="330">
        <v>80.0</v>
      </c>
      <c r="AN5" s="330"/>
      <c r="AO5" s="330">
        <v>20.0</v>
      </c>
      <c r="AP5" s="325"/>
      <c r="AQ5" s="332">
        <f t="shared" ref="AQ5:AQ8" si="1">SUM(Q5:AF5)</f>
        <v>1390.8</v>
      </c>
      <c r="AR5" s="333">
        <f t="shared" ref="AR5:AR7" si="2">SUM(Q5:AB5)+AE5+AF5+AG5+AH5</f>
        <v>2813.9</v>
      </c>
      <c r="AS5" s="334">
        <f t="shared" ref="AS5:AS9" si="3">AQ5-AR5</f>
        <v>-1423.1</v>
      </c>
      <c r="AT5" s="173">
        <f t="shared" ref="AT5:AT8" si="4">SUM(S5:AD5)</f>
        <v>50</v>
      </c>
      <c r="AU5" s="319"/>
      <c r="AV5" s="23"/>
      <c r="AW5" s="25"/>
    </row>
    <row r="6">
      <c r="B6" s="99" t="s">
        <v>90</v>
      </c>
      <c r="C6" s="100">
        <v>120.0</v>
      </c>
      <c r="D6" s="335">
        <v>581.6</v>
      </c>
      <c r="E6" s="335">
        <v>61.7</v>
      </c>
      <c r="F6" s="336">
        <f>1.1+30</f>
        <v>31.1</v>
      </c>
      <c r="G6" s="337">
        <v>-781.3</v>
      </c>
      <c r="H6" s="338">
        <f>2.7+30</f>
        <v>32.7</v>
      </c>
      <c r="I6" s="339"/>
      <c r="J6" s="340"/>
      <c r="K6" s="340"/>
      <c r="L6" s="339"/>
      <c r="M6" s="340"/>
      <c r="N6" s="340"/>
      <c r="O6" s="341">
        <v>-30.0</v>
      </c>
      <c r="P6" s="341">
        <f>-2.7</f>
        <v>-2.7</v>
      </c>
      <c r="Q6" s="342"/>
      <c r="R6" s="342"/>
      <c r="S6" s="342"/>
      <c r="T6" s="342"/>
      <c r="U6" s="342"/>
      <c r="V6" s="342"/>
      <c r="W6" s="343"/>
      <c r="X6" s="340"/>
      <c r="Y6" s="340"/>
      <c r="Z6" s="343">
        <f>6.5+130</f>
        <v>136.5</v>
      </c>
      <c r="AA6" s="343">
        <v>170.0</v>
      </c>
      <c r="AB6" s="343"/>
      <c r="AC6" s="344"/>
      <c r="AD6" s="344">
        <v>-310.0</v>
      </c>
      <c r="AE6" s="343">
        <f>4.3+200</f>
        <v>204.3</v>
      </c>
      <c r="AF6" s="330">
        <v>50.0</v>
      </c>
      <c r="AG6" s="330"/>
      <c r="AH6" s="330">
        <v>8.7</v>
      </c>
      <c r="AI6" s="330">
        <f>340+7.6</f>
        <v>347.6</v>
      </c>
      <c r="AJ6" s="330">
        <v>1320.0</v>
      </c>
      <c r="AK6" s="330">
        <v>60.0</v>
      </c>
      <c r="AL6" s="330">
        <f>590+9.5</f>
        <v>599.5</v>
      </c>
      <c r="AM6" s="330">
        <v>750.0</v>
      </c>
      <c r="AN6" s="330"/>
      <c r="AO6" s="330">
        <f>1.7+70</f>
        <v>71.7</v>
      </c>
      <c r="AP6" s="325"/>
      <c r="AQ6" s="332">
        <f t="shared" si="1"/>
        <v>250.8</v>
      </c>
      <c r="AR6" s="98">
        <f t="shared" si="2"/>
        <v>569.5</v>
      </c>
      <c r="AS6" s="334">
        <f t="shared" si="3"/>
        <v>-318.7</v>
      </c>
      <c r="AT6" s="173">
        <f t="shared" si="4"/>
        <v>-3.5</v>
      </c>
      <c r="AU6" s="25"/>
      <c r="AV6" s="25"/>
      <c r="AW6" s="25"/>
    </row>
    <row r="7">
      <c r="B7" s="106" t="s">
        <v>92</v>
      </c>
      <c r="C7" s="107">
        <v>4060.0</v>
      </c>
      <c r="D7" s="345">
        <v>5023.6</v>
      </c>
      <c r="E7" s="345">
        <v>786.2</v>
      </c>
      <c r="F7" s="346">
        <f>9.1+160</f>
        <v>169.1</v>
      </c>
      <c r="G7" s="347">
        <v>-10019.1</v>
      </c>
      <c r="H7" s="348">
        <f>6.5+20</f>
        <v>26.5</v>
      </c>
      <c r="I7" s="349"/>
      <c r="J7" s="350">
        <v>3.7</v>
      </c>
      <c r="K7" s="350"/>
      <c r="L7" s="349"/>
      <c r="M7" s="350"/>
      <c r="N7" s="350"/>
      <c r="O7" s="351">
        <v>-30.0</v>
      </c>
      <c r="P7" s="351">
        <f>-12.7</f>
        <v>-12.7</v>
      </c>
      <c r="Q7" s="352"/>
      <c r="R7" s="352"/>
      <c r="S7" s="352"/>
      <c r="T7" s="352"/>
      <c r="U7" s="352"/>
      <c r="V7" s="352"/>
      <c r="W7" s="353"/>
      <c r="X7" s="354"/>
      <c r="Y7" s="354"/>
      <c r="Z7" s="355"/>
      <c r="AA7" s="355">
        <v>30.0</v>
      </c>
      <c r="AB7" s="355"/>
      <c r="AC7" s="356"/>
      <c r="AD7" s="356">
        <v>-30.0</v>
      </c>
      <c r="AE7" s="355">
        <v>10.0</v>
      </c>
      <c r="AF7" s="357"/>
      <c r="AG7" s="357"/>
      <c r="AH7" s="357">
        <f>10+7.6</f>
        <v>17.6</v>
      </c>
      <c r="AI7" s="357">
        <v>7.7</v>
      </c>
      <c r="AJ7" s="357">
        <f>30+5.2</f>
        <v>35.2</v>
      </c>
      <c r="AK7" s="357">
        <v>30.0</v>
      </c>
      <c r="AL7" s="357">
        <v>9.5</v>
      </c>
      <c r="AM7" s="357">
        <v>20.0</v>
      </c>
      <c r="AN7" s="357">
        <v>20.0</v>
      </c>
      <c r="AO7" s="357">
        <v>100.0</v>
      </c>
      <c r="AP7" s="358"/>
      <c r="AQ7" s="332">
        <f t="shared" si="1"/>
        <v>10</v>
      </c>
      <c r="AR7" s="98">
        <f t="shared" si="2"/>
        <v>57.6</v>
      </c>
      <c r="AS7" s="334">
        <f t="shared" si="3"/>
        <v>-47.6</v>
      </c>
      <c r="AT7" s="173">
        <f t="shared" si="4"/>
        <v>0</v>
      </c>
      <c r="AU7" s="319"/>
      <c r="AV7" s="25"/>
      <c r="AW7" s="25"/>
    </row>
    <row r="8">
      <c r="B8" s="106" t="s">
        <v>168</v>
      </c>
      <c r="C8" s="359">
        <v>73.1</v>
      </c>
      <c r="D8" s="359">
        <v>57.1</v>
      </c>
      <c r="E8" s="359">
        <v>56.7</v>
      </c>
      <c r="F8" s="359">
        <v>7.7</v>
      </c>
      <c r="G8" s="360"/>
      <c r="H8" s="361"/>
      <c r="I8" s="362"/>
      <c r="J8" s="363">
        <v>10.7</v>
      </c>
      <c r="K8" s="364"/>
      <c r="L8" s="362"/>
      <c r="M8" s="362"/>
      <c r="N8" s="362"/>
      <c r="O8" s="365"/>
      <c r="P8" s="365">
        <f>-194.1</f>
        <v>-194.1</v>
      </c>
      <c r="Q8" s="366"/>
      <c r="R8" s="366"/>
      <c r="S8" s="366"/>
      <c r="T8" s="366"/>
      <c r="U8" s="366"/>
      <c r="V8" s="366"/>
      <c r="W8" s="362"/>
      <c r="X8" s="367"/>
      <c r="Y8" s="367"/>
      <c r="Z8" s="368"/>
      <c r="AA8" s="368"/>
      <c r="AB8" s="368"/>
      <c r="AC8" s="369"/>
      <c r="AD8" s="369"/>
      <c r="AE8" s="368"/>
      <c r="AF8" s="368"/>
      <c r="AG8" s="368"/>
      <c r="AH8" s="368"/>
      <c r="AI8" s="368"/>
      <c r="AJ8" s="368"/>
      <c r="AK8" s="368"/>
      <c r="AL8" s="368"/>
      <c r="AM8" s="368"/>
      <c r="AN8" s="368"/>
      <c r="AO8" s="368"/>
      <c r="AP8" s="367"/>
      <c r="AQ8" s="332">
        <f t="shared" si="1"/>
        <v>0</v>
      </c>
      <c r="AR8" s="98">
        <f>SUM(Q8:AB8)+AE8+AF8</f>
        <v>0</v>
      </c>
      <c r="AS8" s="334">
        <f t="shared" si="3"/>
        <v>0</v>
      </c>
      <c r="AT8" s="173">
        <f t="shared" si="4"/>
        <v>0</v>
      </c>
      <c r="AU8" s="319"/>
      <c r="AV8" s="25"/>
      <c r="AW8" s="25"/>
    </row>
    <row r="9">
      <c r="A9" s="125"/>
      <c r="B9" s="198" t="s">
        <v>169</v>
      </c>
      <c r="C9" s="199"/>
      <c r="D9" s="370">
        <f>132.3+2.4</f>
        <v>134.7</v>
      </c>
      <c r="E9" s="370">
        <v>218.8</v>
      </c>
      <c r="F9" s="370">
        <f>5.9+330</f>
        <v>335.9</v>
      </c>
      <c r="G9" s="371">
        <v>-686.0</v>
      </c>
      <c r="H9" s="372">
        <f>5.7+140</f>
        <v>145.7</v>
      </c>
      <c r="I9" s="373">
        <v>18.7</v>
      </c>
      <c r="J9" s="372">
        <f>6+20</f>
        <v>26</v>
      </c>
      <c r="K9" s="323">
        <v>88.0</v>
      </c>
      <c r="L9" s="373">
        <f>83.8+5</f>
        <v>88.8</v>
      </c>
      <c r="M9" s="373">
        <f>8.8+0.9</f>
        <v>9.7</v>
      </c>
      <c r="N9" s="373">
        <f>2.1+774.4</f>
        <v>776.5</v>
      </c>
      <c r="O9" s="374">
        <v>-340.0</v>
      </c>
      <c r="P9" s="374">
        <f>-112.5-6.3-10.5</f>
        <v>-129.3</v>
      </c>
      <c r="Q9" s="375">
        <f>300+6.8</f>
        <v>306.8</v>
      </c>
      <c r="R9" s="375">
        <f>400+1.2</f>
        <v>401.2</v>
      </c>
      <c r="S9" s="375">
        <f>1.2+480+90+5.2</f>
        <v>576.4</v>
      </c>
      <c r="T9" s="375">
        <v>130.0</v>
      </c>
      <c r="U9" s="375">
        <v>3470.0</v>
      </c>
      <c r="V9" s="375">
        <f>2350+6.7</f>
        <v>2356.7</v>
      </c>
      <c r="W9" s="373">
        <v>310.0</v>
      </c>
      <c r="X9" s="372">
        <v>3380.0</v>
      </c>
      <c r="Y9" s="376">
        <v>6110.0</v>
      </c>
      <c r="Z9" s="373">
        <v>3230.0</v>
      </c>
      <c r="AA9" s="373">
        <f>1.2+2890</f>
        <v>2891.2</v>
      </c>
      <c r="AB9" s="373">
        <f>2580+660</f>
        <v>3240</v>
      </c>
      <c r="AC9" s="374">
        <v>-3030.0</v>
      </c>
      <c r="AD9" s="374">
        <v>-1950.0</v>
      </c>
      <c r="AE9" s="373">
        <f>7.3+3400</f>
        <v>3407.3</v>
      </c>
      <c r="AF9" s="373">
        <f>4.8+2510</f>
        <v>2514.8</v>
      </c>
      <c r="AG9" s="373">
        <f>190+3.6</f>
        <v>193.6</v>
      </c>
      <c r="AH9" s="373">
        <f>510+1.6</f>
        <v>511.6</v>
      </c>
      <c r="AI9" s="373">
        <f>1150+8.8</f>
        <v>1158.8</v>
      </c>
      <c r="AJ9" s="373">
        <v>2100.0</v>
      </c>
      <c r="AK9" s="373">
        <f>720+7.3</f>
        <v>727.3</v>
      </c>
      <c r="AL9" s="373">
        <v>230.0</v>
      </c>
      <c r="AM9" s="373">
        <f>530+3.7</f>
        <v>533.7</v>
      </c>
      <c r="AN9" s="373">
        <f>7.7+10</f>
        <v>17.7</v>
      </c>
      <c r="AO9" s="373">
        <f>8.2+130</f>
        <v>138.2</v>
      </c>
      <c r="AP9" s="372"/>
      <c r="AQ9" s="332">
        <f>SUM(Q9:AG9)</f>
        <v>27538</v>
      </c>
      <c r="AR9" s="98">
        <f t="shared" ref="AR9:AR40" si="5">SUM(Q9:AB9)+AE9+AF9+AG9+AH9</f>
        <v>33029.6</v>
      </c>
      <c r="AS9" s="334">
        <f t="shared" si="3"/>
        <v>-5491.6</v>
      </c>
      <c r="AT9" s="173">
        <f t="shared" ref="AT9:AT40" si="6">SUM(Q9:AD9)</f>
        <v>21422.3</v>
      </c>
      <c r="AU9" s="125"/>
      <c r="AV9" s="25"/>
      <c r="AW9" s="125"/>
      <c r="AX9" s="125"/>
      <c r="AY9" s="125"/>
      <c r="AZ9" s="125"/>
      <c r="BA9" s="125"/>
      <c r="BB9" s="125"/>
      <c r="BC9" s="125"/>
    </row>
    <row r="10">
      <c r="A10" s="125"/>
      <c r="B10" s="126" t="s">
        <v>95</v>
      </c>
      <c r="C10" s="127">
        <v>70.0</v>
      </c>
      <c r="D10" s="127">
        <f>63+55.3</f>
        <v>118.3</v>
      </c>
      <c r="E10" s="377">
        <v>55.0</v>
      </c>
      <c r="F10" s="377">
        <f>6.7+740</f>
        <v>746.7</v>
      </c>
      <c r="G10" s="371">
        <v>-880.2</v>
      </c>
      <c r="H10" s="378">
        <f>7.1+1480</f>
        <v>1487.1</v>
      </c>
      <c r="I10" s="379">
        <v>175.6</v>
      </c>
      <c r="J10" s="378">
        <v>780.0</v>
      </c>
      <c r="K10" s="338">
        <v>891.1</v>
      </c>
      <c r="L10" s="379">
        <v>966.4</v>
      </c>
      <c r="M10" s="379">
        <f>60+3.2</f>
        <v>63.2</v>
      </c>
      <c r="N10" s="379">
        <f>15.1+683.6</f>
        <v>698.7</v>
      </c>
      <c r="O10" s="380">
        <v>-5020.0</v>
      </c>
      <c r="P10" s="380">
        <f>-178.7-60</f>
        <v>-238.7</v>
      </c>
      <c r="Q10" s="381">
        <v>220.0</v>
      </c>
      <c r="R10" s="381">
        <f>6.7+640</f>
        <v>646.7</v>
      </c>
      <c r="S10" s="381">
        <f>2.1+890+300+1.3</f>
        <v>1193.4</v>
      </c>
      <c r="T10" s="381">
        <f>3.6+420</f>
        <v>423.6</v>
      </c>
      <c r="U10" s="381">
        <f>7.7+20</f>
        <v>27.7</v>
      </c>
      <c r="V10" s="381">
        <f>1+80</f>
        <v>81</v>
      </c>
      <c r="W10" s="379">
        <v>30.0</v>
      </c>
      <c r="X10" s="378">
        <f>5.4+540</f>
        <v>545.4</v>
      </c>
      <c r="Y10" s="382">
        <v>1120.0</v>
      </c>
      <c r="Z10" s="379">
        <f>4.3+440</f>
        <v>444.3</v>
      </c>
      <c r="AA10" s="379">
        <f>4.5+1540</f>
        <v>1544.5</v>
      </c>
      <c r="AB10" s="379">
        <f>6.7+1220+250</f>
        <v>1476.7</v>
      </c>
      <c r="AC10" s="380">
        <v>-1680.0</v>
      </c>
      <c r="AD10" s="380">
        <v>-610.0</v>
      </c>
      <c r="AE10" s="379">
        <v>590.0</v>
      </c>
      <c r="AF10" s="383">
        <v>870.0</v>
      </c>
      <c r="AG10" s="383">
        <v>1810.0</v>
      </c>
      <c r="AH10" s="383">
        <f>790+2.5</f>
        <v>792.5</v>
      </c>
      <c r="AI10" s="383">
        <v>1340.0</v>
      </c>
      <c r="AJ10" s="383">
        <v>4700.0</v>
      </c>
      <c r="AK10" s="383">
        <f>1260+4.5</f>
        <v>1264.5</v>
      </c>
      <c r="AL10" s="383">
        <v>1450.0</v>
      </c>
      <c r="AM10" s="383">
        <f>3880+5.5</f>
        <v>3885.5</v>
      </c>
      <c r="AN10" s="383">
        <f>8.3+150</f>
        <v>158.3</v>
      </c>
      <c r="AO10" s="383">
        <f>5.4+610</f>
        <v>615.4</v>
      </c>
      <c r="AP10" s="384"/>
      <c r="AQ10" s="332">
        <f>SUM(Q10:AN10)</f>
        <v>22324.1</v>
      </c>
      <c r="AR10" s="98">
        <f t="shared" si="5"/>
        <v>11815.8</v>
      </c>
      <c r="AS10" s="334">
        <v>0.0</v>
      </c>
      <c r="AT10" s="173">
        <f t="shared" si="6"/>
        <v>5463.3</v>
      </c>
      <c r="AU10" s="125"/>
      <c r="AV10" s="125"/>
      <c r="AW10" s="125"/>
      <c r="AX10" s="125"/>
      <c r="AY10" s="125"/>
      <c r="AZ10" s="125"/>
      <c r="BA10" s="125"/>
      <c r="BB10" s="125"/>
      <c r="BC10" s="125"/>
    </row>
    <row r="11">
      <c r="A11" s="125"/>
      <c r="B11" s="385" t="s">
        <v>96</v>
      </c>
      <c r="C11" s="386">
        <v>650.0</v>
      </c>
      <c r="D11" s="386">
        <f>690+691.3</f>
        <v>1381.3</v>
      </c>
      <c r="E11" s="387">
        <v>116.9</v>
      </c>
      <c r="F11" s="387">
        <f>1.4+3330</f>
        <v>3331.4</v>
      </c>
      <c r="G11" s="371">
        <v>-4720.4</v>
      </c>
      <c r="H11" s="386">
        <v>1590.0</v>
      </c>
      <c r="I11" s="388">
        <v>297.4</v>
      </c>
      <c r="J11" s="389">
        <f>4+720</f>
        <v>724</v>
      </c>
      <c r="K11" s="390">
        <v>5060.0</v>
      </c>
      <c r="L11" s="388">
        <f>1330+7.7+2.5</f>
        <v>1340.2</v>
      </c>
      <c r="M11" s="388">
        <v>162.8</v>
      </c>
      <c r="N11" s="388">
        <f>18.3+1780</f>
        <v>1798.3</v>
      </c>
      <c r="O11" s="391">
        <v>-10090.0</v>
      </c>
      <c r="P11" s="391">
        <f>-821.9-642</f>
        <v>-1463.9</v>
      </c>
      <c r="Q11" s="392">
        <f>10+8.5</f>
        <v>18.5</v>
      </c>
      <c r="R11" s="392">
        <f>6.6+90</f>
        <v>96.6</v>
      </c>
      <c r="S11" s="392">
        <f>2.8+190+40+4.3</f>
        <v>237.1</v>
      </c>
      <c r="T11" s="392">
        <v>30.0</v>
      </c>
      <c r="U11" s="392"/>
      <c r="V11" s="392">
        <v>1.7</v>
      </c>
      <c r="W11" s="388">
        <v>11.0</v>
      </c>
      <c r="X11" s="389">
        <f>1.8+160</f>
        <v>161.8</v>
      </c>
      <c r="Y11" s="393">
        <v>780.0</v>
      </c>
      <c r="Z11" s="388">
        <f>6.4+10</f>
        <v>16.4</v>
      </c>
      <c r="AA11" s="388">
        <f>6.4+240</f>
        <v>246.4</v>
      </c>
      <c r="AB11" s="388">
        <f>14.5+700+70</f>
        <v>784.5</v>
      </c>
      <c r="AC11" s="391">
        <v>-290.0</v>
      </c>
      <c r="AD11" s="391">
        <v>-230.0</v>
      </c>
      <c r="AE11" s="388">
        <f>1.3+60</f>
        <v>61.3</v>
      </c>
      <c r="AF11" s="394">
        <f>5.2+30</f>
        <v>35.2</v>
      </c>
      <c r="AG11" s="394">
        <f>150+9.1</f>
        <v>159.1</v>
      </c>
      <c r="AH11" s="394">
        <f>340+3.7</f>
        <v>343.7</v>
      </c>
      <c r="AI11" s="394">
        <f>90+6.4</f>
        <v>96.4</v>
      </c>
      <c r="AJ11" s="394">
        <f>270+3.4</f>
        <v>273.4</v>
      </c>
      <c r="AK11" s="394">
        <f>320+8.9</f>
        <v>328.9</v>
      </c>
      <c r="AL11" s="394">
        <f>1.4+100</f>
        <v>101.4</v>
      </c>
      <c r="AM11" s="394">
        <f>160+0.9</f>
        <v>160.9</v>
      </c>
      <c r="AN11" s="394">
        <v>970.0</v>
      </c>
      <c r="AO11" s="394">
        <f>5.3+910</f>
        <v>915.3</v>
      </c>
      <c r="AP11" s="395"/>
      <c r="AQ11" s="332">
        <f t="shared" ref="AQ11:AQ13" si="7">SUM(Q11:AF11)</f>
        <v>1960.5</v>
      </c>
      <c r="AR11" s="98">
        <f t="shared" si="5"/>
        <v>2983.3</v>
      </c>
      <c r="AS11" s="334">
        <f>AQ11-AR11</f>
        <v>-1022.8</v>
      </c>
      <c r="AT11" s="173">
        <f t="shared" si="6"/>
        <v>1864</v>
      </c>
      <c r="AU11" s="125"/>
      <c r="AV11" s="125"/>
      <c r="AW11" s="125"/>
      <c r="AX11" s="125"/>
      <c r="AY11" s="125"/>
      <c r="AZ11" s="125"/>
      <c r="BA11" s="125"/>
      <c r="BB11" s="125"/>
      <c r="BC11" s="125"/>
    </row>
    <row r="12">
      <c r="A12" s="125"/>
      <c r="B12" s="385" t="s">
        <v>170</v>
      </c>
      <c r="C12" s="396"/>
      <c r="D12" s="396">
        <f>23.5</f>
        <v>23.5</v>
      </c>
      <c r="E12" s="397"/>
      <c r="F12" s="397">
        <v>129.1</v>
      </c>
      <c r="G12" s="398"/>
      <c r="H12" s="396"/>
      <c r="I12" s="399">
        <v>3.4</v>
      </c>
      <c r="J12" s="400">
        <v>78.0</v>
      </c>
      <c r="K12" s="401">
        <v>14.1</v>
      </c>
      <c r="L12" s="399">
        <v>42.1</v>
      </c>
      <c r="M12" s="399"/>
      <c r="N12" s="399"/>
      <c r="O12" s="402"/>
      <c r="P12" s="402">
        <f>-294-23.6-16.1</f>
        <v>-333.7</v>
      </c>
      <c r="Q12" s="403">
        <v>24.4</v>
      </c>
      <c r="R12" s="403"/>
      <c r="S12" s="403">
        <v>18.9</v>
      </c>
      <c r="T12" s="403"/>
      <c r="U12" s="403"/>
      <c r="V12" s="403"/>
      <c r="W12" s="399"/>
      <c r="X12" s="400"/>
      <c r="Y12" s="404">
        <v>265.1</v>
      </c>
      <c r="Z12" s="399"/>
      <c r="AA12" s="399"/>
      <c r="AB12" s="399">
        <f>47.5</f>
        <v>47.5</v>
      </c>
      <c r="AC12" s="402"/>
      <c r="AD12" s="402"/>
      <c r="AE12" s="399"/>
      <c r="AF12" s="399"/>
      <c r="AG12" s="399"/>
      <c r="AH12" s="399"/>
      <c r="AI12" s="399"/>
      <c r="AJ12" s="399"/>
      <c r="AK12" s="399">
        <v>3.0</v>
      </c>
      <c r="AL12" s="399"/>
      <c r="AM12" s="399"/>
      <c r="AN12" s="399">
        <v>24.9</v>
      </c>
      <c r="AO12" s="399">
        <v>17.8</v>
      </c>
      <c r="AP12" s="400"/>
      <c r="AQ12" s="332">
        <f t="shared" si="7"/>
        <v>355.9</v>
      </c>
      <c r="AR12" s="98">
        <f t="shared" si="5"/>
        <v>355.9</v>
      </c>
      <c r="AS12" s="334">
        <v>0.0</v>
      </c>
      <c r="AT12" s="173">
        <f t="shared" si="6"/>
        <v>355.9</v>
      </c>
      <c r="AU12" s="125"/>
      <c r="AV12" s="125"/>
      <c r="AW12" s="125"/>
      <c r="AX12" s="125"/>
      <c r="AY12" s="125"/>
      <c r="AZ12" s="125"/>
      <c r="BA12" s="125"/>
      <c r="BB12" s="125"/>
      <c r="BC12" s="125"/>
    </row>
    <row r="13">
      <c r="A13" s="125"/>
      <c r="B13" s="164" t="s">
        <v>171</v>
      </c>
      <c r="C13" s="165"/>
      <c r="D13" s="405">
        <f>42.7+38.9</f>
        <v>81.6</v>
      </c>
      <c r="E13" s="405">
        <f>266.7+66.1</f>
        <v>332.8</v>
      </c>
      <c r="F13" s="406">
        <v>130.0</v>
      </c>
      <c r="G13" s="322">
        <v>-485.7</v>
      </c>
      <c r="H13" s="407">
        <f>0.8+160</f>
        <v>160.8</v>
      </c>
      <c r="I13" s="408">
        <v>7.3</v>
      </c>
      <c r="J13" s="409">
        <v>12.7</v>
      </c>
      <c r="K13" s="409">
        <v>28.2</v>
      </c>
      <c r="L13" s="408">
        <v>60.7</v>
      </c>
      <c r="M13" s="409">
        <v>2.1</v>
      </c>
      <c r="N13" s="409">
        <f>0.5+91.7</f>
        <v>92.2</v>
      </c>
      <c r="O13" s="410">
        <v>-250.0</v>
      </c>
      <c r="P13" s="410">
        <f>-138.2-100.8</f>
        <v>-239</v>
      </c>
      <c r="Q13" s="411">
        <f>280+8.8</f>
        <v>288.8</v>
      </c>
      <c r="R13" s="411">
        <v>90.0</v>
      </c>
      <c r="S13" s="411">
        <f>8.6+200+150+1.1</f>
        <v>359.7</v>
      </c>
      <c r="T13" s="411">
        <v>140.0</v>
      </c>
      <c r="U13" s="411">
        <v>200.0</v>
      </c>
      <c r="V13" s="411">
        <f>120+120+6.7</f>
        <v>246.7</v>
      </c>
      <c r="W13" s="412">
        <f>9.1+540</f>
        <v>549.1</v>
      </c>
      <c r="X13" s="413">
        <f>8.4+3260</f>
        <v>3268.4</v>
      </c>
      <c r="Y13" s="414">
        <v>4320.0</v>
      </c>
      <c r="Z13" s="415">
        <f>8+1430</f>
        <v>1438</v>
      </c>
      <c r="AA13" s="415">
        <f>170</f>
        <v>170</v>
      </c>
      <c r="AB13" s="415">
        <f>560+6.4+80</f>
        <v>646.4</v>
      </c>
      <c r="AC13" s="416"/>
      <c r="AD13" s="416">
        <v>-7870.0</v>
      </c>
      <c r="AE13" s="415">
        <f>4.1+870</f>
        <v>874.1</v>
      </c>
      <c r="AF13" s="415">
        <f>4.6+180</f>
        <v>184.6</v>
      </c>
      <c r="AG13" s="415">
        <v>80.0</v>
      </c>
      <c r="AH13" s="415">
        <f>430+3.7</f>
        <v>433.7</v>
      </c>
      <c r="AI13" s="415">
        <f>1270+7.6</f>
        <v>1277.6</v>
      </c>
      <c r="AJ13" s="415">
        <f>40+6.1</f>
        <v>46.1</v>
      </c>
      <c r="AK13" s="415">
        <f>90+4.7</f>
        <v>94.7</v>
      </c>
      <c r="AL13" s="415">
        <f>5.4+10</f>
        <v>15.4</v>
      </c>
      <c r="AM13" s="415">
        <f>10+1.4</f>
        <v>11.4</v>
      </c>
      <c r="AN13" s="415"/>
      <c r="AO13" s="415">
        <f>2.6+10</f>
        <v>12.6</v>
      </c>
      <c r="AP13" s="413"/>
      <c r="AQ13" s="332">
        <f t="shared" si="7"/>
        <v>4905.8</v>
      </c>
      <c r="AR13" s="98">
        <f t="shared" si="5"/>
        <v>13289.5</v>
      </c>
      <c r="AS13" s="334">
        <v>0.0</v>
      </c>
      <c r="AT13" s="173">
        <f t="shared" si="6"/>
        <v>3847.1</v>
      </c>
      <c r="AU13" s="125"/>
      <c r="AV13" s="125"/>
      <c r="AW13" s="125"/>
      <c r="AX13" s="125"/>
      <c r="AY13" s="125"/>
      <c r="AZ13" s="125"/>
      <c r="BA13" s="125"/>
      <c r="BB13" s="125"/>
      <c r="BC13" s="125"/>
    </row>
    <row r="14">
      <c r="A14" s="125"/>
      <c r="B14" s="174" t="s">
        <v>105</v>
      </c>
      <c r="C14" s="175"/>
      <c r="D14" s="417">
        <f>44.1+42.5</f>
        <v>86.6</v>
      </c>
      <c r="E14" s="417">
        <f>11.2+31</f>
        <v>42.2</v>
      </c>
      <c r="F14" s="418">
        <v>180.0</v>
      </c>
      <c r="G14" s="337">
        <v>-266.7</v>
      </c>
      <c r="H14" s="419">
        <f>3.8+390</f>
        <v>393.8</v>
      </c>
      <c r="I14" s="420">
        <v>72.7</v>
      </c>
      <c r="J14" s="421">
        <v>152.5</v>
      </c>
      <c r="K14" s="421">
        <v>117.4</v>
      </c>
      <c r="L14" s="420">
        <f>95.4+9</f>
        <v>104.4</v>
      </c>
      <c r="M14" s="421">
        <v>20.0</v>
      </c>
      <c r="N14" s="421">
        <f>31.7+250</f>
        <v>281.7</v>
      </c>
      <c r="O14" s="422">
        <v>-930.0</v>
      </c>
      <c r="P14" s="422">
        <f>-134.5-60</f>
        <v>-194.5</v>
      </c>
      <c r="Q14" s="423">
        <f>70+4.6</f>
        <v>74.6</v>
      </c>
      <c r="R14" s="423">
        <f>4.2+80</f>
        <v>84.2</v>
      </c>
      <c r="S14" s="423">
        <f>6.6+200+170+7.4</f>
        <v>384</v>
      </c>
      <c r="T14" s="423">
        <f>3.9+110</f>
        <v>113.9</v>
      </c>
      <c r="U14" s="423"/>
      <c r="V14" s="423">
        <v>10.0</v>
      </c>
      <c r="W14" s="424">
        <f>11+60</f>
        <v>71</v>
      </c>
      <c r="X14" s="425">
        <f>9+200</f>
        <v>209</v>
      </c>
      <c r="Y14" s="426">
        <v>580.0</v>
      </c>
      <c r="Z14" s="427">
        <v>40.0</v>
      </c>
      <c r="AA14" s="427">
        <f>3.3+100</f>
        <v>103.3</v>
      </c>
      <c r="AB14" s="427">
        <f>120+7.5+20</f>
        <v>147.5</v>
      </c>
      <c r="AC14" s="428"/>
      <c r="AD14" s="428">
        <v>-1490.0</v>
      </c>
      <c r="AE14" s="427">
        <v>160.0</v>
      </c>
      <c r="AF14" s="415">
        <v>60.0</v>
      </c>
      <c r="AG14" s="415">
        <f>170+8.5</f>
        <v>178.5</v>
      </c>
      <c r="AH14" s="415">
        <f>540+10.9</f>
        <v>550.9</v>
      </c>
      <c r="AI14" s="415">
        <v>300.0</v>
      </c>
      <c r="AJ14" s="415">
        <v>200.0</v>
      </c>
      <c r="AK14" s="415">
        <v>100.0</v>
      </c>
      <c r="AL14" s="415">
        <v>210.0</v>
      </c>
      <c r="AM14" s="415">
        <v>80.0</v>
      </c>
      <c r="AN14" s="415">
        <f>6.7+10</f>
        <v>16.7</v>
      </c>
      <c r="AO14" s="415">
        <f>5.7+20</f>
        <v>25.7</v>
      </c>
      <c r="AP14" s="413"/>
      <c r="AQ14" s="332">
        <f>SUM(Q14:AO14)</f>
        <v>2209.3</v>
      </c>
      <c r="AR14" s="98">
        <f t="shared" si="5"/>
        <v>2766.9</v>
      </c>
      <c r="AS14" s="334">
        <f>AQ14-AR14</f>
        <v>-557.6</v>
      </c>
      <c r="AT14" s="173">
        <f t="shared" si="6"/>
        <v>327.5</v>
      </c>
      <c r="AU14" s="125"/>
      <c r="AV14" s="125"/>
      <c r="AW14" s="125"/>
      <c r="AX14" s="125"/>
      <c r="AY14" s="125"/>
      <c r="AZ14" s="125"/>
      <c r="BA14" s="125"/>
      <c r="BB14" s="125"/>
      <c r="BC14" s="125"/>
    </row>
    <row r="15">
      <c r="A15" s="125"/>
      <c r="B15" s="187" t="s">
        <v>106</v>
      </c>
      <c r="C15" s="188">
        <v>70.0</v>
      </c>
      <c r="D15" s="429">
        <f>142.3+180.8</f>
        <v>323.1</v>
      </c>
      <c r="E15" s="429">
        <v>19.2</v>
      </c>
      <c r="F15" s="430">
        <f>7.2+480</f>
        <v>487.2</v>
      </c>
      <c r="G15" s="347">
        <v>-751.9</v>
      </c>
      <c r="H15" s="431">
        <f>4.5+160</f>
        <v>164.5</v>
      </c>
      <c r="I15" s="432">
        <v>92.9</v>
      </c>
      <c r="J15" s="433">
        <v>93.7</v>
      </c>
      <c r="K15" s="433">
        <v>660.0</v>
      </c>
      <c r="L15" s="432">
        <v>183.3</v>
      </c>
      <c r="M15" s="433">
        <f>10+7.1</f>
        <v>17.1</v>
      </c>
      <c r="N15" s="433">
        <f>18.1+690</f>
        <v>708.1</v>
      </c>
      <c r="O15" s="434">
        <v>-1640.0</v>
      </c>
      <c r="P15" s="434">
        <f>-304-170</f>
        <v>-474</v>
      </c>
      <c r="Q15" s="435">
        <f>30+3.5</f>
        <v>33.5</v>
      </c>
      <c r="R15" s="435">
        <f>4.1+10</f>
        <v>14.1</v>
      </c>
      <c r="S15" s="435">
        <f>30+20+2.5</f>
        <v>52.5</v>
      </c>
      <c r="T15" s="435">
        <f>1.7+10</f>
        <v>11.7</v>
      </c>
      <c r="U15" s="435"/>
      <c r="V15" s="435"/>
      <c r="W15" s="436">
        <v>6.4</v>
      </c>
      <c r="X15" s="425">
        <f>6.1+30</f>
        <v>36.1</v>
      </c>
      <c r="Y15" s="426">
        <v>550.0</v>
      </c>
      <c r="Z15" s="427">
        <v>2.1</v>
      </c>
      <c r="AA15" s="427">
        <f>2.4+10</f>
        <v>12.4</v>
      </c>
      <c r="AB15" s="427">
        <f>30</f>
        <v>30</v>
      </c>
      <c r="AC15" s="428"/>
      <c r="AD15" s="428">
        <v>-640.0</v>
      </c>
      <c r="AE15" s="427">
        <f>1.2+30</f>
        <v>31.2</v>
      </c>
      <c r="AF15" s="415">
        <v>1.0</v>
      </c>
      <c r="AG15" s="415">
        <v>2.2</v>
      </c>
      <c r="AH15" s="415">
        <f>170+1.1</f>
        <v>171.1</v>
      </c>
      <c r="AI15" s="415">
        <f>20+11</f>
        <v>31</v>
      </c>
      <c r="AJ15" s="415">
        <v>10.0</v>
      </c>
      <c r="AK15" s="415">
        <f>20+8.8</f>
        <v>28.8</v>
      </c>
      <c r="AL15" s="415">
        <v>3.9</v>
      </c>
      <c r="AM15" s="415"/>
      <c r="AN15" s="415">
        <f>1.8+60</f>
        <v>61.8</v>
      </c>
      <c r="AO15" s="415">
        <f>6.1+30</f>
        <v>36.1</v>
      </c>
      <c r="AP15" s="413"/>
      <c r="AQ15" s="332">
        <f t="shared" ref="AQ15:AQ35" si="8">SUM(Q15:AF15)</f>
        <v>141</v>
      </c>
      <c r="AR15" s="98">
        <f t="shared" si="5"/>
        <v>954.3</v>
      </c>
      <c r="AS15" s="334">
        <v>0.0</v>
      </c>
      <c r="AT15" s="173">
        <f t="shared" si="6"/>
        <v>108.8</v>
      </c>
      <c r="AU15" s="125"/>
      <c r="AV15" s="125"/>
      <c r="AW15" s="125"/>
      <c r="AX15" s="125"/>
      <c r="AY15" s="125"/>
      <c r="AZ15" s="125"/>
      <c r="BA15" s="125"/>
      <c r="BB15" s="125"/>
      <c r="BC15" s="125"/>
    </row>
    <row r="16">
      <c r="A16" s="125"/>
      <c r="B16" s="180" t="s">
        <v>172</v>
      </c>
      <c r="C16" s="437">
        <v>8.8</v>
      </c>
      <c r="D16" s="437"/>
      <c r="E16" s="437"/>
      <c r="F16" s="437"/>
      <c r="G16" s="438"/>
      <c r="H16" s="225"/>
      <c r="I16" s="439"/>
      <c r="J16" s="440">
        <v>8.8</v>
      </c>
      <c r="K16" s="440">
        <v>10.3</v>
      </c>
      <c r="L16" s="440">
        <v>60.5</v>
      </c>
      <c r="M16" s="439"/>
      <c r="N16" s="439"/>
      <c r="O16" s="441"/>
      <c r="P16" s="442">
        <f>-20.1</f>
        <v>-20.1</v>
      </c>
      <c r="Q16" s="443">
        <v>78.7</v>
      </c>
      <c r="R16" s="444"/>
      <c r="S16" s="444"/>
      <c r="T16" s="444">
        <v>2.3</v>
      </c>
      <c r="U16" s="444"/>
      <c r="V16" s="444"/>
      <c r="W16" s="439"/>
      <c r="X16" s="445"/>
      <c r="Y16" s="446">
        <v>34.1</v>
      </c>
      <c r="Z16" s="447">
        <v>3.5</v>
      </c>
      <c r="AA16" s="447"/>
      <c r="AB16" s="447">
        <f>1.3</f>
        <v>1.3</v>
      </c>
      <c r="AC16" s="448"/>
      <c r="AD16" s="448"/>
      <c r="AE16" s="447"/>
      <c r="AF16" s="447"/>
      <c r="AG16" s="447"/>
      <c r="AH16" s="447"/>
      <c r="AI16" s="447"/>
      <c r="AJ16" s="447"/>
      <c r="AK16" s="447"/>
      <c r="AL16" s="447"/>
      <c r="AM16" s="447"/>
      <c r="AN16" s="447">
        <v>2.3</v>
      </c>
      <c r="AO16" s="447">
        <v>2.7</v>
      </c>
      <c r="AP16" s="449"/>
      <c r="AQ16" s="332">
        <f t="shared" si="8"/>
        <v>119.9</v>
      </c>
      <c r="AR16" s="98">
        <f t="shared" si="5"/>
        <v>119.9</v>
      </c>
      <c r="AS16" s="334">
        <f>AQ16-AR16</f>
        <v>0</v>
      </c>
      <c r="AT16" s="173">
        <f t="shared" si="6"/>
        <v>119.9</v>
      </c>
      <c r="AU16" s="125"/>
      <c r="AV16" s="125"/>
      <c r="AW16" s="125"/>
      <c r="AX16" s="125"/>
      <c r="AY16" s="125"/>
      <c r="AZ16" s="125"/>
      <c r="BA16" s="125"/>
      <c r="BB16" s="125"/>
      <c r="BC16" s="125"/>
    </row>
    <row r="17">
      <c r="A17" s="194"/>
      <c r="B17" s="90" t="s">
        <v>173</v>
      </c>
      <c r="C17" s="91"/>
      <c r="D17" s="320">
        <v>15.7</v>
      </c>
      <c r="E17" s="320">
        <v>80.1</v>
      </c>
      <c r="F17" s="320"/>
      <c r="G17" s="450"/>
      <c r="H17" s="325">
        <f>6.3+40</f>
        <v>46.3</v>
      </c>
      <c r="I17" s="330">
        <v>3.8</v>
      </c>
      <c r="J17" s="330"/>
      <c r="K17" s="330"/>
      <c r="L17" s="330"/>
      <c r="M17" s="330"/>
      <c r="N17" s="330"/>
      <c r="O17" s="331">
        <v>-140.0</v>
      </c>
      <c r="P17" s="327">
        <f>-18.1</f>
        <v>-18.1</v>
      </c>
      <c r="Q17" s="451"/>
      <c r="R17" s="452"/>
      <c r="S17" s="452"/>
      <c r="T17" s="452"/>
      <c r="U17" s="452"/>
      <c r="V17" s="452"/>
      <c r="W17" s="330"/>
      <c r="X17" s="358"/>
      <c r="Y17" s="453"/>
      <c r="Z17" s="357"/>
      <c r="AA17" s="357"/>
      <c r="AB17" s="357"/>
      <c r="AC17" s="454"/>
      <c r="AD17" s="454"/>
      <c r="AE17" s="357"/>
      <c r="AF17" s="357"/>
      <c r="AG17" s="357">
        <f>80+6</f>
        <v>86</v>
      </c>
      <c r="AH17" s="357"/>
      <c r="AI17" s="357"/>
      <c r="AJ17" s="357">
        <v>70.0</v>
      </c>
      <c r="AK17" s="357"/>
      <c r="AL17" s="357">
        <f>30+3.4</f>
        <v>33.4</v>
      </c>
      <c r="AM17" s="357"/>
      <c r="AN17" s="357"/>
      <c r="AO17" s="357"/>
      <c r="AP17" s="358"/>
      <c r="AQ17" s="332">
        <f t="shared" si="8"/>
        <v>0</v>
      </c>
      <c r="AR17" s="98">
        <f t="shared" si="5"/>
        <v>86</v>
      </c>
      <c r="AS17" s="334">
        <v>0.0</v>
      </c>
      <c r="AT17" s="173">
        <f t="shared" si="6"/>
        <v>0</v>
      </c>
      <c r="AU17" s="455"/>
      <c r="AV17" s="194"/>
      <c r="AW17" s="194"/>
      <c r="AX17" s="194"/>
      <c r="AY17" s="194"/>
      <c r="AZ17" s="194"/>
      <c r="BA17" s="194"/>
      <c r="BB17" s="194"/>
      <c r="BC17" s="194"/>
    </row>
    <row r="18">
      <c r="A18" s="194"/>
      <c r="B18" s="99" t="s">
        <v>174</v>
      </c>
      <c r="C18" s="100"/>
      <c r="D18" s="335"/>
      <c r="E18" s="335"/>
      <c r="F18" s="335"/>
      <c r="G18" s="456"/>
      <c r="H18" s="100"/>
      <c r="I18" s="457">
        <v>1.7</v>
      </c>
      <c r="J18" s="457"/>
      <c r="K18" s="457"/>
      <c r="L18" s="457"/>
      <c r="M18" s="457"/>
      <c r="N18" s="457"/>
      <c r="O18" s="458"/>
      <c r="P18" s="459"/>
      <c r="Q18" s="460"/>
      <c r="R18" s="461"/>
      <c r="S18" s="461"/>
      <c r="T18" s="461"/>
      <c r="U18" s="461"/>
      <c r="V18" s="461"/>
      <c r="W18" s="457"/>
      <c r="X18" s="462"/>
      <c r="Y18" s="463"/>
      <c r="Z18" s="464"/>
      <c r="AA18" s="464"/>
      <c r="AB18" s="464"/>
      <c r="AC18" s="465"/>
      <c r="AD18" s="465"/>
      <c r="AE18" s="464"/>
      <c r="AF18" s="466"/>
      <c r="AG18" s="466">
        <v>3.8</v>
      </c>
      <c r="AH18" s="466"/>
      <c r="AI18" s="466"/>
      <c r="AJ18" s="466"/>
      <c r="AK18" s="466"/>
      <c r="AL18" s="466"/>
      <c r="AM18" s="466"/>
      <c r="AN18" s="466"/>
      <c r="AO18" s="466"/>
      <c r="AP18" s="467"/>
      <c r="AQ18" s="332">
        <f t="shared" si="8"/>
        <v>0</v>
      </c>
      <c r="AR18" s="98">
        <f t="shared" si="5"/>
        <v>3.8</v>
      </c>
      <c r="AS18" s="334">
        <f t="shared" ref="AS18:AS23" si="9">AQ18-AR18</f>
        <v>-3.8</v>
      </c>
      <c r="AT18" s="173">
        <f t="shared" si="6"/>
        <v>0</v>
      </c>
      <c r="AU18" s="455"/>
      <c r="AV18" s="194"/>
      <c r="AW18" s="194"/>
      <c r="AX18" s="194"/>
      <c r="AY18" s="194"/>
      <c r="AZ18" s="194"/>
      <c r="BA18" s="194"/>
      <c r="BB18" s="194"/>
      <c r="BC18" s="194"/>
    </row>
    <row r="19">
      <c r="A19" s="194"/>
      <c r="B19" s="106" t="s">
        <v>175</v>
      </c>
      <c r="C19" s="107"/>
      <c r="D19" s="345"/>
      <c r="E19" s="345"/>
      <c r="F19" s="345"/>
      <c r="G19" s="468"/>
      <c r="H19" s="107"/>
      <c r="I19" s="469"/>
      <c r="J19" s="469"/>
      <c r="K19" s="469"/>
      <c r="L19" s="469"/>
      <c r="M19" s="469"/>
      <c r="N19" s="469"/>
      <c r="O19" s="470"/>
      <c r="P19" s="471"/>
      <c r="Q19" s="472"/>
      <c r="R19" s="473"/>
      <c r="S19" s="473"/>
      <c r="T19" s="473"/>
      <c r="U19" s="473"/>
      <c r="V19" s="473"/>
      <c r="W19" s="469"/>
      <c r="X19" s="107"/>
      <c r="Y19" s="474"/>
      <c r="Z19" s="469"/>
      <c r="AA19" s="469"/>
      <c r="AB19" s="469"/>
      <c r="AC19" s="470"/>
      <c r="AD19" s="470"/>
      <c r="AE19" s="469"/>
      <c r="AF19" s="475"/>
      <c r="AG19" s="475"/>
      <c r="AH19" s="475"/>
      <c r="AI19" s="475"/>
      <c r="AJ19" s="475"/>
      <c r="AK19" s="475"/>
      <c r="AL19" s="475"/>
      <c r="AM19" s="475"/>
      <c r="AN19" s="475"/>
      <c r="AO19" s="475"/>
      <c r="AP19" s="476"/>
      <c r="AQ19" s="332">
        <f t="shared" si="8"/>
        <v>0</v>
      </c>
      <c r="AR19" s="98">
        <f t="shared" si="5"/>
        <v>0</v>
      </c>
      <c r="AS19" s="334">
        <f t="shared" si="9"/>
        <v>0</v>
      </c>
      <c r="AT19" s="173">
        <f t="shared" si="6"/>
        <v>0</v>
      </c>
      <c r="AU19" s="455"/>
      <c r="AV19" s="194"/>
      <c r="AW19" s="194"/>
      <c r="AX19" s="194"/>
      <c r="AY19" s="194"/>
      <c r="AZ19" s="194"/>
      <c r="BA19" s="194"/>
      <c r="BB19" s="194"/>
      <c r="BC19" s="194"/>
    </row>
    <row r="20" ht="15.75" customHeight="1">
      <c r="A20" s="25"/>
      <c r="B20" s="198" t="s">
        <v>113</v>
      </c>
      <c r="C20" s="218"/>
      <c r="D20" s="477"/>
      <c r="E20" s="477"/>
      <c r="F20" s="477"/>
      <c r="G20" s="478"/>
      <c r="H20" s="218"/>
      <c r="I20" s="479"/>
      <c r="J20" s="479"/>
      <c r="K20" s="479"/>
      <c r="L20" s="479"/>
      <c r="M20" s="479"/>
      <c r="N20" s="479"/>
      <c r="O20" s="480"/>
      <c r="P20" s="480"/>
      <c r="Q20" s="481"/>
      <c r="R20" s="481"/>
      <c r="S20" s="481"/>
      <c r="T20" s="481"/>
      <c r="U20" s="481"/>
      <c r="V20" s="481"/>
      <c r="W20" s="479"/>
      <c r="X20" s="218"/>
      <c r="Y20" s="482"/>
      <c r="Z20" s="479"/>
      <c r="AA20" s="479"/>
      <c r="AB20" s="479"/>
      <c r="AC20" s="480"/>
      <c r="AD20" s="480"/>
      <c r="AE20" s="479"/>
      <c r="AF20" s="479"/>
      <c r="AG20" s="479"/>
      <c r="AH20" s="479"/>
      <c r="AI20" s="479"/>
      <c r="AJ20" s="479"/>
      <c r="AK20" s="479"/>
      <c r="AL20" s="479"/>
      <c r="AM20" s="479"/>
      <c r="AN20" s="479"/>
      <c r="AO20" s="479"/>
      <c r="AP20" s="218"/>
      <c r="AQ20" s="332">
        <f t="shared" si="8"/>
        <v>0</v>
      </c>
      <c r="AR20" s="98">
        <f t="shared" si="5"/>
        <v>0</v>
      </c>
      <c r="AS20" s="334">
        <f t="shared" si="9"/>
        <v>0</v>
      </c>
      <c r="AT20" s="173">
        <f t="shared" si="6"/>
        <v>0</v>
      </c>
      <c r="AU20" s="455"/>
      <c r="AV20" s="25"/>
      <c r="AW20" s="25"/>
      <c r="AX20" s="25"/>
      <c r="AY20" s="25"/>
      <c r="AZ20" s="25"/>
      <c r="BA20" s="25"/>
      <c r="BB20" s="25"/>
      <c r="BC20" s="25"/>
    </row>
    <row r="21" ht="15.75" customHeight="1">
      <c r="A21" s="194"/>
      <c r="B21" s="198" t="s">
        <v>176</v>
      </c>
      <c r="C21" s="199"/>
      <c r="D21" s="370"/>
      <c r="E21" s="370"/>
      <c r="F21" s="370">
        <f>3.8+10</f>
        <v>13.8</v>
      </c>
      <c r="G21" s="483"/>
      <c r="H21" s="199">
        <v>70.0</v>
      </c>
      <c r="I21" s="484"/>
      <c r="J21" s="485">
        <v>3.5</v>
      </c>
      <c r="K21" s="485">
        <v>16.4</v>
      </c>
      <c r="L21" s="484"/>
      <c r="M21" s="484"/>
      <c r="N21" s="485">
        <v>6.3</v>
      </c>
      <c r="O21" s="486">
        <v>-70.0</v>
      </c>
      <c r="P21" s="374">
        <f>-17.6-1.8</f>
        <v>-19.4</v>
      </c>
      <c r="Q21" s="487"/>
      <c r="R21" s="487">
        <v>90.0</v>
      </c>
      <c r="S21" s="375">
        <f>11.6+60+60</f>
        <v>131.6</v>
      </c>
      <c r="T21" s="487">
        <v>2.1</v>
      </c>
      <c r="U21" s="375">
        <v>1.2</v>
      </c>
      <c r="V21" s="487"/>
      <c r="W21" s="373">
        <f>1.7+20</f>
        <v>21.7</v>
      </c>
      <c r="X21" s="488">
        <f>5.2+50</f>
        <v>55.2</v>
      </c>
      <c r="Y21" s="482">
        <v>90.0</v>
      </c>
      <c r="Z21" s="489">
        <f>7.4+70</f>
        <v>77.4</v>
      </c>
      <c r="AA21" s="489">
        <f>8.1+5+140</f>
        <v>153.1</v>
      </c>
      <c r="AB21" s="489">
        <f>4.2+460+90</f>
        <v>554.2</v>
      </c>
      <c r="AC21" s="490"/>
      <c r="AD21" s="490"/>
      <c r="AE21" s="489">
        <v>40.0</v>
      </c>
      <c r="AF21" s="489">
        <v>30.0</v>
      </c>
      <c r="AG21" s="489">
        <f>340+1.2</f>
        <v>341.2</v>
      </c>
      <c r="AH21" s="489">
        <f>210+3.9</f>
        <v>213.9</v>
      </c>
      <c r="AI21" s="489">
        <v>90.0</v>
      </c>
      <c r="AJ21" s="489">
        <f>30+3</f>
        <v>33</v>
      </c>
      <c r="AK21" s="489">
        <v>30.0</v>
      </c>
      <c r="AL21" s="489">
        <v>50.0</v>
      </c>
      <c r="AM21" s="489">
        <v>20.0</v>
      </c>
      <c r="AN21" s="489">
        <v>5.6</v>
      </c>
      <c r="AO21" s="489">
        <v>6.5</v>
      </c>
      <c r="AP21" s="488"/>
      <c r="AQ21" s="332">
        <f t="shared" si="8"/>
        <v>1246.5</v>
      </c>
      <c r="AR21" s="98">
        <f t="shared" si="5"/>
        <v>1801.6</v>
      </c>
      <c r="AS21" s="334">
        <f t="shared" si="9"/>
        <v>-555.1</v>
      </c>
      <c r="AT21" s="173">
        <f t="shared" si="6"/>
        <v>1176.5</v>
      </c>
      <c r="AU21" s="455"/>
      <c r="AV21" s="194"/>
      <c r="AW21" s="194"/>
      <c r="AX21" s="194"/>
      <c r="AY21" s="194"/>
      <c r="AZ21" s="194"/>
      <c r="BA21" s="194"/>
      <c r="BB21" s="194"/>
      <c r="BC21" s="194"/>
    </row>
    <row r="22" ht="15.75" customHeight="1">
      <c r="A22" s="25"/>
      <c r="B22" s="126" t="s">
        <v>177</v>
      </c>
      <c r="C22" s="127">
        <v>10.0</v>
      </c>
      <c r="D22" s="377">
        <v>3.2</v>
      </c>
      <c r="E22" s="377"/>
      <c r="F22" s="377"/>
      <c r="G22" s="491"/>
      <c r="H22" s="492">
        <f>12.2+20</f>
        <v>32.2</v>
      </c>
      <c r="I22" s="493"/>
      <c r="J22" s="493"/>
      <c r="K22" s="493"/>
      <c r="L22" s="493">
        <f>21.4+6.3</f>
        <v>27.7</v>
      </c>
      <c r="M22" s="493"/>
      <c r="N22" s="493"/>
      <c r="O22" s="494">
        <v>-40.0</v>
      </c>
      <c r="P22" s="494">
        <f>-30.3</f>
        <v>-30.3</v>
      </c>
      <c r="Q22" s="495">
        <v>30.0</v>
      </c>
      <c r="R22" s="495">
        <v>50.0</v>
      </c>
      <c r="S22" s="495">
        <f>10.5+50+4.2</f>
        <v>64.7</v>
      </c>
      <c r="T22" s="495">
        <v>1.3</v>
      </c>
      <c r="U22" s="495">
        <v>880.0</v>
      </c>
      <c r="V22" s="495">
        <f>7.6+280</f>
        <v>287.6</v>
      </c>
      <c r="W22" s="493">
        <f>7.5+30</f>
        <v>37.5</v>
      </c>
      <c r="X22" s="496">
        <f>4.3+130</f>
        <v>134.3</v>
      </c>
      <c r="Y22" s="393">
        <v>170.0</v>
      </c>
      <c r="Z22" s="497">
        <f>4.3+170</f>
        <v>174.3</v>
      </c>
      <c r="AA22" s="497">
        <f>4.6+430</f>
        <v>434.6</v>
      </c>
      <c r="AB22" s="497">
        <f>180+80</f>
        <v>260</v>
      </c>
      <c r="AC22" s="498"/>
      <c r="AD22" s="498"/>
      <c r="AE22" s="497">
        <f>2.5+10</f>
        <v>12.5</v>
      </c>
      <c r="AF22" s="489">
        <v>120.0</v>
      </c>
      <c r="AG22" s="489">
        <v>160.0</v>
      </c>
      <c r="AH22" s="489">
        <v>70.0</v>
      </c>
      <c r="AI22" s="489">
        <v>50.0</v>
      </c>
      <c r="AJ22" s="489">
        <v>150.0</v>
      </c>
      <c r="AK22" s="489">
        <f>6.8+20</f>
        <v>26.8</v>
      </c>
      <c r="AL22" s="489">
        <v>40.0</v>
      </c>
      <c r="AM22" s="489"/>
      <c r="AN22" s="489"/>
      <c r="AO22" s="489">
        <v>2.1</v>
      </c>
      <c r="AP22" s="488"/>
      <c r="AQ22" s="332">
        <f t="shared" si="8"/>
        <v>2656.8</v>
      </c>
      <c r="AR22" s="98">
        <f t="shared" si="5"/>
        <v>2886.8</v>
      </c>
      <c r="AS22" s="334">
        <f t="shared" si="9"/>
        <v>-230</v>
      </c>
      <c r="AT22" s="173">
        <f t="shared" si="6"/>
        <v>2524.3</v>
      </c>
      <c r="AU22" s="455"/>
      <c r="AV22" s="25"/>
      <c r="AW22" s="25"/>
      <c r="AX22" s="25"/>
      <c r="AY22" s="25"/>
      <c r="AZ22" s="25"/>
      <c r="BA22" s="25"/>
      <c r="BB22" s="25"/>
      <c r="BC22" s="25"/>
    </row>
    <row r="23" ht="15.75" customHeight="1">
      <c r="A23" s="194"/>
      <c r="B23" s="198" t="s">
        <v>178</v>
      </c>
      <c r="C23" s="199"/>
      <c r="D23" s="370"/>
      <c r="E23" s="370"/>
      <c r="F23" s="370"/>
      <c r="G23" s="483"/>
      <c r="H23" s="199"/>
      <c r="I23" s="484"/>
      <c r="J23" s="484"/>
      <c r="K23" s="484"/>
      <c r="L23" s="484"/>
      <c r="M23" s="484"/>
      <c r="N23" s="484"/>
      <c r="O23" s="486"/>
      <c r="P23" s="486"/>
      <c r="Q23" s="495">
        <f>20+8.9</f>
        <v>28.9</v>
      </c>
      <c r="R23" s="487"/>
      <c r="S23" s="487"/>
      <c r="T23" s="487"/>
      <c r="U23" s="375">
        <f>5.3+50</f>
        <v>55.3</v>
      </c>
      <c r="V23" s="499">
        <f>4.4+110</f>
        <v>114.4</v>
      </c>
      <c r="W23" s="373">
        <v>8.4</v>
      </c>
      <c r="X23" s="488"/>
      <c r="Y23" s="482">
        <v>10.0</v>
      </c>
      <c r="Z23" s="489">
        <v>10.0</v>
      </c>
      <c r="AA23" s="489"/>
      <c r="AB23" s="489"/>
      <c r="AC23" s="490"/>
      <c r="AD23" s="490"/>
      <c r="AE23" s="489"/>
      <c r="AF23" s="489"/>
      <c r="AG23" s="489"/>
      <c r="AH23" s="489"/>
      <c r="AI23" s="489">
        <v>10.0</v>
      </c>
      <c r="AJ23" s="489">
        <v>30.0</v>
      </c>
      <c r="AK23" s="489"/>
      <c r="AL23" s="489"/>
      <c r="AM23" s="489"/>
      <c r="AN23" s="489"/>
      <c r="AO23" s="489"/>
      <c r="AP23" s="488"/>
      <c r="AQ23" s="332">
        <f t="shared" si="8"/>
        <v>227</v>
      </c>
      <c r="AR23" s="98">
        <f t="shared" si="5"/>
        <v>227</v>
      </c>
      <c r="AS23" s="334">
        <f t="shared" si="9"/>
        <v>0</v>
      </c>
      <c r="AT23" s="173">
        <f t="shared" si="6"/>
        <v>227</v>
      </c>
      <c r="AU23" s="455"/>
      <c r="AV23" s="194"/>
      <c r="AW23" s="194"/>
      <c r="AX23" s="194"/>
      <c r="AY23" s="194"/>
      <c r="AZ23" s="194"/>
      <c r="BA23" s="194"/>
      <c r="BB23" s="194"/>
      <c r="BC23" s="194"/>
    </row>
    <row r="24" ht="15.75" customHeight="1">
      <c r="A24" s="500"/>
      <c r="B24" s="501" t="s">
        <v>179</v>
      </c>
      <c r="C24" s="502"/>
      <c r="D24" s="503"/>
      <c r="E24" s="503"/>
      <c r="F24" s="503">
        <v>14.0</v>
      </c>
      <c r="G24" s="504"/>
      <c r="H24" s="505">
        <f>9.2+20</f>
        <v>29.2</v>
      </c>
      <c r="I24" s="506"/>
      <c r="J24" s="506"/>
      <c r="K24" s="506">
        <v>2.9</v>
      </c>
      <c r="L24" s="506"/>
      <c r="M24" s="506"/>
      <c r="N24" s="506">
        <v>7.7</v>
      </c>
      <c r="O24" s="507">
        <v>-20.0</v>
      </c>
      <c r="P24" s="507">
        <f>-35.4</f>
        <v>-35.4</v>
      </c>
      <c r="Q24" s="495"/>
      <c r="R24" s="508">
        <v>10.0</v>
      </c>
      <c r="S24" s="508">
        <f>10+2.3</f>
        <v>12.3</v>
      </c>
      <c r="T24" s="508">
        <v>3.2</v>
      </c>
      <c r="U24" s="508"/>
      <c r="V24" s="508"/>
      <c r="W24" s="506">
        <v>5.0</v>
      </c>
      <c r="X24" s="509"/>
      <c r="Y24" s="510">
        <v>20.0</v>
      </c>
      <c r="Z24" s="511">
        <v>7.1</v>
      </c>
      <c r="AA24" s="511">
        <v>7.1</v>
      </c>
      <c r="AB24" s="511">
        <f>70+8.9+30</f>
        <v>108.9</v>
      </c>
      <c r="AC24" s="512"/>
      <c r="AD24" s="512"/>
      <c r="AE24" s="511">
        <f>4.5+70</f>
        <v>74.5</v>
      </c>
      <c r="AF24" s="513">
        <f>1.8+20</f>
        <v>21.8</v>
      </c>
      <c r="AG24" s="513">
        <v>40.0</v>
      </c>
      <c r="AH24" s="513">
        <f>60+2.5</f>
        <v>62.5</v>
      </c>
      <c r="AI24" s="513">
        <v>20.0</v>
      </c>
      <c r="AJ24" s="513"/>
      <c r="AK24" s="513"/>
      <c r="AL24" s="513">
        <f>3.3+20</f>
        <v>23.3</v>
      </c>
      <c r="AM24" s="513"/>
      <c r="AN24" s="513"/>
      <c r="AO24" s="513"/>
      <c r="AP24" s="514"/>
      <c r="AQ24" s="332">
        <f t="shared" si="8"/>
        <v>269.9</v>
      </c>
      <c r="AR24" s="98">
        <f t="shared" si="5"/>
        <v>372.4</v>
      </c>
      <c r="AS24" s="334">
        <v>0.0</v>
      </c>
      <c r="AT24" s="173">
        <f t="shared" si="6"/>
        <v>173.6</v>
      </c>
      <c r="AU24" s="515"/>
      <c r="AV24" s="500"/>
      <c r="AW24" s="500"/>
      <c r="AX24" s="500"/>
      <c r="AY24" s="500"/>
      <c r="AZ24" s="500"/>
      <c r="BA24" s="500"/>
      <c r="BB24" s="500"/>
      <c r="BC24" s="500"/>
    </row>
    <row r="25" ht="15.75" customHeight="1">
      <c r="A25" s="500"/>
      <c r="B25" s="501" t="s">
        <v>180</v>
      </c>
      <c r="C25" s="516"/>
      <c r="D25" s="517">
        <v>8.5</v>
      </c>
      <c r="E25" s="517">
        <v>1.6</v>
      </c>
      <c r="F25" s="517"/>
      <c r="G25" s="518"/>
      <c r="H25" s="509">
        <f>7.1+40</f>
        <v>47.1</v>
      </c>
      <c r="I25" s="511"/>
      <c r="J25" s="511">
        <v>11.2</v>
      </c>
      <c r="K25" s="511">
        <v>3.3</v>
      </c>
      <c r="L25" s="511">
        <v>5.2</v>
      </c>
      <c r="M25" s="511">
        <v>1.9</v>
      </c>
      <c r="N25" s="511">
        <v>7.6</v>
      </c>
      <c r="O25" s="512">
        <v>-70.0</v>
      </c>
      <c r="P25" s="512">
        <f>-44.6</f>
        <v>-44.6</v>
      </c>
      <c r="Q25" s="519"/>
      <c r="R25" s="519">
        <v>30.0</v>
      </c>
      <c r="S25" s="519">
        <f>2.8+50+10</f>
        <v>62.8</v>
      </c>
      <c r="T25" s="519">
        <f>1.3+10</f>
        <v>11.3</v>
      </c>
      <c r="U25" s="519">
        <v>210.0</v>
      </c>
      <c r="V25" s="519">
        <f>3.7+10</f>
        <v>13.7</v>
      </c>
      <c r="W25" s="511">
        <f>2.5+60</f>
        <v>62.5</v>
      </c>
      <c r="X25" s="509">
        <f>9.7+170</f>
        <v>179.7</v>
      </c>
      <c r="Y25" s="510">
        <v>300.0</v>
      </c>
      <c r="Z25" s="511">
        <v>140.0</v>
      </c>
      <c r="AA25" s="511">
        <f>6.5+60</f>
        <v>66.5</v>
      </c>
      <c r="AB25" s="511">
        <f>210+9.6+40</f>
        <v>259.6</v>
      </c>
      <c r="AC25" s="512"/>
      <c r="AD25" s="512"/>
      <c r="AE25" s="511">
        <f>9.4+100</f>
        <v>109.4</v>
      </c>
      <c r="AF25" s="513">
        <f>5.3+60</f>
        <v>65.3</v>
      </c>
      <c r="AG25" s="513">
        <f>130+2.7</f>
        <v>132.7</v>
      </c>
      <c r="AH25" s="513">
        <f>100+7.8</f>
        <v>107.8</v>
      </c>
      <c r="AI25" s="513">
        <v>100.0</v>
      </c>
      <c r="AJ25" s="513"/>
      <c r="AK25" s="513">
        <v>5.8</v>
      </c>
      <c r="AL25" s="513">
        <v>70.0</v>
      </c>
      <c r="AM25" s="513">
        <v>1.4</v>
      </c>
      <c r="AN25" s="513"/>
      <c r="AO25" s="513"/>
      <c r="AP25" s="514"/>
      <c r="AQ25" s="332">
        <f t="shared" si="8"/>
        <v>1510.8</v>
      </c>
      <c r="AR25" s="98">
        <f t="shared" si="5"/>
        <v>1751.3</v>
      </c>
      <c r="AS25" s="334">
        <v>0.0</v>
      </c>
      <c r="AT25" s="173">
        <f t="shared" si="6"/>
        <v>1336.1</v>
      </c>
      <c r="AU25" s="515"/>
      <c r="AV25" s="500"/>
      <c r="AW25" s="500"/>
      <c r="AX25" s="500"/>
      <c r="AY25" s="500"/>
      <c r="AZ25" s="500"/>
      <c r="BA25" s="500"/>
      <c r="BB25" s="500"/>
      <c r="BC25" s="500"/>
    </row>
    <row r="26" ht="15.75" customHeight="1">
      <c r="A26" s="500"/>
      <c r="B26" s="520" t="s">
        <v>181</v>
      </c>
      <c r="C26" s="521"/>
      <c r="D26" s="522">
        <v>10.3</v>
      </c>
      <c r="E26" s="522">
        <f>3.5+22.7</f>
        <v>26.2</v>
      </c>
      <c r="F26" s="522">
        <v>1.4</v>
      </c>
      <c r="G26" s="523"/>
      <c r="H26" s="521"/>
      <c r="I26" s="524"/>
      <c r="J26" s="524"/>
      <c r="K26" s="524"/>
      <c r="L26" s="525">
        <v>2.6</v>
      </c>
      <c r="M26" s="524"/>
      <c r="N26" s="524"/>
      <c r="O26" s="526"/>
      <c r="P26" s="527">
        <f>-1.4-2.1</f>
        <v>-3.5</v>
      </c>
      <c r="Q26" s="528">
        <v>60.0</v>
      </c>
      <c r="R26" s="528"/>
      <c r="S26" s="528"/>
      <c r="T26" s="528"/>
      <c r="U26" s="528">
        <f>30+2.9</f>
        <v>32.9</v>
      </c>
      <c r="V26" s="529">
        <f>10.5+70</f>
        <v>80.5</v>
      </c>
      <c r="W26" s="530">
        <f>1.4+60</f>
        <v>61.4</v>
      </c>
      <c r="X26" s="509">
        <f>2+10</f>
        <v>12</v>
      </c>
      <c r="Y26" s="510">
        <v>50.0</v>
      </c>
      <c r="Z26" s="511">
        <f>6.8+30</f>
        <v>36.8</v>
      </c>
      <c r="AA26" s="511"/>
      <c r="AB26" s="511">
        <f>10+10</f>
        <v>20</v>
      </c>
      <c r="AC26" s="512"/>
      <c r="AD26" s="512"/>
      <c r="AE26" s="511"/>
      <c r="AF26" s="513">
        <f>6+30</f>
        <v>36</v>
      </c>
      <c r="AG26" s="513"/>
      <c r="AH26" s="513">
        <v>5.4</v>
      </c>
      <c r="AI26" s="513">
        <v>20.0</v>
      </c>
      <c r="AJ26" s="513">
        <v>30.0</v>
      </c>
      <c r="AK26" s="513"/>
      <c r="AL26" s="513"/>
      <c r="AM26" s="513"/>
      <c r="AN26" s="513"/>
      <c r="AO26" s="513"/>
      <c r="AP26" s="514"/>
      <c r="AQ26" s="332">
        <f t="shared" si="8"/>
        <v>389.6</v>
      </c>
      <c r="AR26" s="98">
        <f t="shared" si="5"/>
        <v>395</v>
      </c>
      <c r="AS26" s="334">
        <f>AQ26-AR26</f>
        <v>-5.4</v>
      </c>
      <c r="AT26" s="173">
        <f t="shared" si="6"/>
        <v>353.6</v>
      </c>
      <c r="AU26" s="515"/>
      <c r="AV26" s="500"/>
      <c r="AW26" s="500"/>
      <c r="AX26" s="500"/>
      <c r="AY26" s="500"/>
      <c r="AZ26" s="500"/>
      <c r="BA26" s="500"/>
      <c r="BB26" s="500"/>
      <c r="BC26" s="500"/>
    </row>
    <row r="27" ht="15.75" customHeight="1">
      <c r="A27" s="531"/>
      <c r="B27" s="532" t="s">
        <v>182</v>
      </c>
      <c r="C27" s="533"/>
      <c r="D27" s="534">
        <v>6.2</v>
      </c>
      <c r="E27" s="534"/>
      <c r="F27" s="534"/>
      <c r="G27" s="371">
        <f>-26.2</f>
        <v>-26.2</v>
      </c>
      <c r="H27" s="533">
        <v>10.0</v>
      </c>
      <c r="I27" s="535"/>
      <c r="J27" s="535"/>
      <c r="K27" s="535"/>
      <c r="L27" s="535"/>
      <c r="M27" s="535"/>
      <c r="N27" s="535"/>
      <c r="O27" s="536"/>
      <c r="P27" s="536"/>
      <c r="Q27" s="537"/>
      <c r="R27" s="537"/>
      <c r="S27" s="537"/>
      <c r="T27" s="537"/>
      <c r="U27" s="537">
        <v>10.0</v>
      </c>
      <c r="V27" s="537"/>
      <c r="W27" s="535"/>
      <c r="X27" s="538"/>
      <c r="Y27" s="539"/>
      <c r="Z27" s="540"/>
      <c r="AA27" s="540"/>
      <c r="AB27" s="540"/>
      <c r="AC27" s="541"/>
      <c r="AD27" s="541"/>
      <c r="AE27" s="540"/>
      <c r="AF27" s="540"/>
      <c r="AG27" s="540"/>
      <c r="AH27" s="540"/>
      <c r="AI27" s="540"/>
      <c r="AJ27" s="540"/>
      <c r="AK27" s="540"/>
      <c r="AL27" s="540"/>
      <c r="AM27" s="540"/>
      <c r="AN27" s="540"/>
      <c r="AO27" s="540"/>
      <c r="AP27" s="538"/>
      <c r="AQ27" s="332">
        <f t="shared" si="8"/>
        <v>10</v>
      </c>
      <c r="AR27" s="98">
        <f t="shared" si="5"/>
        <v>10</v>
      </c>
      <c r="AS27" s="334">
        <v>0.0</v>
      </c>
      <c r="AT27" s="173">
        <f t="shared" si="6"/>
        <v>10</v>
      </c>
      <c r="AU27" s="542"/>
      <c r="AV27" s="531"/>
      <c r="AW27" s="531"/>
      <c r="AX27" s="531"/>
      <c r="AY27" s="531"/>
      <c r="AZ27" s="531"/>
      <c r="BA27" s="531"/>
      <c r="BB27" s="531"/>
      <c r="BC27" s="531"/>
    </row>
    <row r="28" ht="15.75" customHeight="1">
      <c r="A28" s="531"/>
      <c r="B28" s="532" t="s">
        <v>183</v>
      </c>
      <c r="C28" s="533"/>
      <c r="D28" s="534">
        <v>20.6</v>
      </c>
      <c r="E28" s="534"/>
      <c r="F28" s="534"/>
      <c r="G28" s="371">
        <v>-23.6</v>
      </c>
      <c r="H28" s="533"/>
      <c r="I28" s="535"/>
      <c r="J28" s="535"/>
      <c r="K28" s="535"/>
      <c r="L28" s="535"/>
      <c r="M28" s="535"/>
      <c r="N28" s="535"/>
      <c r="O28" s="536"/>
      <c r="P28" s="536"/>
      <c r="Q28" s="537"/>
      <c r="R28" s="537"/>
      <c r="S28" s="537"/>
      <c r="T28" s="537"/>
      <c r="U28" s="537">
        <v>10.0</v>
      </c>
      <c r="V28" s="537"/>
      <c r="W28" s="535"/>
      <c r="X28" s="533"/>
      <c r="Y28" s="543"/>
      <c r="Z28" s="535"/>
      <c r="AA28" s="535"/>
      <c r="AB28" s="535"/>
      <c r="AC28" s="536"/>
      <c r="AD28" s="536"/>
      <c r="AE28" s="535"/>
      <c r="AF28" s="535"/>
      <c r="AG28" s="535"/>
      <c r="AH28" s="535"/>
      <c r="AI28" s="535"/>
      <c r="AJ28" s="535"/>
      <c r="AK28" s="535"/>
      <c r="AL28" s="535"/>
      <c r="AM28" s="535"/>
      <c r="AN28" s="535"/>
      <c r="AO28" s="535"/>
      <c r="AP28" s="533"/>
      <c r="AQ28" s="332">
        <f t="shared" si="8"/>
        <v>10</v>
      </c>
      <c r="AR28" s="98">
        <f t="shared" si="5"/>
        <v>10</v>
      </c>
      <c r="AS28" s="334">
        <v>0.0</v>
      </c>
      <c r="AT28" s="173">
        <f t="shared" si="6"/>
        <v>10</v>
      </c>
      <c r="AU28" s="542"/>
      <c r="AV28" s="531"/>
      <c r="AW28" s="531"/>
      <c r="AX28" s="531"/>
      <c r="AY28" s="531"/>
      <c r="AZ28" s="531"/>
      <c r="BA28" s="531"/>
      <c r="BB28" s="531"/>
      <c r="BC28" s="531"/>
    </row>
    <row r="29" ht="15.75" customHeight="1">
      <c r="A29" s="531"/>
      <c r="B29" s="532" t="s">
        <v>184</v>
      </c>
      <c r="C29" s="533"/>
      <c r="D29" s="534">
        <v>451.4</v>
      </c>
      <c r="E29" s="534"/>
      <c r="F29" s="534">
        <v>10.0</v>
      </c>
      <c r="G29" s="371">
        <v>-407.7</v>
      </c>
      <c r="H29" s="533"/>
      <c r="I29" s="535"/>
      <c r="J29" s="535"/>
      <c r="K29" s="535"/>
      <c r="L29" s="535"/>
      <c r="M29" s="535"/>
      <c r="N29" s="535"/>
      <c r="O29" s="536"/>
      <c r="P29" s="544">
        <f>-9.4</f>
        <v>-9.4</v>
      </c>
      <c r="Q29" s="537"/>
      <c r="R29" s="537"/>
      <c r="S29" s="537"/>
      <c r="T29" s="537"/>
      <c r="U29" s="537"/>
      <c r="V29" s="537"/>
      <c r="W29" s="535"/>
      <c r="X29" s="533"/>
      <c r="Y29" s="543"/>
      <c r="Z29" s="535"/>
      <c r="AA29" s="535"/>
      <c r="AB29" s="535"/>
      <c r="AC29" s="536"/>
      <c r="AD29" s="536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3"/>
      <c r="AQ29" s="332">
        <f t="shared" si="8"/>
        <v>0</v>
      </c>
      <c r="AR29" s="98">
        <f t="shared" si="5"/>
        <v>0</v>
      </c>
      <c r="AS29" s="334">
        <f t="shared" ref="AS29:AS31" si="10">AQ29-AR29</f>
        <v>0</v>
      </c>
      <c r="AT29" s="173">
        <f t="shared" si="6"/>
        <v>0</v>
      </c>
      <c r="AU29" s="545"/>
      <c r="AV29" s="531"/>
      <c r="AW29" s="531"/>
      <c r="AX29" s="531"/>
      <c r="AY29" s="531"/>
      <c r="AZ29" s="531"/>
      <c r="BA29" s="531"/>
      <c r="BB29" s="531"/>
      <c r="BC29" s="531"/>
    </row>
    <row r="30" ht="15.75" customHeight="1">
      <c r="A30" s="531"/>
      <c r="B30" s="532" t="s">
        <v>185</v>
      </c>
      <c r="C30" s="533"/>
      <c r="D30" s="534">
        <v>16.3</v>
      </c>
      <c r="E30" s="534"/>
      <c r="F30" s="534"/>
      <c r="G30" s="546"/>
      <c r="H30" s="533"/>
      <c r="I30" s="535"/>
      <c r="J30" s="535"/>
      <c r="K30" s="535"/>
      <c r="L30" s="535"/>
      <c r="M30" s="535"/>
      <c r="N30" s="535"/>
      <c r="O30" s="536"/>
      <c r="P30" s="536">
        <f>-16.3</f>
        <v>-16.3</v>
      </c>
      <c r="Q30" s="537"/>
      <c r="R30" s="537"/>
      <c r="S30" s="537"/>
      <c r="T30" s="537"/>
      <c r="U30" s="537"/>
      <c r="V30" s="537"/>
      <c r="W30" s="535"/>
      <c r="X30" s="533"/>
      <c r="Y30" s="543"/>
      <c r="Z30" s="535"/>
      <c r="AA30" s="535"/>
      <c r="AB30" s="535"/>
      <c r="AC30" s="536"/>
      <c r="AD30" s="536"/>
      <c r="AE30" s="535"/>
      <c r="AF30" s="535"/>
      <c r="AG30" s="535"/>
      <c r="AH30" s="535"/>
      <c r="AI30" s="535"/>
      <c r="AJ30" s="535"/>
      <c r="AK30" s="535"/>
      <c r="AL30" s="535"/>
      <c r="AM30" s="535"/>
      <c r="AN30" s="535"/>
      <c r="AO30" s="535"/>
      <c r="AP30" s="533"/>
      <c r="AQ30" s="332">
        <f t="shared" si="8"/>
        <v>0</v>
      </c>
      <c r="AR30" s="98">
        <f t="shared" si="5"/>
        <v>0</v>
      </c>
      <c r="AS30" s="334">
        <f t="shared" si="10"/>
        <v>0</v>
      </c>
      <c r="AT30" s="173">
        <f t="shared" si="6"/>
        <v>0</v>
      </c>
      <c r="AU30" s="545"/>
      <c r="AV30" s="531"/>
      <c r="AW30" s="531"/>
      <c r="AX30" s="531"/>
      <c r="AY30" s="531"/>
      <c r="AZ30" s="531"/>
      <c r="BA30" s="531"/>
      <c r="BB30" s="531"/>
      <c r="BC30" s="531"/>
    </row>
    <row r="31" ht="15.75" customHeight="1">
      <c r="A31" s="25"/>
      <c r="B31" s="217" t="s">
        <v>186</v>
      </c>
      <c r="C31" s="218"/>
      <c r="D31" s="477"/>
      <c r="E31" s="477"/>
      <c r="F31" s="477">
        <v>10.3</v>
      </c>
      <c r="G31" s="371"/>
      <c r="H31" s="488">
        <v>6.6</v>
      </c>
      <c r="I31" s="489"/>
      <c r="J31" s="489">
        <v>1.5</v>
      </c>
      <c r="K31" s="489">
        <v>6.4</v>
      </c>
      <c r="L31" s="489"/>
      <c r="M31" s="489"/>
      <c r="N31" s="489">
        <v>12.5</v>
      </c>
      <c r="O31" s="490">
        <v>-10.0</v>
      </c>
      <c r="P31" s="490">
        <f>-27.3</f>
        <v>-27.3</v>
      </c>
      <c r="Q31" s="547">
        <v>80.0</v>
      </c>
      <c r="R31" s="547">
        <v>5.6</v>
      </c>
      <c r="S31" s="547">
        <v>5.2</v>
      </c>
      <c r="T31" s="547">
        <v>2.7</v>
      </c>
      <c r="U31" s="547">
        <v>7.3</v>
      </c>
      <c r="V31" s="547">
        <v>5.0</v>
      </c>
      <c r="W31" s="489">
        <v>1.2</v>
      </c>
      <c r="X31" s="488">
        <v>7.5</v>
      </c>
      <c r="Y31" s="482"/>
      <c r="Z31" s="489">
        <f>7.1+20</f>
        <v>27.1</v>
      </c>
      <c r="AA31" s="489">
        <v>4.5</v>
      </c>
      <c r="AB31" s="489">
        <f>40+6</f>
        <v>46</v>
      </c>
      <c r="AC31" s="490"/>
      <c r="AD31" s="490"/>
      <c r="AE31" s="489">
        <v>4.2</v>
      </c>
      <c r="AF31" s="489">
        <f>1.5+100</f>
        <v>101.5</v>
      </c>
      <c r="AG31" s="489">
        <v>2.3</v>
      </c>
      <c r="AH31" s="489"/>
      <c r="AI31" s="489"/>
      <c r="AJ31" s="489">
        <v>9.0</v>
      </c>
      <c r="AK31" s="489">
        <f>5.8+0.9</f>
        <v>6.7</v>
      </c>
      <c r="AL31" s="489">
        <v>3.5</v>
      </c>
      <c r="AM31" s="489">
        <v>1.6</v>
      </c>
      <c r="AN31" s="489"/>
      <c r="AO31" s="489"/>
      <c r="AP31" s="488"/>
      <c r="AQ31" s="332">
        <f t="shared" si="8"/>
        <v>297.8</v>
      </c>
      <c r="AR31" s="98">
        <f t="shared" si="5"/>
        <v>300.1</v>
      </c>
      <c r="AS31" s="334">
        <f t="shared" si="10"/>
        <v>-2.3</v>
      </c>
      <c r="AT31" s="173">
        <f t="shared" si="6"/>
        <v>192.1</v>
      </c>
      <c r="AU31" s="548"/>
      <c r="AV31" s="25"/>
      <c r="AW31" s="25"/>
      <c r="AX31" s="25"/>
      <c r="AY31" s="25"/>
      <c r="AZ31" s="25"/>
      <c r="BA31" s="25"/>
      <c r="BB31" s="25"/>
      <c r="BC31" s="25"/>
    </row>
    <row r="32" ht="15.75" customHeight="1">
      <c r="A32" s="25"/>
      <c r="B32" s="198" t="s">
        <v>125</v>
      </c>
      <c r="C32" s="199"/>
      <c r="D32" s="370">
        <f>21.5+22</f>
        <v>43.5</v>
      </c>
      <c r="E32" s="370"/>
      <c r="F32" s="370">
        <v>0.8</v>
      </c>
      <c r="G32" s="371">
        <v>-16.9</v>
      </c>
      <c r="H32" s="372">
        <v>8.8</v>
      </c>
      <c r="I32" s="373"/>
      <c r="J32" s="373">
        <v>5.0</v>
      </c>
      <c r="K32" s="373">
        <v>10.0</v>
      </c>
      <c r="L32" s="373"/>
      <c r="M32" s="373"/>
      <c r="N32" s="373">
        <v>5.4</v>
      </c>
      <c r="O32" s="374">
        <v>-10.0</v>
      </c>
      <c r="P32" s="374">
        <f>-28.5-30</f>
        <v>-58.5</v>
      </c>
      <c r="Q32" s="375">
        <f>60+7.1</f>
        <v>67.1</v>
      </c>
      <c r="R32" s="375">
        <v>7.6</v>
      </c>
      <c r="S32" s="375">
        <f>1.1+10</f>
        <v>11.1</v>
      </c>
      <c r="T32" s="375">
        <v>2.0</v>
      </c>
      <c r="U32" s="375">
        <v>0.4</v>
      </c>
      <c r="V32" s="375"/>
      <c r="W32" s="373"/>
      <c r="X32" s="488">
        <v>20.0</v>
      </c>
      <c r="Y32" s="482">
        <v>50.0</v>
      </c>
      <c r="Z32" s="489">
        <f>7.7+30</f>
        <v>37.7</v>
      </c>
      <c r="AA32" s="489"/>
      <c r="AB32" s="489">
        <f>40</f>
        <v>40</v>
      </c>
      <c r="AC32" s="490"/>
      <c r="AD32" s="490"/>
      <c r="AE32" s="489">
        <f>0.9+10</f>
        <v>10.9</v>
      </c>
      <c r="AF32" s="489">
        <v>50.0</v>
      </c>
      <c r="AG32" s="489">
        <v>8.6</v>
      </c>
      <c r="AH32" s="489">
        <v>7.6</v>
      </c>
      <c r="AI32" s="489"/>
      <c r="AJ32" s="489">
        <v>3.5</v>
      </c>
      <c r="AK32" s="489"/>
      <c r="AL32" s="489"/>
      <c r="AM32" s="489"/>
      <c r="AN32" s="489"/>
      <c r="AO32" s="489"/>
      <c r="AP32" s="488"/>
      <c r="AQ32" s="332">
        <f t="shared" si="8"/>
        <v>296.8</v>
      </c>
      <c r="AR32" s="98">
        <f t="shared" si="5"/>
        <v>313</v>
      </c>
      <c r="AS32" s="334">
        <v>0.0</v>
      </c>
      <c r="AT32" s="173">
        <f t="shared" si="6"/>
        <v>235.9</v>
      </c>
      <c r="AU32" s="548"/>
      <c r="AV32" s="25"/>
      <c r="AW32" s="25"/>
      <c r="AX32" s="25"/>
      <c r="AY32" s="25"/>
      <c r="AZ32" s="25"/>
      <c r="BA32" s="25"/>
      <c r="BB32" s="25"/>
      <c r="BC32" s="25"/>
    </row>
    <row r="33" ht="15.75" customHeight="1">
      <c r="A33" s="25"/>
      <c r="B33" s="217" t="s">
        <v>126</v>
      </c>
      <c r="C33" s="218"/>
      <c r="D33" s="477">
        <f>528.3+274.8</f>
        <v>803.1</v>
      </c>
      <c r="E33" s="477">
        <v>14.9</v>
      </c>
      <c r="F33" s="477">
        <v>1.4</v>
      </c>
      <c r="G33" s="371">
        <v>-281.1</v>
      </c>
      <c r="H33" s="218"/>
      <c r="I33" s="479"/>
      <c r="J33" s="479">
        <v>110.0</v>
      </c>
      <c r="K33" s="394">
        <v>455.4</v>
      </c>
      <c r="L33" s="479"/>
      <c r="M33" s="479"/>
      <c r="N33" s="479">
        <v>418.0</v>
      </c>
      <c r="O33" s="480">
        <v>-930.0</v>
      </c>
      <c r="P33" s="490">
        <f>-86.6-537.8</f>
        <v>-624.4</v>
      </c>
      <c r="Q33" s="375">
        <v>11.6</v>
      </c>
      <c r="R33" s="375">
        <v>2.7</v>
      </c>
      <c r="S33" s="375">
        <v>1.3</v>
      </c>
      <c r="T33" s="547">
        <v>3.7</v>
      </c>
      <c r="U33" s="481"/>
      <c r="V33" s="481"/>
      <c r="W33" s="479"/>
      <c r="X33" s="488">
        <v>4.9</v>
      </c>
      <c r="Y33" s="482">
        <v>10.0</v>
      </c>
      <c r="Z33" s="479"/>
      <c r="AA33" s="479"/>
      <c r="AB33" s="479">
        <f>20+10.4</f>
        <v>30.4</v>
      </c>
      <c r="AC33" s="480"/>
      <c r="AD33" s="480"/>
      <c r="AE33" s="479"/>
      <c r="AF33" s="479">
        <v>9.7</v>
      </c>
      <c r="AG33" s="479"/>
      <c r="AH33" s="489">
        <v>1.4</v>
      </c>
      <c r="AI33" s="489"/>
      <c r="AJ33" s="489"/>
      <c r="AK33" s="489"/>
      <c r="AL33" s="489"/>
      <c r="AM33" s="489"/>
      <c r="AN33" s="489"/>
      <c r="AO33" s="489"/>
      <c r="AP33" s="218"/>
      <c r="AQ33" s="332">
        <f t="shared" si="8"/>
        <v>74.3</v>
      </c>
      <c r="AR33" s="98">
        <f t="shared" si="5"/>
        <v>75.7</v>
      </c>
      <c r="AS33" s="334">
        <v>0.0</v>
      </c>
      <c r="AT33" s="173">
        <f t="shared" si="6"/>
        <v>64.6</v>
      </c>
      <c r="AU33" s="548"/>
      <c r="AV33" s="25"/>
      <c r="AW33" s="25"/>
      <c r="AX33" s="25"/>
      <c r="AY33" s="25"/>
      <c r="AZ33" s="25"/>
      <c r="BA33" s="25"/>
      <c r="BB33" s="25"/>
      <c r="BC33" s="25"/>
    </row>
    <row r="34" ht="15.75" customHeight="1">
      <c r="A34" s="25"/>
      <c r="B34" s="217" t="s">
        <v>187</v>
      </c>
      <c r="C34" s="218"/>
      <c r="D34" s="477">
        <f>8.2+5.1</f>
        <v>13.3</v>
      </c>
      <c r="E34" s="477"/>
      <c r="F34" s="477"/>
      <c r="G34" s="478"/>
      <c r="H34" s="218"/>
      <c r="I34" s="479"/>
      <c r="J34" s="394">
        <v>18.7</v>
      </c>
      <c r="K34" s="394">
        <v>55.8</v>
      </c>
      <c r="L34" s="479"/>
      <c r="M34" s="479"/>
      <c r="N34" s="479"/>
      <c r="O34" s="480"/>
      <c r="P34" s="490">
        <f>-78.4-10.6</f>
        <v>-89</v>
      </c>
      <c r="Q34" s="547">
        <v>6.8</v>
      </c>
      <c r="R34" s="481"/>
      <c r="S34" s="481"/>
      <c r="T34" s="481"/>
      <c r="U34" s="481"/>
      <c r="V34" s="481"/>
      <c r="W34" s="479"/>
      <c r="X34" s="396"/>
      <c r="Y34" s="404">
        <v>77.6</v>
      </c>
      <c r="Z34" s="549"/>
      <c r="AA34" s="549"/>
      <c r="AB34" s="549">
        <f>7.2</f>
        <v>7.2</v>
      </c>
      <c r="AC34" s="550"/>
      <c r="AD34" s="550"/>
      <c r="AE34" s="549"/>
      <c r="AF34" s="549"/>
      <c r="AG34" s="549"/>
      <c r="AH34" s="549"/>
      <c r="AI34" s="549"/>
      <c r="AJ34" s="549"/>
      <c r="AK34" s="549"/>
      <c r="AL34" s="549"/>
      <c r="AM34" s="549"/>
      <c r="AN34" s="549"/>
      <c r="AO34" s="549"/>
      <c r="AP34" s="396"/>
      <c r="AQ34" s="332">
        <f t="shared" si="8"/>
        <v>91.6</v>
      </c>
      <c r="AR34" s="98">
        <f t="shared" si="5"/>
        <v>91.6</v>
      </c>
      <c r="AS34" s="334">
        <v>0.0</v>
      </c>
      <c r="AT34" s="173">
        <f t="shared" si="6"/>
        <v>91.6</v>
      </c>
      <c r="AU34" s="548"/>
      <c r="AV34" s="25"/>
      <c r="AW34" s="25"/>
      <c r="AX34" s="25"/>
      <c r="AY34" s="25"/>
      <c r="AZ34" s="25"/>
      <c r="BA34" s="25"/>
      <c r="BB34" s="25"/>
      <c r="BC34" s="25"/>
    </row>
    <row r="35" ht="15.75" customHeight="1">
      <c r="A35" s="25"/>
      <c r="B35" s="551" t="s">
        <v>188</v>
      </c>
      <c r="C35" s="205"/>
      <c r="D35" s="552">
        <v>5.3</v>
      </c>
      <c r="E35" s="552">
        <v>5.2</v>
      </c>
      <c r="F35" s="552"/>
      <c r="G35" s="553"/>
      <c r="H35" s="409">
        <f>8.6+10</f>
        <v>18.6</v>
      </c>
      <c r="I35" s="412">
        <v>2.7</v>
      </c>
      <c r="J35" s="412"/>
      <c r="K35" s="412">
        <v>3.3</v>
      </c>
      <c r="L35" s="412"/>
      <c r="M35" s="412"/>
      <c r="N35" s="412">
        <v>2.5</v>
      </c>
      <c r="O35" s="554">
        <v>-10.0</v>
      </c>
      <c r="P35" s="410">
        <f>-27.1</f>
        <v>-27.1</v>
      </c>
      <c r="Q35" s="411">
        <f>140+4.6</f>
        <v>144.6</v>
      </c>
      <c r="R35" s="555">
        <v>4.6</v>
      </c>
      <c r="S35" s="411">
        <f>1.1+40+4</f>
        <v>45.1</v>
      </c>
      <c r="T35" s="556">
        <v>3.3</v>
      </c>
      <c r="U35" s="557">
        <v>3.5</v>
      </c>
      <c r="V35" s="558"/>
      <c r="W35" s="412">
        <v>6.4</v>
      </c>
      <c r="X35" s="413">
        <f>2.3+10</f>
        <v>12.3</v>
      </c>
      <c r="Y35" s="414">
        <v>80.0</v>
      </c>
      <c r="Z35" s="415">
        <v>5.8</v>
      </c>
      <c r="AA35" s="415">
        <f>1.9</f>
        <v>1.9</v>
      </c>
      <c r="AB35" s="415">
        <f>50+2.2</f>
        <v>52.2</v>
      </c>
      <c r="AC35" s="416"/>
      <c r="AD35" s="416">
        <v>-190.0</v>
      </c>
      <c r="AE35" s="415">
        <f>4+10</f>
        <v>14</v>
      </c>
      <c r="AF35" s="415">
        <f>6.1+30</f>
        <v>36.1</v>
      </c>
      <c r="AG35" s="415">
        <v>3.6</v>
      </c>
      <c r="AH35" s="415">
        <f>40+7.7</f>
        <v>47.7</v>
      </c>
      <c r="AI35" s="415">
        <v>10.0</v>
      </c>
      <c r="AJ35" s="415">
        <v>3.1</v>
      </c>
      <c r="AK35" s="415"/>
      <c r="AL35" s="415"/>
      <c r="AM35" s="415"/>
      <c r="AN35" s="415"/>
      <c r="AO35" s="415">
        <v>2.0</v>
      </c>
      <c r="AP35" s="413"/>
      <c r="AQ35" s="332">
        <f t="shared" si="8"/>
        <v>219.8</v>
      </c>
      <c r="AR35" s="98">
        <f t="shared" si="5"/>
        <v>461.1</v>
      </c>
      <c r="AS35" s="334">
        <f t="shared" ref="AS35:AS40" si="11">AQ35-AR35</f>
        <v>-241.3</v>
      </c>
      <c r="AT35" s="173">
        <f t="shared" si="6"/>
        <v>169.7</v>
      </c>
      <c r="AU35" s="548"/>
      <c r="AV35" s="25"/>
      <c r="AW35" s="25"/>
      <c r="AX35" s="25"/>
      <c r="AY35" s="25"/>
      <c r="AZ35" s="25"/>
      <c r="BA35" s="25"/>
      <c r="BB35" s="25"/>
      <c r="BC35" s="25"/>
    </row>
    <row r="36" ht="15.75" customHeight="1">
      <c r="A36" s="25"/>
      <c r="B36" s="559" t="s">
        <v>130</v>
      </c>
      <c r="C36" s="225"/>
      <c r="D36" s="437">
        <v>10.4</v>
      </c>
      <c r="E36" s="437">
        <v>5.2</v>
      </c>
      <c r="F36" s="437">
        <v>2.6</v>
      </c>
      <c r="G36" s="438">
        <v>-5.3</v>
      </c>
      <c r="H36" s="560">
        <v>4.5</v>
      </c>
      <c r="I36" s="561">
        <v>2.4</v>
      </c>
      <c r="J36" s="561"/>
      <c r="K36" s="561">
        <v>10.4</v>
      </c>
      <c r="L36" s="561"/>
      <c r="M36" s="561"/>
      <c r="N36" s="561">
        <v>1.8</v>
      </c>
      <c r="O36" s="562"/>
      <c r="P36" s="563">
        <f>-21.4</f>
        <v>-21.4</v>
      </c>
      <c r="Q36" s="564">
        <f>6.8+60</f>
        <v>66.8</v>
      </c>
      <c r="R36" s="565">
        <v>1.5</v>
      </c>
      <c r="S36" s="564">
        <f>1.7+8.3</f>
        <v>10</v>
      </c>
      <c r="T36" s="566">
        <v>0.7</v>
      </c>
      <c r="U36" s="564"/>
      <c r="V36" s="565"/>
      <c r="W36" s="561">
        <v>1.8</v>
      </c>
      <c r="X36" s="560">
        <v>10.0</v>
      </c>
      <c r="Y36" s="414">
        <v>80.0</v>
      </c>
      <c r="Z36" s="561">
        <v>4.4</v>
      </c>
      <c r="AA36" s="561">
        <v>0.5</v>
      </c>
      <c r="AB36" s="561">
        <f>10+4.1</f>
        <v>14.1</v>
      </c>
      <c r="AC36" s="562"/>
      <c r="AD36" s="562">
        <v>-140.0</v>
      </c>
      <c r="AE36" s="561">
        <v>10.0</v>
      </c>
      <c r="AF36" s="561">
        <v>9.8</v>
      </c>
      <c r="AG36" s="561">
        <v>1.7</v>
      </c>
      <c r="AH36" s="561">
        <f>30+9.5</f>
        <v>39.5</v>
      </c>
      <c r="AI36" s="561"/>
      <c r="AJ36" s="561"/>
      <c r="AK36" s="561"/>
      <c r="AL36" s="561"/>
      <c r="AM36" s="561"/>
      <c r="AN36" s="561"/>
      <c r="AO36" s="561"/>
      <c r="AP36" s="560"/>
      <c r="AQ36" s="332">
        <f>SUM(Q36:AH36)</f>
        <v>110.8</v>
      </c>
      <c r="AR36" s="98">
        <f t="shared" si="5"/>
        <v>250.8</v>
      </c>
      <c r="AS36" s="334">
        <f t="shared" si="11"/>
        <v>-140</v>
      </c>
      <c r="AT36" s="173">
        <f t="shared" si="6"/>
        <v>49.8</v>
      </c>
      <c r="AU36" s="548"/>
      <c r="AV36" s="25"/>
      <c r="AW36" s="25"/>
      <c r="AX36" s="25"/>
      <c r="AY36" s="25"/>
      <c r="AZ36" s="25"/>
      <c r="BA36" s="25"/>
      <c r="BB36" s="25"/>
      <c r="BC36" s="25"/>
    </row>
    <row r="37" ht="15.75" customHeight="1">
      <c r="A37" s="25"/>
      <c r="B37" s="164" t="s">
        <v>131</v>
      </c>
      <c r="C37" s="225"/>
      <c r="D37" s="437">
        <f>79.5+20.2</f>
        <v>99.7</v>
      </c>
      <c r="E37" s="437">
        <v>6.5</v>
      </c>
      <c r="F37" s="437">
        <f>0.7+20</f>
        <v>20.7</v>
      </c>
      <c r="G37" s="438">
        <v>-35.5</v>
      </c>
      <c r="H37" s="225"/>
      <c r="I37" s="439"/>
      <c r="J37" s="439">
        <v>5.0</v>
      </c>
      <c r="K37" s="567">
        <v>100.0</v>
      </c>
      <c r="L37" s="439"/>
      <c r="M37" s="439"/>
      <c r="N37" s="440">
        <v>114.2</v>
      </c>
      <c r="O37" s="441">
        <v>-200.0</v>
      </c>
      <c r="P37" s="568">
        <f>-13.9-80</f>
        <v>-93.9</v>
      </c>
      <c r="Q37" s="564">
        <v>12.9</v>
      </c>
      <c r="R37" s="565"/>
      <c r="S37" s="564"/>
      <c r="T37" s="569">
        <f>130+30+3.6+11.7</f>
        <v>175.3</v>
      </c>
      <c r="U37" s="570"/>
      <c r="V37" s="444"/>
      <c r="W37" s="415">
        <v>1.7</v>
      </c>
      <c r="X37" s="413"/>
      <c r="Y37" s="414">
        <v>80.0</v>
      </c>
      <c r="Z37" s="415">
        <v>0.5</v>
      </c>
      <c r="AA37" s="415">
        <v>1.9</v>
      </c>
      <c r="AB37" s="415">
        <v>1.5</v>
      </c>
      <c r="AC37" s="416"/>
      <c r="AD37" s="416">
        <v>-120.0</v>
      </c>
      <c r="AE37" s="415"/>
      <c r="AF37" s="415"/>
      <c r="AG37" s="415"/>
      <c r="AH37" s="415">
        <v>6.9</v>
      </c>
      <c r="AI37" s="415">
        <v>9.1</v>
      </c>
      <c r="AJ37" s="415"/>
      <c r="AK37" s="415"/>
      <c r="AL37" s="415"/>
      <c r="AM37" s="415"/>
      <c r="AN37" s="415"/>
      <c r="AO37" s="415"/>
      <c r="AP37" s="413"/>
      <c r="AQ37" s="332">
        <f t="shared" ref="AQ37:AQ40" si="12">SUM(Q37:AF37)</f>
        <v>153.8</v>
      </c>
      <c r="AR37" s="98">
        <f t="shared" si="5"/>
        <v>280.7</v>
      </c>
      <c r="AS37" s="334">
        <f t="shared" si="11"/>
        <v>-126.9</v>
      </c>
      <c r="AT37" s="173">
        <f t="shared" si="6"/>
        <v>153.8</v>
      </c>
      <c r="AU37" s="548"/>
      <c r="AV37" s="25"/>
      <c r="AW37" s="25"/>
      <c r="AX37" s="25"/>
      <c r="AY37" s="25"/>
      <c r="AZ37" s="25"/>
      <c r="BA37" s="25"/>
      <c r="BB37" s="25"/>
      <c r="BC37" s="25"/>
    </row>
    <row r="38" ht="15.75" customHeight="1">
      <c r="A38" s="125"/>
      <c r="B38" s="559" t="s">
        <v>189</v>
      </c>
      <c r="C38" s="571"/>
      <c r="D38" s="572">
        <v>2.3</v>
      </c>
      <c r="E38" s="572">
        <v>9.2</v>
      </c>
      <c r="F38" s="572"/>
      <c r="G38" s="573"/>
      <c r="H38" s="571"/>
      <c r="I38" s="574"/>
      <c r="J38" s="574"/>
      <c r="K38" s="575">
        <v>17.5</v>
      </c>
      <c r="L38" s="574"/>
      <c r="M38" s="574"/>
      <c r="N38" s="574"/>
      <c r="O38" s="576"/>
      <c r="P38" s="577">
        <f>-8.4</f>
        <v>-8.4</v>
      </c>
      <c r="Q38" s="578">
        <v>39.5</v>
      </c>
      <c r="R38" s="579"/>
      <c r="S38" s="578"/>
      <c r="T38" s="580">
        <f>100.5+2.3+6.6+12.8</f>
        <v>122.2</v>
      </c>
      <c r="U38" s="581"/>
      <c r="V38" s="581"/>
      <c r="W38" s="574"/>
      <c r="X38" s="225"/>
      <c r="Y38" s="414">
        <v>70.8</v>
      </c>
      <c r="Z38" s="439"/>
      <c r="AA38" s="439"/>
      <c r="AB38" s="415">
        <v>2.1</v>
      </c>
      <c r="AC38" s="441"/>
      <c r="AD38" s="441"/>
      <c r="AE38" s="439"/>
      <c r="AF38" s="439"/>
      <c r="AG38" s="439"/>
      <c r="AH38" s="439"/>
      <c r="AI38" s="439"/>
      <c r="AJ38" s="439"/>
      <c r="AK38" s="439"/>
      <c r="AL38" s="439"/>
      <c r="AM38" s="439"/>
      <c r="AN38" s="439"/>
      <c r="AO38" s="439"/>
      <c r="AP38" s="225"/>
      <c r="AQ38" s="332">
        <f t="shared" si="12"/>
        <v>234.6</v>
      </c>
      <c r="AR38" s="98">
        <f t="shared" si="5"/>
        <v>234.6</v>
      </c>
      <c r="AS38" s="334">
        <f t="shared" si="11"/>
        <v>0</v>
      </c>
      <c r="AT38" s="173">
        <f t="shared" si="6"/>
        <v>234.6</v>
      </c>
      <c r="AU38" s="582"/>
      <c r="AV38" s="125"/>
      <c r="AW38" s="125"/>
      <c r="AX38" s="125"/>
      <c r="AY38" s="125"/>
      <c r="AZ38" s="125"/>
      <c r="BA38" s="125"/>
      <c r="BB38" s="125"/>
      <c r="BC38" s="125"/>
    </row>
    <row r="39" ht="15.75" customHeight="1">
      <c r="A39" s="25"/>
      <c r="B39" s="583" t="s">
        <v>190</v>
      </c>
      <c r="C39" s="199"/>
      <c r="D39" s="370"/>
      <c r="E39" s="370"/>
      <c r="F39" s="370"/>
      <c r="G39" s="483"/>
      <c r="H39" s="199"/>
      <c r="I39" s="484"/>
      <c r="J39" s="484"/>
      <c r="K39" s="484"/>
      <c r="L39" s="484"/>
      <c r="M39" s="484"/>
      <c r="N39" s="485">
        <v>0.7</v>
      </c>
      <c r="O39" s="486"/>
      <c r="P39" s="486"/>
      <c r="Q39" s="487">
        <v>10.0</v>
      </c>
      <c r="R39" s="584"/>
      <c r="S39" s="585">
        <f>2.2+6.1</f>
        <v>8.3</v>
      </c>
      <c r="T39" s="487"/>
      <c r="U39" s="375">
        <f>2.4+5.4</f>
        <v>7.8</v>
      </c>
      <c r="V39" s="375">
        <v>3.4</v>
      </c>
      <c r="W39" s="484"/>
      <c r="X39" s="586">
        <v>2.7</v>
      </c>
      <c r="Y39" s="587">
        <v>10.0</v>
      </c>
      <c r="Z39" s="588">
        <f>9.4+10</f>
        <v>19.4</v>
      </c>
      <c r="AA39" s="588"/>
      <c r="AB39" s="588">
        <f>10+2.2</f>
        <v>12.2</v>
      </c>
      <c r="AC39" s="589"/>
      <c r="AD39" s="589"/>
      <c r="AE39" s="588">
        <v>4.3</v>
      </c>
      <c r="AF39" s="588">
        <v>4.5</v>
      </c>
      <c r="AG39" s="588">
        <v>1.7</v>
      </c>
      <c r="AH39" s="588"/>
      <c r="AI39" s="588">
        <v>0.8</v>
      </c>
      <c r="AJ39" s="588">
        <f>10+3.4</f>
        <v>13.4</v>
      </c>
      <c r="AK39" s="588">
        <v>0.9</v>
      </c>
      <c r="AL39" s="588"/>
      <c r="AM39" s="588"/>
      <c r="AN39" s="588"/>
      <c r="AO39" s="588"/>
      <c r="AP39" s="590"/>
      <c r="AQ39" s="332">
        <f t="shared" si="12"/>
        <v>82.6</v>
      </c>
      <c r="AR39" s="98">
        <f t="shared" si="5"/>
        <v>84.3</v>
      </c>
      <c r="AS39" s="334">
        <f t="shared" si="11"/>
        <v>-1.7</v>
      </c>
      <c r="AT39" s="173">
        <f t="shared" si="6"/>
        <v>73.8</v>
      </c>
      <c r="AU39" s="548"/>
      <c r="AV39" s="25"/>
      <c r="AW39" s="25"/>
      <c r="AX39" s="25"/>
      <c r="AY39" s="25"/>
      <c r="AZ39" s="25"/>
      <c r="BA39" s="25"/>
      <c r="BB39" s="25"/>
      <c r="BC39" s="25"/>
    </row>
    <row r="40" ht="15.75" customHeight="1">
      <c r="A40" s="25"/>
      <c r="B40" s="217" t="s">
        <v>136</v>
      </c>
      <c r="C40" s="199"/>
      <c r="D40" s="370"/>
      <c r="E40" s="370"/>
      <c r="F40" s="370"/>
      <c r="G40" s="483"/>
      <c r="H40" s="199"/>
      <c r="I40" s="484"/>
      <c r="J40" s="484"/>
      <c r="K40" s="484"/>
      <c r="L40" s="484"/>
      <c r="M40" s="484"/>
      <c r="N40" s="484"/>
      <c r="O40" s="486"/>
      <c r="P40" s="486"/>
      <c r="Q40" s="487">
        <f>3.8+10</f>
        <v>13.8</v>
      </c>
      <c r="R40" s="591">
        <v>8.7</v>
      </c>
      <c r="S40" s="585">
        <v>1.2</v>
      </c>
      <c r="T40" s="487">
        <v>2.8</v>
      </c>
      <c r="U40" s="487"/>
      <c r="V40" s="375">
        <v>6.0</v>
      </c>
      <c r="W40" s="484"/>
      <c r="X40" s="218">
        <v>3.5</v>
      </c>
      <c r="Y40" s="482">
        <v>20.0</v>
      </c>
      <c r="Z40" s="489">
        <v>3.7</v>
      </c>
      <c r="AA40" s="489"/>
      <c r="AB40" s="489">
        <f>20+1.6</f>
        <v>21.6</v>
      </c>
      <c r="AC40" s="490"/>
      <c r="AD40" s="490"/>
      <c r="AE40" s="489">
        <v>10.0</v>
      </c>
      <c r="AF40" s="489"/>
      <c r="AG40" s="489">
        <v>6.0</v>
      </c>
      <c r="AH40" s="489">
        <f>10+1.2</f>
        <v>11.2</v>
      </c>
      <c r="AI40" s="489">
        <v>10.0</v>
      </c>
      <c r="AJ40" s="489">
        <v>8.6</v>
      </c>
      <c r="AK40" s="489"/>
      <c r="AL40" s="489">
        <v>19.7</v>
      </c>
      <c r="AM40" s="489">
        <v>3.0</v>
      </c>
      <c r="AN40" s="489"/>
      <c r="AO40" s="489"/>
      <c r="AP40" s="488"/>
      <c r="AQ40" s="332">
        <f t="shared" si="12"/>
        <v>91.3</v>
      </c>
      <c r="AR40" s="98">
        <f t="shared" si="5"/>
        <v>108.5</v>
      </c>
      <c r="AS40" s="334">
        <f t="shared" si="11"/>
        <v>-17.2</v>
      </c>
      <c r="AT40" s="173">
        <f t="shared" si="6"/>
        <v>81.3</v>
      </c>
      <c r="AU40" s="548"/>
      <c r="AV40" s="25"/>
      <c r="AW40" s="25"/>
      <c r="AX40" s="25"/>
      <c r="AY40" s="25"/>
      <c r="AZ40" s="25"/>
      <c r="BA40" s="25"/>
      <c r="BB40" s="25"/>
      <c r="BC40" s="25"/>
    </row>
    <row r="41" ht="15.75" customHeight="1">
      <c r="A41" s="25"/>
      <c r="B41" s="217" t="s">
        <v>191</v>
      </c>
      <c r="C41" s="199"/>
      <c r="D41" s="370"/>
      <c r="E41" s="370"/>
      <c r="F41" s="370"/>
      <c r="G41" s="483"/>
      <c r="H41" s="199"/>
      <c r="I41" s="484"/>
      <c r="J41" s="484"/>
      <c r="K41" s="484"/>
      <c r="L41" s="484"/>
      <c r="M41" s="484"/>
      <c r="N41" s="484"/>
      <c r="O41" s="486"/>
      <c r="P41" s="486"/>
      <c r="Q41" s="487"/>
      <c r="R41" s="591"/>
      <c r="S41" s="592"/>
      <c r="T41" s="487"/>
      <c r="U41" s="487"/>
      <c r="V41" s="375"/>
      <c r="W41" s="484"/>
      <c r="X41" s="218"/>
      <c r="Y41" s="482"/>
      <c r="Z41" s="489"/>
      <c r="AA41" s="489"/>
      <c r="AB41" s="489"/>
      <c r="AC41" s="490"/>
      <c r="AD41" s="490"/>
      <c r="AE41" s="489"/>
      <c r="AF41" s="489"/>
      <c r="AG41" s="489"/>
      <c r="AH41" s="489"/>
      <c r="AI41" s="489"/>
      <c r="AJ41" s="489"/>
      <c r="AK41" s="489"/>
      <c r="AL41" s="489"/>
      <c r="AM41" s="489"/>
      <c r="AN41" s="489">
        <v>17.9</v>
      </c>
      <c r="AO41" s="489"/>
      <c r="AP41" s="488"/>
      <c r="AQ41" s="332"/>
      <c r="AR41" s="98"/>
      <c r="AS41" s="334"/>
      <c r="AT41" s="173"/>
      <c r="AU41" s="548"/>
      <c r="AV41" s="25"/>
      <c r="AW41" s="25"/>
      <c r="AX41" s="25"/>
      <c r="AY41" s="25"/>
      <c r="AZ41" s="25"/>
      <c r="BA41" s="25"/>
      <c r="BB41" s="25"/>
      <c r="BC41" s="25"/>
    </row>
    <row r="42" ht="15.75" customHeight="1">
      <c r="A42" s="25"/>
      <c r="B42" s="198" t="s">
        <v>192</v>
      </c>
      <c r="C42" s="199"/>
      <c r="D42" s="370"/>
      <c r="E42" s="370"/>
      <c r="F42" s="370"/>
      <c r="G42" s="483"/>
      <c r="H42" s="199"/>
      <c r="I42" s="484"/>
      <c r="J42" s="484"/>
      <c r="K42" s="484"/>
      <c r="L42" s="484"/>
      <c r="M42" s="484"/>
      <c r="N42" s="484"/>
      <c r="O42" s="486"/>
      <c r="P42" s="486"/>
      <c r="Q42" s="487"/>
      <c r="R42" s="591"/>
      <c r="S42" s="592"/>
      <c r="T42" s="487"/>
      <c r="U42" s="487"/>
      <c r="V42" s="375"/>
      <c r="W42" s="484"/>
      <c r="X42" s="218"/>
      <c r="Y42" s="482"/>
      <c r="Z42" s="489"/>
      <c r="AA42" s="489">
        <f>0.5+2.6</f>
        <v>3.1</v>
      </c>
      <c r="AB42" s="489">
        <v>4.3</v>
      </c>
      <c r="AC42" s="490"/>
      <c r="AD42" s="490"/>
      <c r="AE42" s="489"/>
      <c r="AF42" s="489">
        <v>5.0</v>
      </c>
      <c r="AG42" s="489"/>
      <c r="AH42" s="489">
        <v>1.8</v>
      </c>
      <c r="AI42" s="489">
        <v>3.3</v>
      </c>
      <c r="AJ42" s="489">
        <v>1.8</v>
      </c>
      <c r="AK42" s="489"/>
      <c r="AL42" s="489">
        <v>3.5</v>
      </c>
      <c r="AM42" s="489"/>
      <c r="AN42" s="489"/>
      <c r="AO42" s="489"/>
      <c r="AP42" s="488"/>
      <c r="AQ42" s="332">
        <f t="shared" ref="AQ42:AQ43" si="13">SUM(Q42:AF42)</f>
        <v>12.4</v>
      </c>
      <c r="AR42" s="98">
        <f t="shared" ref="AR42:AR43" si="14">SUM(Q42:AB42)+AE42+AF42+AG42+AH42</f>
        <v>14.2</v>
      </c>
      <c r="AS42" s="334"/>
      <c r="AT42" s="173">
        <f t="shared" ref="AT42:AT43" si="15">SUM(Q42:AD42)</f>
        <v>7.4</v>
      </c>
      <c r="AU42" s="548"/>
      <c r="AV42" s="25"/>
      <c r="AW42" s="25"/>
      <c r="AX42" s="25"/>
      <c r="AY42" s="25"/>
      <c r="AZ42" s="25"/>
      <c r="BA42" s="25"/>
      <c r="BB42" s="25"/>
      <c r="BC42" s="25"/>
    </row>
    <row r="43" ht="15.75" customHeight="1">
      <c r="A43" s="25"/>
      <c r="B43" s="198" t="s">
        <v>137</v>
      </c>
      <c r="C43" s="199"/>
      <c r="D43" s="370"/>
      <c r="E43" s="370"/>
      <c r="F43" s="370"/>
      <c r="G43" s="483"/>
      <c r="H43" s="199"/>
      <c r="I43" s="484"/>
      <c r="J43" s="484"/>
      <c r="K43" s="484"/>
      <c r="L43" s="484"/>
      <c r="M43" s="484"/>
      <c r="N43" s="485">
        <v>2.6</v>
      </c>
      <c r="O43" s="486"/>
      <c r="P43" s="486"/>
      <c r="Q43" s="487"/>
      <c r="R43" s="593"/>
      <c r="S43" s="594"/>
      <c r="T43" s="375">
        <v>0.9</v>
      </c>
      <c r="U43" s="487"/>
      <c r="V43" s="375">
        <v>1.2</v>
      </c>
      <c r="W43" s="373">
        <v>1.4</v>
      </c>
      <c r="X43" s="488">
        <v>4.0</v>
      </c>
      <c r="Y43" s="482">
        <v>10.0</v>
      </c>
      <c r="Z43" s="489">
        <v>3.1</v>
      </c>
      <c r="AA43" s="489">
        <f>3.3</f>
        <v>3.3</v>
      </c>
      <c r="AB43" s="489">
        <v>4.6</v>
      </c>
      <c r="AC43" s="490"/>
      <c r="AD43" s="490"/>
      <c r="AE43" s="489">
        <v>4.8</v>
      </c>
      <c r="AF43" s="489">
        <v>1.4</v>
      </c>
      <c r="AG43" s="489"/>
      <c r="AH43" s="489">
        <v>2.6</v>
      </c>
      <c r="AI43" s="489">
        <v>3.1</v>
      </c>
      <c r="AJ43" s="489"/>
      <c r="AK43" s="489"/>
      <c r="AL43" s="489"/>
      <c r="AM43" s="489"/>
      <c r="AN43" s="489"/>
      <c r="AO43" s="489"/>
      <c r="AP43" s="488"/>
      <c r="AQ43" s="332">
        <f t="shared" si="13"/>
        <v>34.7</v>
      </c>
      <c r="AR43" s="98">
        <f t="shared" si="14"/>
        <v>37.3</v>
      </c>
      <c r="AS43" s="334">
        <f>AQ43-AR43</f>
        <v>-2.6</v>
      </c>
      <c r="AT43" s="173">
        <f t="shared" si="15"/>
        <v>28.5</v>
      </c>
      <c r="AU43" s="548"/>
      <c r="AV43" s="25"/>
      <c r="AW43" s="25"/>
      <c r="AX43" s="25"/>
      <c r="AY43" s="25"/>
      <c r="AZ43" s="25"/>
      <c r="BA43" s="25"/>
      <c r="BB43" s="25"/>
      <c r="BC43" s="25"/>
    </row>
    <row r="44" ht="15.75" customHeight="1">
      <c r="A44" s="25"/>
      <c r="B44" s="198" t="s">
        <v>193</v>
      </c>
      <c r="C44" s="199"/>
      <c r="D44" s="370"/>
      <c r="E44" s="370"/>
      <c r="F44" s="370"/>
      <c r="G44" s="483"/>
      <c r="H44" s="199"/>
      <c r="I44" s="484"/>
      <c r="J44" s="484"/>
      <c r="K44" s="484"/>
      <c r="L44" s="484"/>
      <c r="M44" s="484"/>
      <c r="N44" s="485"/>
      <c r="O44" s="486"/>
      <c r="P44" s="486"/>
      <c r="Q44" s="487"/>
      <c r="R44" s="593"/>
      <c r="S44" s="594"/>
      <c r="T44" s="375"/>
      <c r="U44" s="487"/>
      <c r="V44" s="375"/>
      <c r="W44" s="373"/>
      <c r="X44" s="488"/>
      <c r="Y44" s="482"/>
      <c r="Z44" s="489"/>
      <c r="AA44" s="489"/>
      <c r="AB44" s="489"/>
      <c r="AC44" s="490"/>
      <c r="AD44" s="490"/>
      <c r="AE44" s="489"/>
      <c r="AF44" s="489"/>
      <c r="AG44" s="489"/>
      <c r="AH44" s="489"/>
      <c r="AI44" s="489"/>
      <c r="AJ44" s="489"/>
      <c r="AK44" s="489"/>
      <c r="AL44" s="489"/>
      <c r="AM44" s="489"/>
      <c r="AN44" s="489">
        <v>1.6</v>
      </c>
      <c r="AO44" s="489"/>
      <c r="AP44" s="488"/>
      <c r="AQ44" s="332"/>
      <c r="AR44" s="98"/>
      <c r="AS44" s="334"/>
      <c r="AT44" s="173"/>
      <c r="AU44" s="548"/>
      <c r="AV44" s="25"/>
      <c r="AW44" s="25"/>
      <c r="AX44" s="25"/>
      <c r="AY44" s="25"/>
      <c r="AZ44" s="25"/>
      <c r="BA44" s="25"/>
      <c r="BB44" s="25"/>
      <c r="BC44" s="25"/>
    </row>
    <row r="45" ht="15.75" customHeight="1">
      <c r="A45" s="25"/>
      <c r="B45" s="126" t="s">
        <v>194</v>
      </c>
      <c r="C45" s="127"/>
      <c r="D45" s="377">
        <v>1.0</v>
      </c>
      <c r="E45" s="377">
        <v>3.2</v>
      </c>
      <c r="F45" s="377">
        <v>8.9</v>
      </c>
      <c r="G45" s="491"/>
      <c r="H45" s="492">
        <v>6.3</v>
      </c>
      <c r="I45" s="373"/>
      <c r="J45" s="373"/>
      <c r="K45" s="373">
        <v>406.4</v>
      </c>
      <c r="L45" s="373">
        <f>20+6.1</f>
        <v>26.1</v>
      </c>
      <c r="M45" s="373"/>
      <c r="N45" s="373">
        <v>3.2</v>
      </c>
      <c r="O45" s="374"/>
      <c r="P45" s="374">
        <f>-488.5</f>
        <v>-488.5</v>
      </c>
      <c r="Q45" s="375">
        <f>13.1+360</f>
        <v>373.1</v>
      </c>
      <c r="R45" s="595">
        <v>4.6</v>
      </c>
      <c r="S45" s="596">
        <f>80+8.7+4.5</f>
        <v>93.2</v>
      </c>
      <c r="T45" s="375">
        <v>1.7</v>
      </c>
      <c r="U45" s="375">
        <v>6.9</v>
      </c>
      <c r="V45" s="375">
        <v>4.7</v>
      </c>
      <c r="W45" s="373">
        <f>10+3.8</f>
        <v>13.8</v>
      </c>
      <c r="X45" s="488">
        <f>8.7+30</f>
        <v>38.7</v>
      </c>
      <c r="Y45" s="482">
        <v>430.0</v>
      </c>
      <c r="Z45" s="489">
        <f>3.6+40</f>
        <v>43.6</v>
      </c>
      <c r="AA45" s="489">
        <v>5.8</v>
      </c>
      <c r="AB45" s="489">
        <f>350+3.1</f>
        <v>353.1</v>
      </c>
      <c r="AC45" s="490"/>
      <c r="AD45" s="490"/>
      <c r="AE45" s="489">
        <f>2.1+150</f>
        <v>152.1</v>
      </c>
      <c r="AF45" s="489">
        <f>1.2+460</f>
        <v>461.2</v>
      </c>
      <c r="AG45" s="489">
        <f>40+5.1</f>
        <v>45.1</v>
      </c>
      <c r="AH45" s="489">
        <f>170+9.5</f>
        <v>179.5</v>
      </c>
      <c r="AI45" s="489">
        <f>10+2.2</f>
        <v>12.2</v>
      </c>
      <c r="AJ45" s="489">
        <v>45.0</v>
      </c>
      <c r="AK45" s="489">
        <v>7.8</v>
      </c>
      <c r="AL45" s="489">
        <v>11.7</v>
      </c>
      <c r="AM45" s="489">
        <f>20+9.6</f>
        <v>29.6</v>
      </c>
      <c r="AN45" s="489">
        <v>13.6</v>
      </c>
      <c r="AO45" s="489">
        <v>11.3</v>
      </c>
      <c r="AP45" s="488"/>
      <c r="AQ45" s="332">
        <f t="shared" ref="AQ45:AQ49" si="16">SUM(Q45:AF45)</f>
        <v>1982.5</v>
      </c>
      <c r="AR45" s="98">
        <f t="shared" ref="AR45:AR48" si="17">SUM(Q45:AB45)+AE45+AF45+AG45+AH45</f>
        <v>2207.1</v>
      </c>
      <c r="AS45" s="334">
        <v>0.0</v>
      </c>
      <c r="AT45" s="173">
        <f t="shared" ref="AT45:AT48" si="18">SUM(Q45:AD45)</f>
        <v>1369.2</v>
      </c>
      <c r="AU45" s="548"/>
      <c r="AV45" s="25"/>
      <c r="AW45" s="25"/>
      <c r="AX45" s="25"/>
      <c r="AY45" s="25"/>
      <c r="AZ45" s="25"/>
      <c r="BA45" s="25"/>
      <c r="BB45" s="25"/>
      <c r="BC45" s="25"/>
    </row>
    <row r="46" ht="15.75" customHeight="1">
      <c r="A46" s="25"/>
      <c r="B46" s="174" t="s">
        <v>139</v>
      </c>
      <c r="C46" s="175"/>
      <c r="D46" s="417">
        <v>2.4</v>
      </c>
      <c r="E46" s="417"/>
      <c r="F46" s="417">
        <v>2.1</v>
      </c>
      <c r="G46" s="597"/>
      <c r="H46" s="175"/>
      <c r="I46" s="598"/>
      <c r="J46" s="598"/>
      <c r="K46" s="598"/>
      <c r="L46" s="598"/>
      <c r="M46" s="598"/>
      <c r="N46" s="598"/>
      <c r="O46" s="599"/>
      <c r="P46" s="600">
        <f>-13.8</f>
        <v>-13.8</v>
      </c>
      <c r="Q46" s="601"/>
      <c r="R46" s="602"/>
      <c r="S46" s="603"/>
      <c r="T46" s="601"/>
      <c r="U46" s="601"/>
      <c r="V46" s="601"/>
      <c r="W46" s="598"/>
      <c r="X46" s="225"/>
      <c r="Y46" s="414"/>
      <c r="Z46" s="439"/>
      <c r="AA46" s="439"/>
      <c r="AB46" s="439"/>
      <c r="AC46" s="441"/>
      <c r="AD46" s="441"/>
      <c r="AE46" s="439"/>
      <c r="AF46" s="439"/>
      <c r="AG46" s="439"/>
      <c r="AH46" s="439"/>
      <c r="AI46" s="439"/>
      <c r="AJ46" s="439"/>
      <c r="AK46" s="439"/>
      <c r="AL46" s="439"/>
      <c r="AM46" s="439"/>
      <c r="AN46" s="439"/>
      <c r="AO46" s="439"/>
      <c r="AP46" s="225"/>
      <c r="AQ46" s="332">
        <f t="shared" si="16"/>
        <v>0</v>
      </c>
      <c r="AR46" s="98">
        <f t="shared" si="17"/>
        <v>0</v>
      </c>
      <c r="AS46" s="334">
        <v>0.0</v>
      </c>
      <c r="AT46" s="173">
        <f t="shared" si="18"/>
        <v>0</v>
      </c>
      <c r="AU46" s="25"/>
      <c r="AV46" s="25"/>
      <c r="AW46" s="25"/>
      <c r="AX46" s="25"/>
      <c r="AY46" s="25"/>
      <c r="AZ46" s="25"/>
      <c r="BA46" s="25"/>
      <c r="BB46" s="25"/>
      <c r="BC46" s="25"/>
    </row>
    <row r="47" ht="15.75" customHeight="1">
      <c r="A47" s="25"/>
      <c r="B47" s="180" t="s">
        <v>195</v>
      </c>
      <c r="C47" s="181"/>
      <c r="D47" s="604"/>
      <c r="E47" s="604"/>
      <c r="F47" s="604"/>
      <c r="G47" s="605"/>
      <c r="H47" s="181"/>
      <c r="I47" s="439"/>
      <c r="J47" s="439"/>
      <c r="K47" s="439"/>
      <c r="L47" s="439"/>
      <c r="M47" s="439"/>
      <c r="N47" s="439"/>
      <c r="O47" s="441"/>
      <c r="P47" s="416"/>
      <c r="Q47" s="444"/>
      <c r="R47" s="570"/>
      <c r="S47" s="569"/>
      <c r="T47" s="444"/>
      <c r="U47" s="444"/>
      <c r="V47" s="444"/>
      <c r="W47" s="439"/>
      <c r="X47" s="413">
        <v>1.1</v>
      </c>
      <c r="Y47" s="414">
        <v>1.1</v>
      </c>
      <c r="Z47" s="439">
        <v>5.0</v>
      </c>
      <c r="AA47" s="439"/>
      <c r="AB47" s="439"/>
      <c r="AC47" s="441"/>
      <c r="AD47" s="441"/>
      <c r="AE47" s="439"/>
      <c r="AF47" s="439"/>
      <c r="AG47" s="439"/>
      <c r="AH47" s="439"/>
      <c r="AI47" s="439"/>
      <c r="AJ47" s="439"/>
      <c r="AK47" s="439"/>
      <c r="AL47" s="439"/>
      <c r="AM47" s="439"/>
      <c r="AN47" s="439"/>
      <c r="AO47" s="439"/>
      <c r="AP47" s="225"/>
      <c r="AQ47" s="332">
        <f t="shared" si="16"/>
        <v>7.2</v>
      </c>
      <c r="AR47" s="98">
        <f t="shared" si="17"/>
        <v>7.2</v>
      </c>
      <c r="AS47" s="334">
        <f t="shared" ref="AS47:AS48" si="19">AQ47-AR47</f>
        <v>0</v>
      </c>
      <c r="AT47" s="173">
        <f t="shared" si="18"/>
        <v>7.2</v>
      </c>
      <c r="AU47" s="25"/>
      <c r="AV47" s="25"/>
      <c r="AW47" s="25"/>
      <c r="AX47" s="25"/>
      <c r="AY47" s="25"/>
      <c r="AZ47" s="25"/>
      <c r="BA47" s="25"/>
      <c r="BB47" s="25"/>
      <c r="BC47" s="25"/>
    </row>
    <row r="48" ht="15.75" customHeight="1">
      <c r="A48" s="25"/>
      <c r="B48" s="187" t="s">
        <v>141</v>
      </c>
      <c r="C48" s="188"/>
      <c r="D48" s="429"/>
      <c r="E48" s="429"/>
      <c r="F48" s="429"/>
      <c r="G48" s="606"/>
      <c r="H48" s="188"/>
      <c r="I48" s="607"/>
      <c r="J48" s="607"/>
      <c r="K48" s="607"/>
      <c r="L48" s="607"/>
      <c r="M48" s="607"/>
      <c r="N48" s="607"/>
      <c r="O48" s="608"/>
      <c r="P48" s="608"/>
      <c r="Q48" s="609"/>
      <c r="R48" s="610"/>
      <c r="S48" s="611"/>
      <c r="T48" s="609"/>
      <c r="U48" s="609"/>
      <c r="V48" s="609"/>
      <c r="W48" s="607"/>
      <c r="X48" s="188"/>
      <c r="Y48" s="612"/>
      <c r="Z48" s="607"/>
      <c r="AA48" s="607"/>
      <c r="AB48" s="607"/>
      <c r="AC48" s="608"/>
      <c r="AD48" s="608"/>
      <c r="AE48" s="607"/>
      <c r="AF48" s="574"/>
      <c r="AG48" s="574"/>
      <c r="AH48" s="574"/>
      <c r="AI48" s="574"/>
      <c r="AJ48" s="574"/>
      <c r="AK48" s="574"/>
      <c r="AL48" s="574"/>
      <c r="AM48" s="574"/>
      <c r="AN48" s="574"/>
      <c r="AO48" s="574"/>
      <c r="AP48" s="571"/>
      <c r="AQ48" s="332">
        <f t="shared" si="16"/>
        <v>0</v>
      </c>
      <c r="AR48" s="98">
        <f t="shared" si="17"/>
        <v>0</v>
      </c>
      <c r="AS48" s="334">
        <f t="shared" si="19"/>
        <v>0</v>
      </c>
      <c r="AT48" s="173">
        <f t="shared" si="18"/>
        <v>0</v>
      </c>
      <c r="AU48" s="25"/>
      <c r="AV48" s="25"/>
      <c r="AW48" s="25"/>
      <c r="AX48" s="25"/>
      <c r="AY48" s="25"/>
      <c r="AZ48" s="25"/>
      <c r="BA48" s="25"/>
      <c r="BB48" s="25"/>
      <c r="BC48" s="25"/>
    </row>
    <row r="49" ht="15.75" customHeight="1">
      <c r="B49" s="613" t="s">
        <v>142</v>
      </c>
      <c r="C49" s="614">
        <f t="shared" ref="C49:N49" si="20">SUM(C5:C48)</f>
        <v>5061.9</v>
      </c>
      <c r="D49" s="614">
        <f t="shared" si="20"/>
        <v>10245.9</v>
      </c>
      <c r="E49" s="614">
        <f t="shared" si="20"/>
        <v>2236</v>
      </c>
      <c r="F49" s="615">
        <f t="shared" si="20"/>
        <v>5641.2</v>
      </c>
      <c r="G49" s="616">
        <f t="shared" si="20"/>
        <v>-20604.6</v>
      </c>
      <c r="H49" s="617">
        <f t="shared" si="20"/>
        <v>4286.4</v>
      </c>
      <c r="I49" s="617">
        <f t="shared" si="20"/>
        <v>678.6</v>
      </c>
      <c r="J49" s="617">
        <f t="shared" si="20"/>
        <v>2045</v>
      </c>
      <c r="K49" s="617">
        <f t="shared" si="20"/>
        <v>7956.9</v>
      </c>
      <c r="L49" s="617">
        <f t="shared" si="20"/>
        <v>2908</v>
      </c>
      <c r="M49" s="617">
        <f t="shared" si="20"/>
        <v>276.8</v>
      </c>
      <c r="N49" s="617">
        <f t="shared" si="20"/>
        <v>4972.6</v>
      </c>
      <c r="O49" s="618">
        <v>-19840.0</v>
      </c>
      <c r="P49" s="618">
        <f t="shared" ref="P49:AO49" si="21">SUM(P5:P48)</f>
        <v>-4937.7</v>
      </c>
      <c r="Q49" s="619">
        <f t="shared" si="21"/>
        <v>1990.4</v>
      </c>
      <c r="R49" s="619">
        <f t="shared" si="21"/>
        <v>1548.1</v>
      </c>
      <c r="S49" s="619">
        <f t="shared" si="21"/>
        <v>3268.8</v>
      </c>
      <c r="T49" s="619">
        <f t="shared" si="21"/>
        <v>1184.7</v>
      </c>
      <c r="U49" s="619">
        <f t="shared" si="21"/>
        <v>4923</v>
      </c>
      <c r="V49" s="619">
        <f t="shared" si="21"/>
        <v>3212.6</v>
      </c>
      <c r="W49" s="619">
        <f t="shared" si="21"/>
        <v>1200.3</v>
      </c>
      <c r="X49" s="619">
        <f t="shared" si="21"/>
        <v>8086.6</v>
      </c>
      <c r="Y49" s="619">
        <f t="shared" si="21"/>
        <v>15318.7</v>
      </c>
      <c r="Z49" s="619">
        <f t="shared" si="21"/>
        <v>7016.7</v>
      </c>
      <c r="AA49" s="619">
        <f t="shared" si="21"/>
        <v>6180.1</v>
      </c>
      <c r="AB49" s="619">
        <f t="shared" si="21"/>
        <v>8195.9</v>
      </c>
      <c r="AC49" s="618">
        <f t="shared" si="21"/>
        <v>-5000</v>
      </c>
      <c r="AD49" s="618">
        <f t="shared" si="21"/>
        <v>-15000</v>
      </c>
      <c r="AE49" s="620">
        <f t="shared" si="21"/>
        <v>6909.2</v>
      </c>
      <c r="AF49" s="620">
        <f t="shared" si="21"/>
        <v>4884.4</v>
      </c>
      <c r="AG49" s="620">
        <f t="shared" si="21"/>
        <v>3256.1</v>
      </c>
      <c r="AH49" s="620">
        <f t="shared" si="21"/>
        <v>3590.7</v>
      </c>
      <c r="AI49" s="620">
        <f t="shared" si="21"/>
        <v>5037.6</v>
      </c>
      <c r="AJ49" s="620">
        <f t="shared" si="21"/>
        <v>9712.1</v>
      </c>
      <c r="AK49" s="620">
        <f t="shared" si="21"/>
        <v>2775.2</v>
      </c>
      <c r="AL49" s="620">
        <f t="shared" si="21"/>
        <v>2904.8</v>
      </c>
      <c r="AM49" s="620">
        <f t="shared" si="21"/>
        <v>5577.1</v>
      </c>
      <c r="AN49" s="620">
        <f t="shared" si="21"/>
        <v>1310.4</v>
      </c>
      <c r="AO49" s="620">
        <f t="shared" si="21"/>
        <v>1977.4</v>
      </c>
      <c r="AP49" s="621"/>
      <c r="AQ49" s="622">
        <f t="shared" si="16"/>
        <v>53919.5</v>
      </c>
      <c r="AR49" s="173">
        <f t="shared" ref="AR49:AT49" si="22">SUM(AR5:AR48)</f>
        <v>80766.3</v>
      </c>
      <c r="AS49" s="334">
        <f t="shared" si="22"/>
        <v>-10187.7</v>
      </c>
      <c r="AT49" s="71">
        <f t="shared" si="22"/>
        <v>42125.9</v>
      </c>
      <c r="AU49" s="25"/>
      <c r="AV49" s="25"/>
      <c r="AW49" s="25"/>
    </row>
    <row r="50" ht="15.75" customHeight="1">
      <c r="A50" s="125"/>
      <c r="B50" s="247" t="s">
        <v>143</v>
      </c>
      <c r="C50" s="623">
        <v>55.4</v>
      </c>
      <c r="D50" s="623"/>
      <c r="E50" s="623"/>
      <c r="F50" s="624"/>
      <c r="G50" s="625"/>
      <c r="H50" s="623"/>
      <c r="I50" s="623"/>
      <c r="J50" s="623"/>
      <c r="K50" s="623"/>
      <c r="L50" s="623"/>
      <c r="M50" s="623"/>
      <c r="N50" s="623"/>
      <c r="O50" s="623"/>
      <c r="P50" s="623"/>
      <c r="Q50" s="626"/>
      <c r="R50" s="626"/>
      <c r="S50" s="626"/>
      <c r="T50" s="626"/>
      <c r="U50" s="626"/>
      <c r="V50" s="626"/>
      <c r="W50" s="623"/>
      <c r="X50" s="627"/>
      <c r="Y50" s="627">
        <f>Y63</f>
        <v>219.2</v>
      </c>
      <c r="Z50" s="627"/>
      <c r="AA50" s="627"/>
      <c r="AB50" s="627"/>
      <c r="AC50" s="627"/>
      <c r="AD50" s="627"/>
      <c r="AE50" s="627"/>
      <c r="AF50" s="627"/>
      <c r="AG50" s="627"/>
      <c r="AH50" s="627"/>
      <c r="AI50" s="627"/>
      <c r="AJ50" s="627"/>
      <c r="AK50" s="627"/>
      <c r="AL50" s="627"/>
      <c r="AM50" s="627"/>
      <c r="AN50" s="627"/>
      <c r="AO50" s="627"/>
      <c r="AP50" s="627"/>
      <c r="AQ50" s="628">
        <f t="shared" ref="AQ50:AQ51" si="23">SUM(C50:Z50)</f>
        <v>274.6</v>
      </c>
      <c r="AR50" s="124"/>
      <c r="AS50" s="334">
        <f t="shared" ref="AS50:AS51" si="24">AQ50-AR50</f>
        <v>274.6</v>
      </c>
      <c r="AT50" s="23"/>
      <c r="AU50" s="25"/>
      <c r="AV50" s="125"/>
      <c r="AW50" s="125"/>
      <c r="AX50" s="125"/>
      <c r="AY50" s="125"/>
      <c r="AZ50" s="125"/>
      <c r="BA50" s="125"/>
      <c r="BB50" s="125"/>
      <c r="BC50" s="125"/>
    </row>
    <row r="51" ht="15.75" customHeight="1">
      <c r="A51" s="125"/>
      <c r="B51" s="23"/>
      <c r="C51" s="25"/>
      <c r="D51" s="25"/>
      <c r="E51" s="25"/>
      <c r="F51" s="629"/>
      <c r="G51" s="630"/>
      <c r="H51" s="25"/>
      <c r="I51" s="25"/>
      <c r="J51" s="25"/>
      <c r="K51" s="25"/>
      <c r="L51" s="25"/>
      <c r="M51" s="25"/>
      <c r="N51" s="25"/>
      <c r="O51" s="25"/>
      <c r="P51" s="25"/>
      <c r="Q51" s="11"/>
      <c r="R51" s="11"/>
      <c r="S51" s="11"/>
      <c r="T51" s="11"/>
      <c r="U51" s="11"/>
      <c r="V51" s="11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631">
        <f t="shared" si="23"/>
        <v>0</v>
      </c>
      <c r="AR51" s="124"/>
      <c r="AS51" s="334">
        <f t="shared" si="24"/>
        <v>0</v>
      </c>
      <c r="AT51" s="23"/>
      <c r="AU51" s="25"/>
      <c r="AV51" s="125"/>
      <c r="AW51" s="125"/>
      <c r="AX51" s="125"/>
      <c r="AY51" s="125"/>
      <c r="AZ51" s="125"/>
      <c r="BA51" s="125"/>
      <c r="BB51" s="125"/>
      <c r="BC51" s="125"/>
    </row>
    <row r="52" ht="15.75" customHeight="1">
      <c r="A52" s="25"/>
      <c r="B52" s="25"/>
      <c r="C52" s="627"/>
      <c r="D52" s="627"/>
      <c r="E52" s="627"/>
      <c r="F52" s="629"/>
      <c r="G52" s="630"/>
      <c r="H52" s="627"/>
      <c r="I52" s="627"/>
      <c r="J52" s="627"/>
      <c r="K52" s="627"/>
      <c r="L52" s="627"/>
      <c r="M52" s="627"/>
      <c r="N52" s="627"/>
      <c r="O52" s="627"/>
      <c r="P52" s="627"/>
      <c r="Q52" s="632"/>
      <c r="R52" s="632"/>
      <c r="S52" s="632"/>
      <c r="T52" s="632"/>
      <c r="U52" s="632"/>
      <c r="V52" s="632"/>
      <c r="W52" s="627"/>
      <c r="X52" s="627"/>
      <c r="Y52" s="627"/>
      <c r="Z52" s="627"/>
      <c r="AA52" s="627"/>
      <c r="AB52" s="627"/>
      <c r="AC52" s="627"/>
      <c r="AD52" s="627"/>
      <c r="AE52" s="627"/>
      <c r="AF52" s="627"/>
      <c r="AG52" s="627"/>
      <c r="AH52" s="627"/>
      <c r="AI52" s="627"/>
      <c r="AJ52" s="627"/>
      <c r="AK52" s="627"/>
      <c r="AL52" s="627"/>
      <c r="AM52" s="627"/>
      <c r="AN52" s="627"/>
      <c r="AO52" s="627"/>
      <c r="AP52" s="627"/>
      <c r="AQ52" s="627"/>
      <c r="AR52" s="71"/>
      <c r="AS52" s="25"/>
      <c r="AT52" s="23"/>
      <c r="AU52" s="25"/>
      <c r="AV52" s="25"/>
      <c r="AW52" s="25"/>
      <c r="AX52" s="25"/>
      <c r="AY52" s="25"/>
      <c r="AZ52" s="25"/>
      <c r="BA52" s="25"/>
      <c r="BB52" s="25"/>
      <c r="BC52" s="25"/>
    </row>
    <row r="53" ht="15.75" customHeight="1">
      <c r="A53" s="25"/>
      <c r="B53" s="25"/>
      <c r="C53" s="25"/>
      <c r="D53" s="25"/>
      <c r="E53" s="25"/>
      <c r="F53" s="629"/>
      <c r="G53" s="630"/>
      <c r="H53" s="25"/>
      <c r="I53" s="25"/>
      <c r="J53" s="25"/>
      <c r="K53" s="25"/>
      <c r="L53" s="25"/>
      <c r="M53" s="25"/>
      <c r="N53" s="25"/>
      <c r="O53" s="25"/>
      <c r="P53" s="25"/>
      <c r="Q53" s="11"/>
      <c r="R53" s="11"/>
      <c r="S53" s="11"/>
      <c r="T53" s="11"/>
      <c r="U53" s="11"/>
      <c r="V53" s="11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71"/>
      <c r="AS53" s="25"/>
      <c r="AT53" s="23"/>
      <c r="AU53" s="25"/>
      <c r="AV53" s="25"/>
      <c r="AW53" s="25"/>
      <c r="AX53" s="25"/>
      <c r="AY53" s="25"/>
      <c r="AZ53" s="25"/>
      <c r="BA53" s="25"/>
      <c r="BB53" s="25"/>
      <c r="BC53" s="25"/>
    </row>
    <row r="54" ht="15.75" customHeight="1">
      <c r="A54" s="25"/>
      <c r="B54" s="25"/>
      <c r="C54" s="25"/>
      <c r="D54" s="25"/>
      <c r="E54" s="25"/>
      <c r="F54" s="629"/>
      <c r="G54" s="630"/>
      <c r="H54" s="25"/>
      <c r="I54" s="25"/>
      <c r="J54" s="25"/>
      <c r="K54" s="25"/>
      <c r="L54" s="25"/>
      <c r="M54" s="25"/>
      <c r="N54" s="25"/>
      <c r="O54" s="25"/>
      <c r="P54" s="25"/>
      <c r="Q54" s="11"/>
      <c r="R54" s="11"/>
      <c r="S54" s="11"/>
      <c r="T54" s="11"/>
      <c r="U54" s="11"/>
      <c r="V54" s="11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71"/>
      <c r="AS54" s="25"/>
      <c r="AT54" s="23"/>
      <c r="AU54" s="25"/>
      <c r="AV54" s="25"/>
      <c r="AW54" s="25"/>
      <c r="AX54" s="25"/>
      <c r="AY54" s="25"/>
      <c r="AZ54" s="25"/>
      <c r="BA54" s="25"/>
      <c r="BB54" s="25"/>
      <c r="BC54" s="25"/>
    </row>
    <row r="55" ht="15.75" customHeight="1">
      <c r="A55" s="25"/>
      <c r="B55" s="633" t="s">
        <v>143</v>
      </c>
      <c r="C55" s="634"/>
      <c r="D55" s="634"/>
      <c r="E55" s="634"/>
      <c r="F55" s="635"/>
      <c r="G55" s="636"/>
      <c r="H55" s="634"/>
      <c r="I55" s="637"/>
      <c r="J55" s="637"/>
      <c r="K55" s="637"/>
      <c r="L55" s="637"/>
      <c r="M55" s="637"/>
      <c r="N55" s="637"/>
      <c r="O55" s="637"/>
      <c r="P55" s="637"/>
      <c r="Q55" s="638"/>
      <c r="R55" s="638"/>
      <c r="S55" s="638"/>
      <c r="T55" s="638"/>
      <c r="U55" s="638"/>
      <c r="V55" s="638"/>
      <c r="W55" s="637"/>
      <c r="X55" s="637"/>
      <c r="Y55" s="637"/>
      <c r="Z55" s="637"/>
      <c r="AA55" s="637"/>
      <c r="AB55" s="637"/>
      <c r="AC55" s="637"/>
      <c r="AD55" s="637"/>
      <c r="AE55" s="637"/>
      <c r="AF55" s="637"/>
      <c r="AG55" s="637"/>
      <c r="AH55" s="637"/>
      <c r="AI55" s="637"/>
      <c r="AJ55" s="637"/>
      <c r="AK55" s="637"/>
      <c r="AL55" s="637"/>
      <c r="AM55" s="637"/>
      <c r="AN55" s="637"/>
      <c r="AO55" s="637"/>
      <c r="AP55" s="637"/>
      <c r="AQ55" s="639" t="s">
        <v>142</v>
      </c>
      <c r="AR55" s="71"/>
      <c r="AS55" s="25"/>
      <c r="AT55" s="23"/>
      <c r="AU55" s="25"/>
      <c r="AV55" s="25"/>
      <c r="AW55" s="25"/>
      <c r="AX55" s="25"/>
      <c r="AY55" s="25"/>
      <c r="AZ55" s="25"/>
      <c r="BA55" s="25"/>
      <c r="BB55" s="25"/>
      <c r="BC55" s="25"/>
    </row>
    <row r="56" ht="15.75" customHeight="1">
      <c r="A56" s="25"/>
      <c r="B56" s="640" t="s">
        <v>196</v>
      </c>
      <c r="C56" s="641">
        <v>12.3</v>
      </c>
      <c r="D56" s="641"/>
      <c r="E56" s="641"/>
      <c r="F56" s="642"/>
      <c r="G56" s="643"/>
      <c r="H56" s="641"/>
      <c r="I56" s="644"/>
      <c r="J56" s="644"/>
      <c r="K56" s="644"/>
      <c r="L56" s="644"/>
      <c r="M56" s="644"/>
      <c r="N56" s="644"/>
      <c r="O56" s="644"/>
      <c r="P56" s="644"/>
      <c r="Q56" s="645"/>
      <c r="R56" s="645"/>
      <c r="S56" s="645"/>
      <c r="T56" s="645"/>
      <c r="U56" s="645"/>
      <c r="V56" s="645"/>
      <c r="W56" s="644"/>
      <c r="X56" s="644"/>
      <c r="Y56" s="644">
        <v>68.1</v>
      </c>
      <c r="Z56" s="644"/>
      <c r="AA56" s="644"/>
      <c r="AB56" s="644"/>
      <c r="AC56" s="644"/>
      <c r="AD56" s="644"/>
      <c r="AE56" s="644"/>
      <c r="AF56" s="644"/>
      <c r="AG56" s="644"/>
      <c r="AH56" s="644"/>
      <c r="AI56" s="644"/>
      <c r="AJ56" s="644"/>
      <c r="AK56" s="644"/>
      <c r="AL56" s="644"/>
      <c r="AM56" s="644"/>
      <c r="AN56" s="644"/>
      <c r="AO56" s="644"/>
      <c r="AP56" s="644"/>
      <c r="AQ56" s="646">
        <f t="shared" ref="AQ56:AQ58" si="25">C56</f>
        <v>12.3</v>
      </c>
      <c r="AR56" s="71"/>
      <c r="AS56" s="25"/>
      <c r="AT56" s="23"/>
      <c r="AU56" s="25"/>
      <c r="AV56" s="25"/>
      <c r="AW56" s="25"/>
      <c r="AX56" s="25"/>
      <c r="AY56" s="25"/>
      <c r="AZ56" s="25"/>
      <c r="BA56" s="25"/>
      <c r="BB56" s="25"/>
      <c r="BC56" s="25"/>
    </row>
    <row r="57" ht="15.75" customHeight="1">
      <c r="A57" s="25"/>
      <c r="B57" s="647" t="s">
        <v>197</v>
      </c>
      <c r="C57" s="648">
        <v>7.2</v>
      </c>
      <c r="D57" s="648"/>
      <c r="E57" s="648"/>
      <c r="F57" s="649"/>
      <c r="G57" s="650"/>
      <c r="H57" s="648"/>
      <c r="I57" s="651"/>
      <c r="J57" s="651"/>
      <c r="K57" s="651"/>
      <c r="L57" s="651"/>
      <c r="M57" s="651"/>
      <c r="N57" s="651"/>
      <c r="O57" s="651"/>
      <c r="P57" s="651"/>
      <c r="Q57" s="652"/>
      <c r="R57" s="652"/>
      <c r="S57" s="652"/>
      <c r="T57" s="652"/>
      <c r="U57" s="652"/>
      <c r="V57" s="652"/>
      <c r="W57" s="651"/>
      <c r="X57" s="651"/>
      <c r="Y57" s="651">
        <v>52.4</v>
      </c>
      <c r="Z57" s="651"/>
      <c r="AA57" s="651"/>
      <c r="AB57" s="651"/>
      <c r="AC57" s="651"/>
      <c r="AD57" s="651"/>
      <c r="AE57" s="651"/>
      <c r="AF57" s="651"/>
      <c r="AG57" s="651"/>
      <c r="AH57" s="651"/>
      <c r="AI57" s="651"/>
      <c r="AJ57" s="651"/>
      <c r="AK57" s="651"/>
      <c r="AL57" s="651"/>
      <c r="AM57" s="651"/>
      <c r="AN57" s="651"/>
      <c r="AO57" s="651"/>
      <c r="AP57" s="651"/>
      <c r="AQ57" s="653">
        <f t="shared" si="25"/>
        <v>7.2</v>
      </c>
      <c r="AR57" s="71"/>
      <c r="AS57" s="25"/>
      <c r="AT57" s="23"/>
      <c r="AU57" s="25"/>
      <c r="AV57" s="25"/>
      <c r="AW57" s="25"/>
      <c r="AX57" s="25"/>
      <c r="AY57" s="25"/>
      <c r="AZ57" s="25"/>
      <c r="BA57" s="25"/>
      <c r="BB57" s="25"/>
      <c r="BC57" s="25"/>
    </row>
    <row r="58" ht="15.75" customHeight="1">
      <c r="A58" s="25"/>
      <c r="B58" s="647" t="s">
        <v>198</v>
      </c>
      <c r="C58" s="648">
        <v>3.2</v>
      </c>
      <c r="D58" s="648"/>
      <c r="E58" s="648"/>
      <c r="F58" s="649"/>
      <c r="G58" s="650"/>
      <c r="H58" s="648"/>
      <c r="I58" s="651"/>
      <c r="J58" s="651"/>
      <c r="K58" s="651"/>
      <c r="L58" s="651"/>
      <c r="M58" s="651"/>
      <c r="N58" s="651"/>
      <c r="O58" s="651"/>
      <c r="P58" s="651"/>
      <c r="Q58" s="652"/>
      <c r="R58" s="652"/>
      <c r="S58" s="652"/>
      <c r="T58" s="652"/>
      <c r="U58" s="652"/>
      <c r="V58" s="652"/>
      <c r="W58" s="651"/>
      <c r="X58" s="651"/>
      <c r="Y58" s="651">
        <v>55.3</v>
      </c>
      <c r="Z58" s="651"/>
      <c r="AA58" s="651"/>
      <c r="AB58" s="651"/>
      <c r="AC58" s="651"/>
      <c r="AD58" s="651"/>
      <c r="AE58" s="651"/>
      <c r="AF58" s="651"/>
      <c r="AG58" s="651"/>
      <c r="AH58" s="651"/>
      <c r="AI58" s="651"/>
      <c r="AJ58" s="651"/>
      <c r="AK58" s="651"/>
      <c r="AL58" s="651"/>
      <c r="AM58" s="651"/>
      <c r="AN58" s="651"/>
      <c r="AO58" s="651"/>
      <c r="AP58" s="651"/>
      <c r="AQ58" s="653">
        <f t="shared" si="25"/>
        <v>3.2</v>
      </c>
      <c r="AR58" s="71"/>
      <c r="AS58" s="25"/>
      <c r="AT58" s="23"/>
      <c r="AU58" s="25"/>
      <c r="AV58" s="25"/>
      <c r="AW58" s="25"/>
      <c r="AX58" s="25"/>
      <c r="AY58" s="25"/>
      <c r="AZ58" s="25"/>
      <c r="BA58" s="25"/>
      <c r="BB58" s="25"/>
      <c r="BC58" s="25"/>
    </row>
    <row r="59" ht="15.75" customHeight="1">
      <c r="A59" s="25"/>
      <c r="B59" s="647" t="s">
        <v>199</v>
      </c>
      <c r="C59" s="648"/>
      <c r="D59" s="648"/>
      <c r="E59" s="648"/>
      <c r="F59" s="649"/>
      <c r="G59" s="650"/>
      <c r="H59" s="648"/>
      <c r="I59" s="651"/>
      <c r="J59" s="651"/>
      <c r="K59" s="651"/>
      <c r="L59" s="651"/>
      <c r="M59" s="651"/>
      <c r="N59" s="651"/>
      <c r="O59" s="651"/>
      <c r="P59" s="651"/>
      <c r="Q59" s="652"/>
      <c r="R59" s="652"/>
      <c r="S59" s="652"/>
      <c r="T59" s="652"/>
      <c r="U59" s="652"/>
      <c r="V59" s="652"/>
      <c r="W59" s="651"/>
      <c r="X59" s="651"/>
      <c r="Y59" s="651">
        <v>19.2</v>
      </c>
      <c r="Z59" s="651"/>
      <c r="AA59" s="651"/>
      <c r="AB59" s="651"/>
      <c r="AC59" s="651"/>
      <c r="AD59" s="651"/>
      <c r="AE59" s="651"/>
      <c r="AF59" s="651"/>
      <c r="AG59" s="651"/>
      <c r="AH59" s="651"/>
      <c r="AI59" s="651"/>
      <c r="AJ59" s="651"/>
      <c r="AK59" s="651"/>
      <c r="AL59" s="651"/>
      <c r="AM59" s="651"/>
      <c r="AN59" s="651"/>
      <c r="AO59" s="651"/>
      <c r="AP59" s="651"/>
      <c r="AQ59" s="653"/>
      <c r="AR59" s="71"/>
      <c r="AS59" s="25"/>
      <c r="AT59" s="23"/>
      <c r="AU59" s="25"/>
      <c r="AV59" s="25"/>
      <c r="AW59" s="25"/>
      <c r="AX59" s="25"/>
      <c r="AY59" s="25"/>
      <c r="AZ59" s="25"/>
      <c r="BA59" s="25"/>
      <c r="BB59" s="25"/>
      <c r="BC59" s="25"/>
    </row>
    <row r="60" ht="15.75" customHeight="1">
      <c r="A60" s="25"/>
      <c r="B60" s="647" t="s">
        <v>194</v>
      </c>
      <c r="C60" s="648"/>
      <c r="D60" s="648"/>
      <c r="E60" s="648"/>
      <c r="F60" s="649"/>
      <c r="G60" s="650"/>
      <c r="H60" s="648"/>
      <c r="I60" s="651"/>
      <c r="J60" s="651"/>
      <c r="K60" s="651"/>
      <c r="L60" s="651"/>
      <c r="M60" s="651"/>
      <c r="N60" s="651"/>
      <c r="O60" s="651"/>
      <c r="P60" s="651"/>
      <c r="Q60" s="652"/>
      <c r="R60" s="652"/>
      <c r="S60" s="652"/>
      <c r="T60" s="652"/>
      <c r="U60" s="652"/>
      <c r="V60" s="652"/>
      <c r="W60" s="651"/>
      <c r="X60" s="651"/>
      <c r="Y60" s="651">
        <v>24.2</v>
      </c>
      <c r="Z60" s="651"/>
      <c r="AA60" s="651"/>
      <c r="AB60" s="651"/>
      <c r="AC60" s="651"/>
      <c r="AD60" s="651"/>
      <c r="AE60" s="651"/>
      <c r="AF60" s="651"/>
      <c r="AG60" s="651"/>
      <c r="AH60" s="651"/>
      <c r="AI60" s="651"/>
      <c r="AJ60" s="651"/>
      <c r="AK60" s="651"/>
      <c r="AL60" s="651"/>
      <c r="AM60" s="651"/>
      <c r="AN60" s="651"/>
      <c r="AO60" s="651"/>
      <c r="AP60" s="651"/>
      <c r="AQ60" s="653"/>
      <c r="AR60" s="71"/>
      <c r="AS60" s="25"/>
      <c r="AT60" s="23"/>
      <c r="AU60" s="25"/>
      <c r="AV60" s="25"/>
      <c r="AW60" s="25"/>
      <c r="AX60" s="25"/>
      <c r="AY60" s="25"/>
      <c r="AZ60" s="25"/>
      <c r="BA60" s="25"/>
      <c r="BB60" s="25"/>
      <c r="BC60" s="25"/>
    </row>
    <row r="61" ht="15.75" customHeight="1">
      <c r="A61" s="25"/>
      <c r="B61" s="647" t="s">
        <v>11</v>
      </c>
      <c r="C61" s="648"/>
      <c r="D61" s="648"/>
      <c r="E61" s="648"/>
      <c r="F61" s="649"/>
      <c r="G61" s="650"/>
      <c r="H61" s="648"/>
      <c r="I61" s="651"/>
      <c r="J61" s="651"/>
      <c r="K61" s="651"/>
      <c r="L61" s="651"/>
      <c r="M61" s="651"/>
      <c r="N61" s="651"/>
      <c r="O61" s="651"/>
      <c r="P61" s="651"/>
      <c r="Q61" s="652"/>
      <c r="R61" s="652"/>
      <c r="S61" s="652"/>
      <c r="T61" s="652"/>
      <c r="U61" s="652"/>
      <c r="V61" s="652"/>
      <c r="W61" s="651"/>
      <c r="X61" s="651"/>
      <c r="Y61" s="651"/>
      <c r="Z61" s="651"/>
      <c r="AA61" s="651"/>
      <c r="AB61" s="651"/>
      <c r="AC61" s="651"/>
      <c r="AD61" s="651"/>
      <c r="AE61" s="651"/>
      <c r="AF61" s="651"/>
      <c r="AG61" s="651"/>
      <c r="AH61" s="651"/>
      <c r="AI61" s="651"/>
      <c r="AJ61" s="651"/>
      <c r="AK61" s="651"/>
      <c r="AL61" s="651"/>
      <c r="AM61" s="651"/>
      <c r="AN61" s="651"/>
      <c r="AO61" s="651"/>
      <c r="AP61" s="651"/>
      <c r="AQ61" s="653"/>
      <c r="AR61" s="71"/>
      <c r="AS61" s="25"/>
      <c r="AT61" s="23"/>
      <c r="AU61" s="25"/>
      <c r="AV61" s="25"/>
      <c r="AW61" s="25"/>
      <c r="AX61" s="25"/>
      <c r="AY61" s="25"/>
      <c r="AZ61" s="25"/>
      <c r="BA61" s="25"/>
      <c r="BB61" s="25"/>
      <c r="BC61" s="25"/>
    </row>
    <row r="62" ht="15.75" customHeight="1">
      <c r="A62" s="25"/>
      <c r="B62" s="654"/>
      <c r="C62" s="655"/>
      <c r="D62" s="655"/>
      <c r="E62" s="655"/>
      <c r="F62" s="656"/>
      <c r="G62" s="657"/>
      <c r="H62" s="655"/>
      <c r="I62" s="658"/>
      <c r="J62" s="658"/>
      <c r="K62" s="658"/>
      <c r="L62" s="658"/>
      <c r="M62" s="658"/>
      <c r="N62" s="658"/>
      <c r="O62" s="658"/>
      <c r="P62" s="658"/>
      <c r="Q62" s="659"/>
      <c r="R62" s="659"/>
      <c r="S62" s="659"/>
      <c r="T62" s="659"/>
      <c r="U62" s="659"/>
      <c r="V62" s="659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60"/>
      <c r="AR62" s="71"/>
      <c r="AS62" s="25"/>
      <c r="AT62" s="23"/>
      <c r="AU62" s="25"/>
      <c r="AV62" s="25"/>
      <c r="AW62" s="25"/>
      <c r="AX62" s="25"/>
      <c r="AY62" s="25"/>
      <c r="AZ62" s="25"/>
      <c r="BA62" s="25"/>
      <c r="BB62" s="25"/>
      <c r="BC62" s="25"/>
    </row>
    <row r="63" ht="15.75" customHeight="1">
      <c r="A63" s="25"/>
      <c r="B63" s="633" t="s">
        <v>142</v>
      </c>
      <c r="C63" s="634">
        <f t="shared" ref="C63:H63" si="26">SUM(C56:C62)</f>
        <v>22.7</v>
      </c>
      <c r="D63" s="634">
        <f t="shared" si="26"/>
        <v>0</v>
      </c>
      <c r="E63" s="634">
        <f t="shared" si="26"/>
        <v>0</v>
      </c>
      <c r="F63" s="635">
        <f t="shared" si="26"/>
        <v>0</v>
      </c>
      <c r="G63" s="636">
        <f t="shared" si="26"/>
        <v>0</v>
      </c>
      <c r="H63" s="634">
        <f t="shared" si="26"/>
        <v>0</v>
      </c>
      <c r="I63" s="637"/>
      <c r="J63" s="637"/>
      <c r="K63" s="637"/>
      <c r="L63" s="637"/>
      <c r="M63" s="637"/>
      <c r="N63" s="637"/>
      <c r="O63" s="637"/>
      <c r="P63" s="637"/>
      <c r="Q63" s="638"/>
      <c r="R63" s="638"/>
      <c r="S63" s="638"/>
      <c r="T63" s="638"/>
      <c r="U63" s="638"/>
      <c r="V63" s="638"/>
      <c r="W63" s="637"/>
      <c r="X63" s="637"/>
      <c r="Y63" s="637">
        <f>SUM(Y56:Y62)</f>
        <v>219.2</v>
      </c>
      <c r="Z63" s="637"/>
      <c r="AA63" s="637"/>
      <c r="AB63" s="637"/>
      <c r="AC63" s="637"/>
      <c r="AD63" s="637"/>
      <c r="AE63" s="637"/>
      <c r="AF63" s="637"/>
      <c r="AG63" s="637"/>
      <c r="AH63" s="637"/>
      <c r="AI63" s="637"/>
      <c r="AJ63" s="637"/>
      <c r="AK63" s="637"/>
      <c r="AL63" s="637"/>
      <c r="AM63" s="637"/>
      <c r="AN63" s="637"/>
      <c r="AO63" s="637"/>
      <c r="AP63" s="637"/>
      <c r="AQ63" s="639">
        <f>SUM(AQ56:AQ62)</f>
        <v>22.7</v>
      </c>
      <c r="AR63" s="71"/>
      <c r="AS63" s="25"/>
      <c r="AT63" s="23"/>
      <c r="AU63" s="25"/>
      <c r="AV63" s="25"/>
      <c r="AW63" s="25"/>
      <c r="AX63" s="25"/>
      <c r="AY63" s="25"/>
      <c r="AZ63" s="25"/>
      <c r="BA63" s="25"/>
      <c r="BB63" s="25"/>
      <c r="BC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11"/>
      <c r="R64" s="11"/>
      <c r="S64" s="11"/>
      <c r="T64" s="11"/>
      <c r="U64" s="11"/>
      <c r="V64" s="11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71"/>
      <c r="AS64" s="25"/>
      <c r="AT64" s="23"/>
      <c r="AU64" s="25"/>
      <c r="AV64" s="25"/>
      <c r="AW64" s="25"/>
      <c r="AX64" s="25"/>
      <c r="AY64" s="25"/>
      <c r="AZ64" s="25"/>
      <c r="BA64" s="25"/>
      <c r="BB64" s="25"/>
      <c r="BC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11"/>
      <c r="R65" s="11"/>
      <c r="S65" s="11"/>
      <c r="T65" s="11"/>
      <c r="U65" s="11"/>
      <c r="V65" s="11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71"/>
      <c r="AS65" s="25"/>
      <c r="AT65" s="23"/>
      <c r="AU65" s="25"/>
      <c r="AV65" s="25"/>
      <c r="AW65" s="25"/>
      <c r="AX65" s="25"/>
      <c r="AY65" s="25"/>
      <c r="AZ65" s="25"/>
      <c r="BA65" s="25"/>
      <c r="BB65" s="25"/>
      <c r="BC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11"/>
      <c r="R66" s="11"/>
      <c r="S66" s="11"/>
      <c r="T66" s="11"/>
      <c r="U66" s="11"/>
      <c r="V66" s="11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71"/>
      <c r="AS66" s="25"/>
      <c r="AT66" s="23"/>
      <c r="AU66" s="25"/>
      <c r="AV66" s="25"/>
      <c r="AW66" s="25"/>
      <c r="AX66" s="25"/>
      <c r="AY66" s="25"/>
      <c r="AZ66" s="25"/>
      <c r="BA66" s="25"/>
      <c r="BB66" s="25"/>
      <c r="BC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11"/>
      <c r="R67" s="11"/>
      <c r="S67" s="11"/>
      <c r="T67" s="11"/>
      <c r="U67" s="11"/>
      <c r="V67" s="11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71"/>
      <c r="AS67" s="25"/>
      <c r="AT67" s="23"/>
      <c r="AU67" s="25"/>
      <c r="AV67" s="25"/>
      <c r="AW67" s="25"/>
      <c r="AX67" s="25"/>
      <c r="AY67" s="25"/>
      <c r="AZ67" s="25"/>
      <c r="BA67" s="25"/>
      <c r="BB67" s="25"/>
      <c r="BC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11"/>
      <c r="R68" s="11"/>
      <c r="S68" s="11"/>
      <c r="T68" s="11"/>
      <c r="U68" s="11"/>
      <c r="V68" s="11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71"/>
      <c r="AS68" s="25"/>
      <c r="AT68" s="23"/>
      <c r="AU68" s="25"/>
      <c r="AV68" s="25"/>
      <c r="AW68" s="25"/>
      <c r="AX68" s="25"/>
      <c r="AY68" s="25"/>
      <c r="AZ68" s="25"/>
      <c r="BA68" s="25"/>
      <c r="BB68" s="25"/>
      <c r="BC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11"/>
      <c r="R69" s="11"/>
      <c r="S69" s="11"/>
      <c r="T69" s="11"/>
      <c r="U69" s="11"/>
      <c r="V69" s="11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71"/>
      <c r="AS69" s="25"/>
      <c r="AT69" s="23"/>
      <c r="AU69" s="25"/>
      <c r="AV69" s="25"/>
      <c r="AW69" s="25"/>
      <c r="AX69" s="25"/>
      <c r="AY69" s="25"/>
      <c r="AZ69" s="25"/>
      <c r="BA69" s="25"/>
      <c r="BB69" s="25"/>
      <c r="BC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11"/>
      <c r="R70" s="11"/>
      <c r="S70" s="11"/>
      <c r="T70" s="11"/>
      <c r="U70" s="11"/>
      <c r="V70" s="11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71"/>
      <c r="AS70" s="25"/>
      <c r="AT70" s="23"/>
      <c r="AU70" s="25"/>
      <c r="AV70" s="25"/>
      <c r="AW70" s="25"/>
      <c r="AX70" s="25"/>
      <c r="AY70" s="25"/>
      <c r="AZ70" s="25"/>
      <c r="BA70" s="25"/>
      <c r="BB70" s="25"/>
      <c r="BC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11"/>
      <c r="R71" s="11"/>
      <c r="S71" s="11"/>
      <c r="T71" s="11"/>
      <c r="U71" s="11"/>
      <c r="V71" s="11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71"/>
      <c r="AS71" s="25"/>
      <c r="AT71" s="23"/>
      <c r="AU71" s="25"/>
      <c r="AV71" s="25"/>
      <c r="AW71" s="25"/>
      <c r="AX71" s="25"/>
      <c r="AY71" s="25"/>
      <c r="AZ71" s="25"/>
      <c r="BA71" s="25"/>
      <c r="BB71" s="25"/>
      <c r="BC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11"/>
      <c r="R72" s="11"/>
      <c r="S72" s="11"/>
      <c r="T72" s="11"/>
      <c r="U72" s="11"/>
      <c r="V72" s="11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71"/>
      <c r="AS72" s="25"/>
      <c r="AT72" s="23"/>
      <c r="AU72" s="25"/>
      <c r="AV72" s="25"/>
      <c r="AW72" s="25"/>
      <c r="AX72" s="25"/>
      <c r="AY72" s="25"/>
      <c r="AZ72" s="25"/>
      <c r="BA72" s="25"/>
      <c r="BB72" s="25"/>
      <c r="BC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11"/>
      <c r="R73" s="11"/>
      <c r="S73" s="11"/>
      <c r="T73" s="11"/>
      <c r="U73" s="11"/>
      <c r="V73" s="11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71"/>
      <c r="AS73" s="25"/>
      <c r="AT73" s="23"/>
      <c r="AU73" s="25"/>
      <c r="AV73" s="25"/>
      <c r="AW73" s="25"/>
      <c r="AX73" s="25"/>
      <c r="AY73" s="25"/>
      <c r="AZ73" s="25"/>
      <c r="BA73" s="25"/>
      <c r="BB73" s="25"/>
      <c r="BC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11"/>
      <c r="R74" s="11"/>
      <c r="S74" s="11"/>
      <c r="T74" s="11"/>
      <c r="U74" s="11"/>
      <c r="V74" s="11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71"/>
      <c r="AS74" s="25"/>
      <c r="AT74" s="23"/>
      <c r="AU74" s="25"/>
      <c r="AV74" s="25"/>
      <c r="AW74" s="25"/>
      <c r="AX74" s="25"/>
      <c r="AY74" s="25"/>
      <c r="AZ74" s="25"/>
      <c r="BA74" s="25"/>
      <c r="BB74" s="25"/>
      <c r="BC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11"/>
      <c r="R75" s="11"/>
      <c r="S75" s="11"/>
      <c r="T75" s="11"/>
      <c r="U75" s="11"/>
      <c r="V75" s="11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71"/>
      <c r="AS75" s="25"/>
      <c r="AT75" s="23"/>
      <c r="AU75" s="25"/>
      <c r="AV75" s="25"/>
      <c r="AW75" s="25"/>
      <c r="AX75" s="25"/>
      <c r="AY75" s="25"/>
      <c r="AZ75" s="25"/>
      <c r="BA75" s="25"/>
      <c r="BB75" s="25"/>
      <c r="BC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11"/>
      <c r="R76" s="11"/>
      <c r="S76" s="11"/>
      <c r="T76" s="11"/>
      <c r="U76" s="11"/>
      <c r="V76" s="11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71"/>
      <c r="AS76" s="25"/>
      <c r="AT76" s="23"/>
      <c r="AU76" s="25"/>
      <c r="AV76" s="25"/>
      <c r="AW76" s="25"/>
      <c r="AX76" s="25"/>
      <c r="AY76" s="25"/>
      <c r="AZ76" s="25"/>
      <c r="BA76" s="25"/>
      <c r="BB76" s="25"/>
      <c r="BC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11"/>
      <c r="R77" s="11"/>
      <c r="S77" s="11"/>
      <c r="T77" s="11"/>
      <c r="U77" s="11"/>
      <c r="V77" s="11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71"/>
      <c r="AS77" s="25"/>
      <c r="AT77" s="23"/>
      <c r="AU77" s="25"/>
      <c r="AV77" s="25"/>
      <c r="AW77" s="25"/>
      <c r="AX77" s="25"/>
      <c r="AY77" s="25"/>
      <c r="AZ77" s="25"/>
      <c r="BA77" s="25"/>
      <c r="BB77" s="25"/>
      <c r="BC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11"/>
      <c r="R78" s="11"/>
      <c r="S78" s="11"/>
      <c r="T78" s="11"/>
      <c r="U78" s="11"/>
      <c r="V78" s="11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71"/>
      <c r="AS78" s="25"/>
      <c r="AT78" s="23"/>
      <c r="AU78" s="25"/>
      <c r="AV78" s="25"/>
      <c r="AW78" s="25"/>
      <c r="AX78" s="25"/>
      <c r="AY78" s="25"/>
      <c r="AZ78" s="25"/>
      <c r="BA78" s="25"/>
      <c r="BB78" s="25"/>
      <c r="BC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11"/>
      <c r="R79" s="11"/>
      <c r="S79" s="11"/>
      <c r="T79" s="11"/>
      <c r="U79" s="11"/>
      <c r="V79" s="11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71"/>
      <c r="AS79" s="25"/>
      <c r="AT79" s="23"/>
      <c r="AU79" s="25"/>
      <c r="AV79" s="25"/>
      <c r="AW79" s="25"/>
      <c r="AX79" s="25"/>
      <c r="AY79" s="25"/>
      <c r="AZ79" s="25"/>
      <c r="BA79" s="25"/>
      <c r="BB79" s="25"/>
      <c r="BC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11"/>
      <c r="R80" s="11"/>
      <c r="S80" s="11"/>
      <c r="T80" s="11"/>
      <c r="U80" s="11"/>
      <c r="V80" s="11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71"/>
      <c r="AS80" s="25"/>
      <c r="AT80" s="23"/>
      <c r="AU80" s="25"/>
      <c r="AV80" s="25"/>
      <c r="AW80" s="25"/>
      <c r="AX80" s="25"/>
      <c r="AY80" s="25"/>
      <c r="AZ80" s="25"/>
      <c r="BA80" s="25"/>
      <c r="BB80" s="25"/>
      <c r="BC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11"/>
      <c r="R81" s="11"/>
      <c r="S81" s="11"/>
      <c r="T81" s="11"/>
      <c r="U81" s="11"/>
      <c r="V81" s="11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71"/>
      <c r="AS81" s="25"/>
      <c r="AT81" s="23"/>
      <c r="AU81" s="25"/>
      <c r="AV81" s="25"/>
      <c r="AW81" s="25"/>
      <c r="AX81" s="25"/>
      <c r="AY81" s="25"/>
      <c r="AZ81" s="25"/>
      <c r="BA81" s="25"/>
      <c r="BB81" s="25"/>
      <c r="BC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11"/>
      <c r="R82" s="11"/>
      <c r="S82" s="11"/>
      <c r="T82" s="11"/>
      <c r="U82" s="11"/>
      <c r="V82" s="11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71"/>
      <c r="AS82" s="25"/>
      <c r="AT82" s="23"/>
      <c r="AU82" s="25"/>
      <c r="AV82" s="25"/>
      <c r="AW82" s="25"/>
      <c r="AX82" s="25"/>
      <c r="AY82" s="25"/>
      <c r="AZ82" s="25"/>
      <c r="BA82" s="25"/>
      <c r="BB82" s="25"/>
      <c r="BC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11"/>
      <c r="R83" s="11"/>
      <c r="S83" s="11"/>
      <c r="T83" s="11"/>
      <c r="U83" s="11"/>
      <c r="V83" s="11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71"/>
      <c r="AS83" s="25"/>
      <c r="AT83" s="23"/>
      <c r="AU83" s="25"/>
      <c r="AV83" s="25"/>
      <c r="AW83" s="25"/>
      <c r="AX83" s="25"/>
      <c r="AY83" s="25"/>
      <c r="AZ83" s="25"/>
      <c r="BA83" s="25"/>
      <c r="BB83" s="25"/>
      <c r="BC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11"/>
      <c r="R84" s="11"/>
      <c r="S84" s="11"/>
      <c r="T84" s="11"/>
      <c r="U84" s="11"/>
      <c r="V84" s="11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71"/>
      <c r="AS84" s="25"/>
      <c r="AT84" s="23"/>
      <c r="AU84" s="25"/>
      <c r="AV84" s="25"/>
      <c r="AW84" s="25"/>
      <c r="AX84" s="25"/>
      <c r="AY84" s="25"/>
      <c r="AZ84" s="25"/>
      <c r="BA84" s="25"/>
      <c r="BB84" s="25"/>
      <c r="BC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11"/>
      <c r="R85" s="11"/>
      <c r="S85" s="11"/>
      <c r="T85" s="11"/>
      <c r="U85" s="11"/>
      <c r="V85" s="11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71"/>
      <c r="AS85" s="25"/>
      <c r="AT85" s="23"/>
      <c r="AU85" s="25"/>
      <c r="AV85" s="25"/>
      <c r="AW85" s="25"/>
      <c r="AX85" s="25"/>
      <c r="AY85" s="25"/>
      <c r="AZ85" s="25"/>
      <c r="BA85" s="25"/>
      <c r="BB85" s="25"/>
      <c r="BC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11"/>
      <c r="R86" s="11"/>
      <c r="S86" s="11"/>
      <c r="T86" s="11"/>
      <c r="U86" s="11"/>
      <c r="V86" s="11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71"/>
      <c r="AS86" s="25"/>
      <c r="AT86" s="23"/>
      <c r="AU86" s="25"/>
      <c r="AV86" s="25"/>
      <c r="AW86" s="25"/>
      <c r="AX86" s="25"/>
      <c r="AY86" s="25"/>
      <c r="AZ86" s="25"/>
      <c r="BA86" s="25"/>
      <c r="BB86" s="25"/>
      <c r="BC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11"/>
      <c r="R87" s="11"/>
      <c r="S87" s="11"/>
      <c r="T87" s="11"/>
      <c r="U87" s="11"/>
      <c r="V87" s="11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71"/>
      <c r="AS87" s="25"/>
      <c r="AT87" s="23"/>
      <c r="AU87" s="25"/>
      <c r="AV87" s="25"/>
      <c r="AW87" s="25"/>
      <c r="AX87" s="25"/>
      <c r="AY87" s="25"/>
      <c r="AZ87" s="25"/>
      <c r="BA87" s="25"/>
      <c r="BB87" s="25"/>
      <c r="BC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11"/>
      <c r="R88" s="11"/>
      <c r="S88" s="11"/>
      <c r="T88" s="11"/>
      <c r="U88" s="11"/>
      <c r="V88" s="11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71"/>
      <c r="AS88" s="25"/>
      <c r="AT88" s="23"/>
      <c r="AU88" s="25"/>
      <c r="AV88" s="25"/>
      <c r="AW88" s="25"/>
      <c r="AX88" s="25"/>
      <c r="AY88" s="25"/>
      <c r="AZ88" s="25"/>
      <c r="BA88" s="25"/>
      <c r="BB88" s="25"/>
      <c r="BC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11"/>
      <c r="R89" s="11"/>
      <c r="S89" s="11"/>
      <c r="T89" s="11"/>
      <c r="U89" s="11"/>
      <c r="V89" s="11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71"/>
      <c r="AS89" s="25"/>
      <c r="AT89" s="23"/>
      <c r="AU89" s="25"/>
      <c r="AV89" s="25"/>
      <c r="AW89" s="25"/>
      <c r="AX89" s="25"/>
      <c r="AY89" s="25"/>
      <c r="AZ89" s="25"/>
      <c r="BA89" s="25"/>
      <c r="BB89" s="25"/>
      <c r="BC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11"/>
      <c r="R90" s="11"/>
      <c r="S90" s="11"/>
      <c r="T90" s="11"/>
      <c r="U90" s="11"/>
      <c r="V90" s="11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71"/>
      <c r="AS90" s="25"/>
      <c r="AT90" s="23"/>
      <c r="AU90" s="25"/>
      <c r="AV90" s="25"/>
      <c r="AW90" s="25"/>
      <c r="AX90" s="25"/>
      <c r="AY90" s="25"/>
      <c r="AZ90" s="25"/>
      <c r="BA90" s="25"/>
      <c r="BB90" s="25"/>
      <c r="BC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11"/>
      <c r="R91" s="11"/>
      <c r="S91" s="11"/>
      <c r="T91" s="11"/>
      <c r="U91" s="11"/>
      <c r="V91" s="11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71"/>
      <c r="AS91" s="25"/>
      <c r="AT91" s="23"/>
      <c r="AU91" s="25"/>
      <c r="AV91" s="25"/>
      <c r="AW91" s="25"/>
      <c r="AX91" s="25"/>
      <c r="AY91" s="25"/>
      <c r="AZ91" s="25"/>
      <c r="BA91" s="25"/>
      <c r="BB91" s="25"/>
      <c r="BC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11"/>
      <c r="R92" s="11"/>
      <c r="S92" s="11"/>
      <c r="T92" s="11"/>
      <c r="U92" s="11"/>
      <c r="V92" s="11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71"/>
      <c r="AS92" s="25"/>
      <c r="AT92" s="23"/>
      <c r="AU92" s="25"/>
      <c r="AV92" s="25"/>
      <c r="AW92" s="25"/>
      <c r="AX92" s="25"/>
      <c r="AY92" s="25"/>
      <c r="AZ92" s="25"/>
      <c r="BA92" s="25"/>
      <c r="BB92" s="25"/>
      <c r="BC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11"/>
      <c r="R93" s="11"/>
      <c r="S93" s="11"/>
      <c r="T93" s="11"/>
      <c r="U93" s="11"/>
      <c r="V93" s="11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71"/>
      <c r="AS93" s="25"/>
      <c r="AT93" s="23"/>
      <c r="AU93" s="25"/>
      <c r="AV93" s="25"/>
      <c r="AW93" s="25"/>
      <c r="AX93" s="25"/>
      <c r="AY93" s="25"/>
      <c r="AZ93" s="25"/>
      <c r="BA93" s="25"/>
      <c r="BB93" s="25"/>
      <c r="BC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11"/>
      <c r="R94" s="11"/>
      <c r="S94" s="11"/>
      <c r="T94" s="11"/>
      <c r="U94" s="11"/>
      <c r="V94" s="11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71"/>
      <c r="AS94" s="25"/>
      <c r="AT94" s="23"/>
      <c r="AU94" s="25"/>
      <c r="AV94" s="25"/>
      <c r="AW94" s="25"/>
      <c r="AX94" s="25"/>
      <c r="AY94" s="25"/>
      <c r="AZ94" s="25"/>
      <c r="BA94" s="25"/>
      <c r="BB94" s="25"/>
      <c r="BC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11"/>
      <c r="R95" s="11"/>
      <c r="S95" s="11"/>
      <c r="T95" s="11"/>
      <c r="U95" s="11"/>
      <c r="V95" s="11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71"/>
      <c r="AS95" s="25"/>
      <c r="AT95" s="23"/>
      <c r="AU95" s="25"/>
      <c r="AV95" s="25"/>
      <c r="AW95" s="25"/>
      <c r="AX95" s="25"/>
      <c r="AY95" s="25"/>
      <c r="AZ95" s="25"/>
      <c r="BA95" s="25"/>
      <c r="BB95" s="25"/>
      <c r="BC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11"/>
      <c r="R96" s="11"/>
      <c r="S96" s="11"/>
      <c r="T96" s="11"/>
      <c r="U96" s="11"/>
      <c r="V96" s="11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71"/>
      <c r="AS96" s="25"/>
      <c r="AT96" s="23"/>
      <c r="AU96" s="25"/>
      <c r="AV96" s="25"/>
      <c r="AW96" s="25"/>
      <c r="AX96" s="25"/>
      <c r="AY96" s="25"/>
      <c r="AZ96" s="25"/>
      <c r="BA96" s="25"/>
      <c r="BB96" s="25"/>
      <c r="BC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11"/>
      <c r="R97" s="11"/>
      <c r="S97" s="11"/>
      <c r="T97" s="11"/>
      <c r="U97" s="11"/>
      <c r="V97" s="11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71"/>
      <c r="AS97" s="25"/>
      <c r="AT97" s="23"/>
      <c r="AU97" s="25"/>
      <c r="AV97" s="25"/>
      <c r="AW97" s="25"/>
      <c r="AX97" s="25"/>
      <c r="AY97" s="25"/>
      <c r="AZ97" s="25"/>
      <c r="BA97" s="25"/>
      <c r="BB97" s="25"/>
      <c r="BC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11"/>
      <c r="R98" s="11"/>
      <c r="S98" s="11"/>
      <c r="T98" s="11"/>
      <c r="U98" s="11"/>
      <c r="V98" s="11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71"/>
      <c r="AS98" s="25"/>
      <c r="AT98" s="23"/>
      <c r="AU98" s="25"/>
      <c r="AV98" s="25"/>
      <c r="AW98" s="25"/>
      <c r="AX98" s="25"/>
      <c r="AY98" s="25"/>
      <c r="AZ98" s="25"/>
      <c r="BA98" s="25"/>
      <c r="BB98" s="25"/>
      <c r="BC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11"/>
      <c r="R99" s="11"/>
      <c r="S99" s="11"/>
      <c r="T99" s="11"/>
      <c r="U99" s="11"/>
      <c r="V99" s="11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71"/>
      <c r="AS99" s="25"/>
      <c r="AT99" s="23"/>
      <c r="AU99" s="25"/>
      <c r="AV99" s="25"/>
      <c r="AW99" s="25"/>
      <c r="AX99" s="25"/>
      <c r="AY99" s="25"/>
      <c r="AZ99" s="25"/>
      <c r="BA99" s="25"/>
      <c r="BB99" s="25"/>
      <c r="BC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11"/>
      <c r="R100" s="11"/>
      <c r="S100" s="11"/>
      <c r="T100" s="11"/>
      <c r="U100" s="11"/>
      <c r="V100" s="11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71"/>
      <c r="AS100" s="25"/>
      <c r="AT100" s="23"/>
      <c r="AU100" s="25"/>
      <c r="AV100" s="25"/>
      <c r="AW100" s="25"/>
      <c r="AX100" s="25"/>
      <c r="AY100" s="25"/>
      <c r="AZ100" s="25"/>
      <c r="BA100" s="25"/>
      <c r="BB100" s="25"/>
      <c r="BC100" s="25"/>
    </row>
    <row r="101" ht="15.75" customHeight="1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11"/>
      <c r="R101" s="11"/>
      <c r="S101" s="11"/>
      <c r="T101" s="11"/>
      <c r="U101" s="11"/>
      <c r="V101" s="11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R101" s="71"/>
      <c r="AS101" s="25"/>
      <c r="AT101" s="23"/>
      <c r="AU101" s="25"/>
      <c r="AV101" s="25"/>
      <c r="AW101" s="25"/>
    </row>
    <row r="102" ht="15.75" customHeight="1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11"/>
      <c r="R102" s="11"/>
      <c r="S102" s="11"/>
      <c r="T102" s="11"/>
      <c r="U102" s="11"/>
      <c r="V102" s="11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R102" s="71"/>
      <c r="AS102" s="25"/>
      <c r="AT102" s="23"/>
      <c r="AU102" s="25"/>
      <c r="AV102" s="25"/>
      <c r="AW102" s="25"/>
    </row>
    <row r="103" ht="15.75" customHeight="1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11"/>
      <c r="R103" s="11"/>
      <c r="S103" s="11"/>
      <c r="T103" s="11"/>
      <c r="U103" s="11"/>
      <c r="V103" s="11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R103" s="71"/>
      <c r="AS103" s="25"/>
      <c r="AT103" s="23"/>
      <c r="AU103" s="25"/>
      <c r="AV103" s="25"/>
      <c r="AW103" s="25"/>
    </row>
    <row r="104" ht="15.75" customHeight="1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11"/>
      <c r="R104" s="11"/>
      <c r="S104" s="11"/>
      <c r="T104" s="11"/>
      <c r="U104" s="11"/>
      <c r="V104" s="11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R104" s="71"/>
      <c r="AS104" s="25"/>
      <c r="AT104" s="23"/>
      <c r="AU104" s="25"/>
      <c r="AV104" s="25"/>
      <c r="AW104" s="25"/>
    </row>
    <row r="105" ht="15.75" customHeight="1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11"/>
      <c r="R105" s="11"/>
      <c r="S105" s="11"/>
      <c r="T105" s="11"/>
      <c r="U105" s="11"/>
      <c r="V105" s="11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R105" s="71"/>
      <c r="AS105" s="25"/>
      <c r="AT105" s="23"/>
      <c r="AU105" s="25"/>
      <c r="AV105" s="25"/>
      <c r="AW105" s="25"/>
    </row>
    <row r="106" ht="15.75" customHeight="1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11"/>
      <c r="R106" s="11"/>
      <c r="S106" s="11"/>
      <c r="T106" s="11"/>
      <c r="U106" s="11"/>
      <c r="V106" s="11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R106" s="71"/>
      <c r="AS106" s="25"/>
      <c r="AT106" s="23"/>
      <c r="AU106" s="25"/>
      <c r="AV106" s="25"/>
      <c r="AW106" s="25"/>
    </row>
    <row r="107" ht="15.75" customHeight="1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11"/>
      <c r="R107" s="11"/>
      <c r="S107" s="11"/>
      <c r="T107" s="11"/>
      <c r="U107" s="11"/>
      <c r="V107" s="11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R107" s="71"/>
      <c r="AS107" s="25"/>
      <c r="AT107" s="23"/>
      <c r="AU107" s="25"/>
      <c r="AV107" s="25"/>
      <c r="AW107" s="25"/>
    </row>
    <row r="108" ht="15.75" customHeight="1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11"/>
      <c r="R108" s="11"/>
      <c r="S108" s="11"/>
      <c r="T108" s="11"/>
      <c r="U108" s="11"/>
      <c r="V108" s="11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R108" s="71"/>
      <c r="AS108" s="25"/>
      <c r="AT108" s="23"/>
      <c r="AU108" s="25"/>
      <c r="AV108" s="25"/>
      <c r="AW108" s="25"/>
    </row>
    <row r="109" ht="15.75" customHeight="1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11"/>
      <c r="R109" s="11"/>
      <c r="S109" s="11"/>
      <c r="T109" s="11"/>
      <c r="U109" s="11"/>
      <c r="V109" s="11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R109" s="71"/>
      <c r="AS109" s="25"/>
      <c r="AT109" s="23"/>
      <c r="AU109" s="25"/>
      <c r="AV109" s="25"/>
      <c r="AW109" s="25"/>
    </row>
    <row r="110" ht="15.75" customHeight="1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11"/>
      <c r="R110" s="11"/>
      <c r="S110" s="11"/>
      <c r="T110" s="11"/>
      <c r="U110" s="11"/>
      <c r="V110" s="11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R110" s="71"/>
      <c r="AS110" s="25"/>
      <c r="AT110" s="23"/>
      <c r="AU110" s="25"/>
      <c r="AV110" s="25"/>
      <c r="AW110" s="25"/>
    </row>
    <row r="111" ht="15.75" customHeight="1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11"/>
      <c r="R111" s="11"/>
      <c r="S111" s="11"/>
      <c r="T111" s="11"/>
      <c r="U111" s="11"/>
      <c r="V111" s="11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R111" s="71"/>
      <c r="AS111" s="25"/>
      <c r="AT111" s="23"/>
      <c r="AU111" s="25"/>
      <c r="AV111" s="25"/>
      <c r="AW111" s="25"/>
    </row>
    <row r="112" ht="15.75" customHeight="1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11"/>
      <c r="R112" s="11"/>
      <c r="S112" s="11"/>
      <c r="T112" s="11"/>
      <c r="U112" s="11"/>
      <c r="V112" s="11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R112" s="71"/>
      <c r="AS112" s="25"/>
      <c r="AT112" s="23"/>
      <c r="AU112" s="25"/>
      <c r="AV112" s="25"/>
      <c r="AW112" s="25"/>
    </row>
    <row r="113" ht="15.75" customHeight="1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11"/>
      <c r="R113" s="11"/>
      <c r="S113" s="11"/>
      <c r="T113" s="11"/>
      <c r="U113" s="11"/>
      <c r="V113" s="11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R113" s="71"/>
      <c r="AS113" s="25"/>
      <c r="AT113" s="23"/>
      <c r="AU113" s="25"/>
      <c r="AV113" s="25"/>
      <c r="AW113" s="25"/>
    </row>
    <row r="114" ht="15.75" customHeight="1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11"/>
      <c r="R114" s="11"/>
      <c r="S114" s="11"/>
      <c r="T114" s="11"/>
      <c r="U114" s="11"/>
      <c r="V114" s="11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R114" s="71"/>
      <c r="AS114" s="25"/>
      <c r="AT114" s="23"/>
      <c r="AU114" s="25"/>
      <c r="AV114" s="25"/>
      <c r="AW114" s="25"/>
    </row>
    <row r="115" ht="15.75" customHeight="1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11"/>
      <c r="R115" s="11"/>
      <c r="S115" s="11"/>
      <c r="T115" s="11"/>
      <c r="U115" s="11"/>
      <c r="V115" s="11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R115" s="71"/>
      <c r="AS115" s="25"/>
      <c r="AT115" s="23"/>
      <c r="AU115" s="25"/>
      <c r="AV115" s="25"/>
      <c r="AW115" s="25"/>
    </row>
    <row r="116" ht="15.75" customHeight="1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11"/>
      <c r="R116" s="11"/>
      <c r="S116" s="11"/>
      <c r="T116" s="11"/>
      <c r="U116" s="11"/>
      <c r="V116" s="11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R116" s="71"/>
      <c r="AS116" s="25"/>
      <c r="AT116" s="23"/>
      <c r="AU116" s="25"/>
      <c r="AV116" s="25"/>
      <c r="AW116" s="25"/>
    </row>
    <row r="117" ht="15.75" customHeight="1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11"/>
      <c r="R117" s="11"/>
      <c r="S117" s="11"/>
      <c r="T117" s="11"/>
      <c r="U117" s="11"/>
      <c r="V117" s="11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R117" s="71"/>
      <c r="AS117" s="25"/>
      <c r="AT117" s="23"/>
      <c r="AU117" s="25"/>
      <c r="AV117" s="25"/>
      <c r="AW117" s="25"/>
    </row>
    <row r="118" ht="15.75" customHeight="1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11"/>
      <c r="R118" s="11"/>
      <c r="S118" s="11"/>
      <c r="T118" s="11"/>
      <c r="U118" s="11"/>
      <c r="V118" s="11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R118" s="71"/>
      <c r="AS118" s="25"/>
      <c r="AT118" s="23"/>
      <c r="AU118" s="25"/>
      <c r="AV118" s="25"/>
      <c r="AW118" s="25"/>
    </row>
    <row r="119" ht="15.75" customHeight="1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11"/>
      <c r="R119" s="11"/>
      <c r="S119" s="11"/>
      <c r="T119" s="11"/>
      <c r="U119" s="11"/>
      <c r="V119" s="11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R119" s="71"/>
      <c r="AS119" s="25"/>
      <c r="AT119" s="23"/>
      <c r="AU119" s="25"/>
      <c r="AV119" s="25"/>
      <c r="AW119" s="25"/>
    </row>
    <row r="120" ht="15.75" customHeight="1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11"/>
      <c r="R120" s="11"/>
      <c r="S120" s="11"/>
      <c r="T120" s="11"/>
      <c r="U120" s="11"/>
      <c r="V120" s="11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R120" s="71"/>
      <c r="AS120" s="25"/>
      <c r="AT120" s="23"/>
      <c r="AU120" s="25"/>
      <c r="AV120" s="25"/>
      <c r="AW120" s="25"/>
    </row>
    <row r="121" ht="15.75" customHeight="1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11"/>
      <c r="R121" s="11"/>
      <c r="S121" s="11"/>
      <c r="T121" s="11"/>
      <c r="U121" s="11"/>
      <c r="V121" s="11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R121" s="71"/>
      <c r="AS121" s="25"/>
      <c r="AT121" s="23"/>
      <c r="AU121" s="25"/>
      <c r="AV121" s="25"/>
      <c r="AW121" s="25"/>
    </row>
    <row r="122" ht="15.75" customHeight="1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11"/>
      <c r="R122" s="11"/>
      <c r="S122" s="11"/>
      <c r="T122" s="11"/>
      <c r="U122" s="11"/>
      <c r="V122" s="11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R122" s="71"/>
      <c r="AS122" s="25"/>
      <c r="AT122" s="23"/>
      <c r="AU122" s="25"/>
      <c r="AV122" s="25"/>
      <c r="AW122" s="25"/>
    </row>
    <row r="123" ht="15.75" customHeight="1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11"/>
      <c r="R123" s="11"/>
      <c r="S123" s="11"/>
      <c r="T123" s="11"/>
      <c r="U123" s="11"/>
      <c r="V123" s="11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R123" s="71"/>
      <c r="AS123" s="25"/>
      <c r="AT123" s="23"/>
      <c r="AU123" s="25"/>
      <c r="AV123" s="25"/>
      <c r="AW123" s="25"/>
    </row>
    <row r="124" ht="15.75" customHeight="1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11"/>
      <c r="R124" s="11"/>
      <c r="S124" s="11"/>
      <c r="T124" s="11"/>
      <c r="U124" s="11"/>
      <c r="V124" s="11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R124" s="71"/>
      <c r="AS124" s="25"/>
      <c r="AT124" s="23"/>
      <c r="AU124" s="25"/>
      <c r="AV124" s="25"/>
      <c r="AW124" s="25"/>
    </row>
    <row r="125" ht="15.75" customHeight="1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11"/>
      <c r="R125" s="11"/>
      <c r="S125" s="11"/>
      <c r="T125" s="11"/>
      <c r="U125" s="11"/>
      <c r="V125" s="11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R125" s="71"/>
      <c r="AS125" s="25"/>
      <c r="AT125" s="23"/>
      <c r="AU125" s="25"/>
      <c r="AV125" s="25"/>
      <c r="AW125" s="25"/>
    </row>
    <row r="126" ht="15.75" customHeight="1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11"/>
      <c r="R126" s="11"/>
      <c r="S126" s="11"/>
      <c r="T126" s="11"/>
      <c r="U126" s="11"/>
      <c r="V126" s="11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R126" s="71"/>
      <c r="AS126" s="25"/>
      <c r="AT126" s="23"/>
      <c r="AU126" s="25"/>
      <c r="AV126" s="25"/>
      <c r="AW126" s="25"/>
    </row>
    <row r="127" ht="15.75" customHeight="1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11"/>
      <c r="R127" s="11"/>
      <c r="S127" s="11"/>
      <c r="T127" s="11"/>
      <c r="U127" s="11"/>
      <c r="V127" s="11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R127" s="71"/>
      <c r="AS127" s="25"/>
      <c r="AT127" s="23"/>
      <c r="AU127" s="25"/>
      <c r="AV127" s="25"/>
      <c r="AW127" s="25"/>
    </row>
    <row r="128" ht="15.75" customHeight="1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11"/>
      <c r="R128" s="11"/>
      <c r="S128" s="11"/>
      <c r="T128" s="11"/>
      <c r="U128" s="11"/>
      <c r="V128" s="11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R128" s="71"/>
      <c r="AS128" s="25"/>
      <c r="AT128" s="23"/>
      <c r="AU128" s="25"/>
      <c r="AV128" s="25"/>
      <c r="AW128" s="25"/>
    </row>
    <row r="129" ht="15.75" customHeight="1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11"/>
      <c r="R129" s="11"/>
      <c r="S129" s="11"/>
      <c r="T129" s="11"/>
      <c r="U129" s="11"/>
      <c r="V129" s="11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R129" s="71"/>
      <c r="AS129" s="25"/>
      <c r="AT129" s="23"/>
      <c r="AU129" s="25"/>
      <c r="AV129" s="25"/>
      <c r="AW129" s="25"/>
    </row>
    <row r="130" ht="15.75" customHeight="1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11"/>
      <c r="R130" s="11"/>
      <c r="S130" s="11"/>
      <c r="T130" s="11"/>
      <c r="U130" s="11"/>
      <c r="V130" s="11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R130" s="71"/>
      <c r="AS130" s="25"/>
      <c r="AT130" s="23"/>
      <c r="AU130" s="25"/>
      <c r="AV130" s="25"/>
      <c r="AW130" s="25"/>
    </row>
    <row r="131" ht="15.75" customHeight="1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11"/>
      <c r="R131" s="11"/>
      <c r="S131" s="11"/>
      <c r="T131" s="11"/>
      <c r="U131" s="11"/>
      <c r="V131" s="11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R131" s="71"/>
      <c r="AS131" s="25"/>
      <c r="AT131" s="23"/>
      <c r="AU131" s="25"/>
      <c r="AV131" s="25"/>
      <c r="AW131" s="25"/>
    </row>
    <row r="132" ht="15.75" customHeight="1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11"/>
      <c r="R132" s="11"/>
      <c r="S132" s="11"/>
      <c r="T132" s="11"/>
      <c r="U132" s="11"/>
      <c r="V132" s="11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R132" s="71"/>
      <c r="AS132" s="25"/>
      <c r="AT132" s="23"/>
      <c r="AU132" s="25"/>
      <c r="AV132" s="25"/>
      <c r="AW132" s="25"/>
    </row>
    <row r="133" ht="15.75" customHeight="1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11"/>
      <c r="R133" s="11"/>
      <c r="S133" s="11"/>
      <c r="T133" s="11"/>
      <c r="U133" s="11"/>
      <c r="V133" s="11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R133" s="71"/>
      <c r="AS133" s="25"/>
      <c r="AT133" s="23"/>
      <c r="AU133" s="25"/>
      <c r="AV133" s="25"/>
      <c r="AW133" s="25"/>
    </row>
    <row r="134" ht="15.75" customHeight="1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11"/>
      <c r="R134" s="11"/>
      <c r="S134" s="11"/>
      <c r="T134" s="11"/>
      <c r="U134" s="11"/>
      <c r="V134" s="11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R134" s="71"/>
      <c r="AS134" s="25"/>
      <c r="AT134" s="23"/>
      <c r="AU134" s="25"/>
      <c r="AV134" s="25"/>
      <c r="AW134" s="25"/>
    </row>
    <row r="135" ht="15.75" customHeight="1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11"/>
      <c r="R135" s="11"/>
      <c r="S135" s="11"/>
      <c r="T135" s="11"/>
      <c r="U135" s="11"/>
      <c r="V135" s="11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R135" s="71"/>
      <c r="AS135" s="25"/>
      <c r="AT135" s="23"/>
      <c r="AU135" s="25"/>
      <c r="AV135" s="25"/>
      <c r="AW135" s="25"/>
    </row>
    <row r="136" ht="15.75" customHeight="1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11"/>
      <c r="R136" s="11"/>
      <c r="S136" s="11"/>
      <c r="T136" s="11"/>
      <c r="U136" s="11"/>
      <c r="V136" s="11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R136" s="71"/>
      <c r="AS136" s="25"/>
      <c r="AT136" s="23"/>
      <c r="AU136" s="25"/>
      <c r="AV136" s="25"/>
      <c r="AW136" s="25"/>
    </row>
    <row r="137" ht="15.75" customHeight="1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11"/>
      <c r="R137" s="11"/>
      <c r="S137" s="11"/>
      <c r="T137" s="11"/>
      <c r="U137" s="11"/>
      <c r="V137" s="11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R137" s="71"/>
      <c r="AS137" s="25"/>
      <c r="AT137" s="23"/>
      <c r="AU137" s="25"/>
      <c r="AV137" s="25"/>
      <c r="AW137" s="25"/>
    </row>
    <row r="138" ht="15.75" customHeight="1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11"/>
      <c r="R138" s="11"/>
      <c r="S138" s="11"/>
      <c r="T138" s="11"/>
      <c r="U138" s="11"/>
      <c r="V138" s="11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R138" s="71"/>
      <c r="AS138" s="25"/>
      <c r="AT138" s="23"/>
      <c r="AU138" s="25"/>
      <c r="AV138" s="25"/>
      <c r="AW138" s="25"/>
    </row>
    <row r="139" ht="15.75" customHeight="1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11"/>
      <c r="R139" s="11"/>
      <c r="S139" s="11"/>
      <c r="T139" s="11"/>
      <c r="U139" s="11"/>
      <c r="V139" s="11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R139" s="71"/>
      <c r="AS139" s="25"/>
      <c r="AT139" s="23"/>
      <c r="AU139" s="25"/>
      <c r="AV139" s="25"/>
      <c r="AW139" s="25"/>
    </row>
    <row r="140" ht="15.75" customHeight="1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11"/>
      <c r="R140" s="11"/>
      <c r="S140" s="11"/>
      <c r="T140" s="11"/>
      <c r="U140" s="11"/>
      <c r="V140" s="11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R140" s="71"/>
      <c r="AS140" s="25"/>
      <c r="AT140" s="23"/>
      <c r="AU140" s="25"/>
      <c r="AV140" s="25"/>
      <c r="AW140" s="25"/>
    </row>
    <row r="141" ht="15.75" customHeight="1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11"/>
      <c r="R141" s="11"/>
      <c r="S141" s="11"/>
      <c r="T141" s="11"/>
      <c r="U141" s="11"/>
      <c r="V141" s="11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R141" s="71"/>
      <c r="AS141" s="25"/>
      <c r="AT141" s="23"/>
      <c r="AU141" s="25"/>
      <c r="AV141" s="25"/>
      <c r="AW141" s="25"/>
    </row>
    <row r="142" ht="15.75" customHeight="1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11"/>
      <c r="R142" s="11"/>
      <c r="S142" s="11"/>
      <c r="T142" s="11"/>
      <c r="U142" s="11"/>
      <c r="V142" s="11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R142" s="71"/>
      <c r="AS142" s="25"/>
      <c r="AT142" s="23"/>
      <c r="AU142" s="25"/>
      <c r="AV142" s="25"/>
      <c r="AW142" s="25"/>
    </row>
    <row r="143" ht="15.75" customHeight="1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11"/>
      <c r="R143" s="11"/>
      <c r="S143" s="11"/>
      <c r="T143" s="11"/>
      <c r="U143" s="11"/>
      <c r="V143" s="11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R143" s="71"/>
      <c r="AS143" s="25"/>
      <c r="AT143" s="23"/>
      <c r="AU143" s="25"/>
      <c r="AV143" s="25"/>
      <c r="AW143" s="25"/>
    </row>
    <row r="144" ht="15.75" customHeight="1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11"/>
      <c r="R144" s="11"/>
      <c r="S144" s="11"/>
      <c r="T144" s="11"/>
      <c r="U144" s="11"/>
      <c r="V144" s="11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R144" s="71"/>
      <c r="AS144" s="25"/>
      <c r="AT144" s="23"/>
      <c r="AU144" s="25"/>
      <c r="AV144" s="25"/>
      <c r="AW144" s="25"/>
    </row>
    <row r="145" ht="15.75" customHeight="1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11"/>
      <c r="R145" s="11"/>
      <c r="S145" s="11"/>
      <c r="T145" s="11"/>
      <c r="U145" s="11"/>
      <c r="V145" s="11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R145" s="71"/>
      <c r="AS145" s="25"/>
      <c r="AT145" s="23"/>
      <c r="AU145" s="25"/>
      <c r="AV145" s="25"/>
      <c r="AW145" s="25"/>
    </row>
    <row r="146" ht="15.75" customHeight="1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11"/>
      <c r="R146" s="11"/>
      <c r="S146" s="11"/>
      <c r="T146" s="11"/>
      <c r="U146" s="11"/>
      <c r="V146" s="11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R146" s="71"/>
      <c r="AS146" s="25"/>
      <c r="AT146" s="23"/>
      <c r="AU146" s="25"/>
      <c r="AV146" s="25"/>
      <c r="AW146" s="25"/>
    </row>
    <row r="147" ht="15.75" customHeight="1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11"/>
      <c r="R147" s="11"/>
      <c r="S147" s="11"/>
      <c r="T147" s="11"/>
      <c r="U147" s="11"/>
      <c r="V147" s="11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R147" s="71"/>
      <c r="AS147" s="25"/>
      <c r="AT147" s="23"/>
      <c r="AU147" s="25"/>
      <c r="AV147" s="25"/>
      <c r="AW147" s="25"/>
    </row>
    <row r="148" ht="15.75" customHeight="1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11"/>
      <c r="R148" s="11"/>
      <c r="S148" s="11"/>
      <c r="T148" s="11"/>
      <c r="U148" s="11"/>
      <c r="V148" s="11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R148" s="71"/>
      <c r="AS148" s="25"/>
      <c r="AT148" s="23"/>
      <c r="AU148" s="25"/>
      <c r="AV148" s="25"/>
      <c r="AW148" s="25"/>
    </row>
    <row r="149" ht="15.75" customHeight="1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11"/>
      <c r="R149" s="11"/>
      <c r="S149" s="11"/>
      <c r="T149" s="11"/>
      <c r="U149" s="11"/>
      <c r="V149" s="11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R149" s="71"/>
      <c r="AS149" s="25"/>
      <c r="AT149" s="23"/>
      <c r="AU149" s="25"/>
      <c r="AV149" s="25"/>
      <c r="AW149" s="25"/>
    </row>
    <row r="150" ht="15.75" customHeight="1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11"/>
      <c r="R150" s="11"/>
      <c r="S150" s="11"/>
      <c r="T150" s="11"/>
      <c r="U150" s="11"/>
      <c r="V150" s="11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R150" s="71"/>
      <c r="AS150" s="25"/>
      <c r="AT150" s="23"/>
      <c r="AU150" s="25"/>
      <c r="AV150" s="25"/>
      <c r="AW150" s="25"/>
    </row>
    <row r="151" ht="15.75" customHeight="1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11"/>
      <c r="R151" s="11"/>
      <c r="S151" s="11"/>
      <c r="T151" s="11"/>
      <c r="U151" s="11"/>
      <c r="V151" s="11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R151" s="71"/>
      <c r="AS151" s="25"/>
      <c r="AT151" s="23"/>
      <c r="AU151" s="25"/>
      <c r="AV151" s="25"/>
      <c r="AW151" s="25"/>
    </row>
    <row r="152" ht="15.75" customHeight="1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11"/>
      <c r="R152" s="11"/>
      <c r="S152" s="11"/>
      <c r="T152" s="11"/>
      <c r="U152" s="11"/>
      <c r="V152" s="11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R152" s="71"/>
      <c r="AS152" s="25"/>
      <c r="AT152" s="23"/>
      <c r="AU152" s="25"/>
      <c r="AV152" s="25"/>
      <c r="AW152" s="25"/>
    </row>
    <row r="153" ht="15.75" customHeight="1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11"/>
      <c r="R153" s="11"/>
      <c r="S153" s="11"/>
      <c r="T153" s="11"/>
      <c r="U153" s="11"/>
      <c r="V153" s="11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R153" s="71"/>
      <c r="AS153" s="25"/>
      <c r="AT153" s="23"/>
      <c r="AU153" s="25"/>
      <c r="AV153" s="25"/>
      <c r="AW153" s="25"/>
    </row>
    <row r="154" ht="15.75" customHeight="1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11"/>
      <c r="R154" s="11"/>
      <c r="S154" s="11"/>
      <c r="T154" s="11"/>
      <c r="U154" s="11"/>
      <c r="V154" s="11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R154" s="71"/>
      <c r="AS154" s="25"/>
      <c r="AT154" s="23"/>
      <c r="AU154" s="25"/>
      <c r="AV154" s="25"/>
      <c r="AW154" s="25"/>
    </row>
    <row r="155" ht="15.75" customHeight="1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11"/>
      <c r="R155" s="11"/>
      <c r="S155" s="11"/>
      <c r="T155" s="11"/>
      <c r="U155" s="11"/>
      <c r="V155" s="11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R155" s="71"/>
      <c r="AS155" s="25"/>
      <c r="AT155" s="23"/>
      <c r="AU155" s="25"/>
      <c r="AV155" s="25"/>
      <c r="AW155" s="25"/>
    </row>
    <row r="156" ht="15.75" customHeight="1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11"/>
      <c r="R156" s="11"/>
      <c r="S156" s="11"/>
      <c r="T156" s="11"/>
      <c r="U156" s="11"/>
      <c r="V156" s="11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R156" s="71"/>
      <c r="AS156" s="25"/>
      <c r="AT156" s="23"/>
      <c r="AU156" s="25"/>
      <c r="AV156" s="25"/>
      <c r="AW156" s="25"/>
    </row>
    <row r="157" ht="15.75" customHeight="1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11"/>
      <c r="R157" s="11"/>
      <c r="S157" s="11"/>
      <c r="T157" s="11"/>
      <c r="U157" s="11"/>
      <c r="V157" s="11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R157" s="71"/>
      <c r="AS157" s="25"/>
      <c r="AT157" s="23"/>
      <c r="AU157" s="25"/>
      <c r="AV157" s="25"/>
      <c r="AW157" s="25"/>
    </row>
    <row r="158" ht="15.75" customHeight="1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11"/>
      <c r="R158" s="11"/>
      <c r="S158" s="11"/>
      <c r="T158" s="11"/>
      <c r="U158" s="11"/>
      <c r="V158" s="11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R158" s="71"/>
      <c r="AS158" s="25"/>
      <c r="AT158" s="23"/>
      <c r="AU158" s="25"/>
      <c r="AV158" s="25"/>
      <c r="AW158" s="25"/>
    </row>
    <row r="159" ht="15.75" customHeight="1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11"/>
      <c r="R159" s="11"/>
      <c r="S159" s="11"/>
      <c r="T159" s="11"/>
      <c r="U159" s="11"/>
      <c r="V159" s="11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R159" s="71"/>
      <c r="AS159" s="25"/>
      <c r="AT159" s="23"/>
      <c r="AU159" s="25"/>
      <c r="AV159" s="25"/>
      <c r="AW159" s="25"/>
    </row>
    <row r="160" ht="15.75" customHeight="1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11"/>
      <c r="R160" s="11"/>
      <c r="S160" s="11"/>
      <c r="T160" s="11"/>
      <c r="U160" s="11"/>
      <c r="V160" s="11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R160" s="71"/>
      <c r="AS160" s="25"/>
      <c r="AT160" s="23"/>
      <c r="AU160" s="25"/>
      <c r="AV160" s="25"/>
      <c r="AW160" s="25"/>
    </row>
    <row r="161" ht="15.75" customHeight="1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11"/>
      <c r="R161" s="11"/>
      <c r="S161" s="11"/>
      <c r="T161" s="11"/>
      <c r="U161" s="11"/>
      <c r="V161" s="11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R161" s="71"/>
      <c r="AS161" s="25"/>
      <c r="AT161" s="23"/>
      <c r="AU161" s="25"/>
      <c r="AV161" s="25"/>
      <c r="AW161" s="25"/>
    </row>
    <row r="162" ht="15.75" customHeight="1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11"/>
      <c r="R162" s="11"/>
      <c r="S162" s="11"/>
      <c r="T162" s="11"/>
      <c r="U162" s="11"/>
      <c r="V162" s="11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R162" s="71"/>
      <c r="AS162" s="25"/>
      <c r="AT162" s="23"/>
      <c r="AU162" s="25"/>
      <c r="AV162" s="25"/>
      <c r="AW162" s="25"/>
    </row>
    <row r="163" ht="15.75" customHeight="1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11"/>
      <c r="R163" s="11"/>
      <c r="S163" s="11"/>
      <c r="T163" s="11"/>
      <c r="U163" s="11"/>
      <c r="V163" s="11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R163" s="71"/>
      <c r="AS163" s="25"/>
      <c r="AT163" s="23"/>
      <c r="AU163" s="25"/>
      <c r="AV163" s="25"/>
      <c r="AW163" s="25"/>
    </row>
    <row r="164" ht="15.75" customHeight="1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11"/>
      <c r="R164" s="11"/>
      <c r="S164" s="11"/>
      <c r="T164" s="11"/>
      <c r="U164" s="11"/>
      <c r="V164" s="11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R164" s="71"/>
      <c r="AS164" s="25"/>
      <c r="AT164" s="23"/>
      <c r="AU164" s="25"/>
      <c r="AV164" s="25"/>
      <c r="AW164" s="25"/>
    </row>
    <row r="165" ht="15.75" customHeight="1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11"/>
      <c r="R165" s="11"/>
      <c r="S165" s="11"/>
      <c r="T165" s="11"/>
      <c r="U165" s="11"/>
      <c r="V165" s="11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R165" s="71"/>
      <c r="AS165" s="25"/>
      <c r="AT165" s="23"/>
      <c r="AU165" s="25"/>
      <c r="AV165" s="25"/>
      <c r="AW165" s="25"/>
    </row>
    <row r="166" ht="15.75" customHeight="1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11"/>
      <c r="R166" s="11"/>
      <c r="S166" s="11"/>
      <c r="T166" s="11"/>
      <c r="U166" s="11"/>
      <c r="V166" s="11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R166" s="71"/>
      <c r="AS166" s="25"/>
      <c r="AT166" s="23"/>
      <c r="AU166" s="25"/>
      <c r="AV166" s="25"/>
      <c r="AW166" s="25"/>
    </row>
    <row r="167" ht="15.75" customHeight="1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11"/>
      <c r="R167" s="11"/>
      <c r="S167" s="11"/>
      <c r="T167" s="11"/>
      <c r="U167" s="11"/>
      <c r="V167" s="11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R167" s="71"/>
      <c r="AS167" s="25"/>
      <c r="AT167" s="23"/>
      <c r="AU167" s="25"/>
      <c r="AV167" s="25"/>
      <c r="AW167" s="25"/>
    </row>
    <row r="168" ht="15.75" customHeight="1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11"/>
      <c r="R168" s="11"/>
      <c r="S168" s="11"/>
      <c r="T168" s="11"/>
      <c r="U168" s="11"/>
      <c r="V168" s="11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R168" s="71"/>
      <c r="AS168" s="25"/>
      <c r="AT168" s="23"/>
      <c r="AU168" s="25"/>
      <c r="AV168" s="25"/>
      <c r="AW168" s="25"/>
    </row>
    <row r="169" ht="15.75" customHeight="1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11"/>
      <c r="R169" s="11"/>
      <c r="S169" s="11"/>
      <c r="T169" s="11"/>
      <c r="U169" s="11"/>
      <c r="V169" s="11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R169" s="71"/>
      <c r="AS169" s="25"/>
      <c r="AT169" s="23"/>
      <c r="AU169" s="25"/>
      <c r="AV169" s="25"/>
      <c r="AW169" s="25"/>
    </row>
    <row r="170" ht="15.75" customHeight="1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11"/>
      <c r="R170" s="11"/>
      <c r="S170" s="11"/>
      <c r="T170" s="11"/>
      <c r="U170" s="11"/>
      <c r="V170" s="11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R170" s="71"/>
      <c r="AS170" s="25"/>
      <c r="AT170" s="23"/>
      <c r="AU170" s="25"/>
      <c r="AV170" s="25"/>
      <c r="AW170" s="25"/>
    </row>
    <row r="171" ht="15.75" customHeight="1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11"/>
      <c r="R171" s="11"/>
      <c r="S171" s="11"/>
      <c r="T171" s="11"/>
      <c r="U171" s="11"/>
      <c r="V171" s="11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R171" s="71"/>
      <c r="AS171" s="25"/>
      <c r="AT171" s="23"/>
      <c r="AU171" s="25"/>
      <c r="AV171" s="25"/>
      <c r="AW171" s="25"/>
    </row>
    <row r="172" ht="15.75" customHeight="1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11"/>
      <c r="R172" s="11"/>
      <c r="S172" s="11"/>
      <c r="T172" s="11"/>
      <c r="U172" s="11"/>
      <c r="V172" s="11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R172" s="71"/>
      <c r="AS172" s="25"/>
      <c r="AT172" s="23"/>
      <c r="AU172" s="25"/>
      <c r="AV172" s="25"/>
      <c r="AW172" s="25"/>
    </row>
    <row r="173" ht="15.75" customHeight="1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11"/>
      <c r="R173" s="11"/>
      <c r="S173" s="11"/>
      <c r="T173" s="11"/>
      <c r="U173" s="11"/>
      <c r="V173" s="11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R173" s="71"/>
      <c r="AS173" s="25"/>
      <c r="AT173" s="23"/>
      <c r="AU173" s="25"/>
      <c r="AV173" s="25"/>
      <c r="AW173" s="25"/>
    </row>
    <row r="174" ht="15.75" customHeight="1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11"/>
      <c r="R174" s="11"/>
      <c r="S174" s="11"/>
      <c r="T174" s="11"/>
      <c r="U174" s="11"/>
      <c r="V174" s="11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R174" s="71"/>
      <c r="AS174" s="25"/>
      <c r="AT174" s="23"/>
      <c r="AU174" s="25"/>
      <c r="AV174" s="25"/>
      <c r="AW174" s="25"/>
    </row>
    <row r="175" ht="15.75" customHeight="1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11"/>
      <c r="R175" s="11"/>
      <c r="S175" s="11"/>
      <c r="T175" s="11"/>
      <c r="U175" s="11"/>
      <c r="V175" s="11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R175" s="71"/>
      <c r="AS175" s="25"/>
      <c r="AT175" s="23"/>
      <c r="AU175" s="25"/>
      <c r="AV175" s="25"/>
      <c r="AW175" s="25"/>
    </row>
    <row r="176" ht="15.75" customHeight="1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11"/>
      <c r="R176" s="11"/>
      <c r="S176" s="11"/>
      <c r="T176" s="11"/>
      <c r="U176" s="11"/>
      <c r="V176" s="11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R176" s="71"/>
      <c r="AS176" s="25"/>
      <c r="AT176" s="23"/>
      <c r="AU176" s="25"/>
      <c r="AV176" s="25"/>
      <c r="AW176" s="25"/>
    </row>
    <row r="177" ht="15.75" customHeight="1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11"/>
      <c r="R177" s="11"/>
      <c r="S177" s="11"/>
      <c r="T177" s="11"/>
      <c r="U177" s="11"/>
      <c r="V177" s="11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R177" s="71"/>
      <c r="AS177" s="25"/>
      <c r="AT177" s="23"/>
      <c r="AU177" s="25"/>
      <c r="AV177" s="25"/>
      <c r="AW177" s="25"/>
    </row>
    <row r="178" ht="15.75" customHeight="1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11"/>
      <c r="R178" s="11"/>
      <c r="S178" s="11"/>
      <c r="T178" s="11"/>
      <c r="U178" s="11"/>
      <c r="V178" s="11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R178" s="71"/>
      <c r="AS178" s="25"/>
      <c r="AT178" s="23"/>
      <c r="AU178" s="25"/>
      <c r="AV178" s="25"/>
      <c r="AW178" s="25"/>
    </row>
    <row r="179" ht="15.75" customHeight="1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11"/>
      <c r="R179" s="11"/>
      <c r="S179" s="11"/>
      <c r="T179" s="11"/>
      <c r="U179" s="11"/>
      <c r="V179" s="11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R179" s="71"/>
      <c r="AS179" s="25"/>
      <c r="AT179" s="23"/>
      <c r="AU179" s="25"/>
      <c r="AV179" s="25"/>
      <c r="AW179" s="25"/>
    </row>
    <row r="180" ht="15.75" customHeight="1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11"/>
      <c r="R180" s="11"/>
      <c r="S180" s="11"/>
      <c r="T180" s="11"/>
      <c r="U180" s="11"/>
      <c r="V180" s="11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R180" s="71"/>
      <c r="AS180" s="25"/>
      <c r="AT180" s="23"/>
      <c r="AU180" s="25"/>
      <c r="AV180" s="25"/>
      <c r="AW180" s="25"/>
    </row>
    <row r="181" ht="15.75" customHeight="1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11"/>
      <c r="R181" s="11"/>
      <c r="S181" s="11"/>
      <c r="T181" s="11"/>
      <c r="U181" s="11"/>
      <c r="V181" s="11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R181" s="71"/>
      <c r="AS181" s="25"/>
      <c r="AT181" s="23"/>
      <c r="AU181" s="25"/>
      <c r="AV181" s="25"/>
      <c r="AW181" s="25"/>
    </row>
    <row r="182" ht="15.75" customHeight="1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11"/>
      <c r="R182" s="11"/>
      <c r="S182" s="11"/>
      <c r="T182" s="11"/>
      <c r="U182" s="11"/>
      <c r="V182" s="11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R182" s="71"/>
      <c r="AS182" s="25"/>
      <c r="AT182" s="23"/>
      <c r="AU182" s="25"/>
      <c r="AV182" s="25"/>
      <c r="AW182" s="25"/>
    </row>
    <row r="183" ht="15.75" customHeight="1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11"/>
      <c r="R183" s="11"/>
      <c r="S183" s="11"/>
      <c r="T183" s="11"/>
      <c r="U183" s="11"/>
      <c r="V183" s="11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R183" s="71"/>
      <c r="AS183" s="25"/>
      <c r="AT183" s="23"/>
      <c r="AU183" s="25"/>
      <c r="AV183" s="25"/>
      <c r="AW183" s="25"/>
    </row>
    <row r="184" ht="15.75" customHeight="1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11"/>
      <c r="R184" s="11"/>
      <c r="S184" s="11"/>
      <c r="T184" s="11"/>
      <c r="U184" s="11"/>
      <c r="V184" s="11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R184" s="71"/>
      <c r="AS184" s="25"/>
      <c r="AT184" s="23"/>
      <c r="AU184" s="25"/>
      <c r="AV184" s="25"/>
      <c r="AW184" s="25"/>
    </row>
    <row r="185" ht="15.75" customHeight="1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11"/>
      <c r="R185" s="11"/>
      <c r="S185" s="11"/>
      <c r="T185" s="11"/>
      <c r="U185" s="11"/>
      <c r="V185" s="11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R185" s="71"/>
      <c r="AS185" s="25"/>
      <c r="AT185" s="23"/>
      <c r="AU185" s="25"/>
      <c r="AV185" s="25"/>
      <c r="AW185" s="25"/>
    </row>
    <row r="186" ht="15.75" customHeight="1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11"/>
      <c r="R186" s="11"/>
      <c r="S186" s="11"/>
      <c r="T186" s="11"/>
      <c r="U186" s="11"/>
      <c r="V186" s="11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R186" s="71"/>
      <c r="AS186" s="25"/>
      <c r="AT186" s="23"/>
      <c r="AU186" s="25"/>
      <c r="AV186" s="25"/>
      <c r="AW186" s="25"/>
    </row>
    <row r="187" ht="15.75" customHeight="1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11"/>
      <c r="R187" s="11"/>
      <c r="S187" s="11"/>
      <c r="T187" s="11"/>
      <c r="U187" s="11"/>
      <c r="V187" s="11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R187" s="71"/>
      <c r="AS187" s="25"/>
      <c r="AT187" s="23"/>
      <c r="AU187" s="25"/>
      <c r="AV187" s="25"/>
      <c r="AW187" s="25"/>
    </row>
    <row r="188" ht="15.75" customHeight="1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11"/>
      <c r="R188" s="11"/>
      <c r="S188" s="11"/>
      <c r="T188" s="11"/>
      <c r="U188" s="11"/>
      <c r="V188" s="11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R188" s="71"/>
      <c r="AS188" s="25"/>
      <c r="AT188" s="23"/>
      <c r="AU188" s="25"/>
      <c r="AV188" s="25"/>
      <c r="AW188" s="25"/>
    </row>
    <row r="189" ht="15.75" customHeight="1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11"/>
      <c r="R189" s="11"/>
      <c r="S189" s="11"/>
      <c r="T189" s="11"/>
      <c r="U189" s="11"/>
      <c r="V189" s="11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R189" s="71"/>
      <c r="AS189" s="25"/>
      <c r="AT189" s="23"/>
      <c r="AU189" s="25"/>
      <c r="AV189" s="25"/>
      <c r="AW189" s="25"/>
    </row>
    <row r="190" ht="15.75" customHeight="1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11"/>
      <c r="R190" s="11"/>
      <c r="S190" s="11"/>
      <c r="T190" s="11"/>
      <c r="U190" s="11"/>
      <c r="V190" s="11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R190" s="71"/>
      <c r="AS190" s="25"/>
      <c r="AT190" s="23"/>
      <c r="AU190" s="25"/>
      <c r="AV190" s="25"/>
      <c r="AW190" s="25"/>
    </row>
    <row r="191" ht="15.75" customHeight="1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11"/>
      <c r="R191" s="11"/>
      <c r="S191" s="11"/>
      <c r="T191" s="11"/>
      <c r="U191" s="11"/>
      <c r="V191" s="11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R191" s="71"/>
      <c r="AS191" s="25"/>
      <c r="AT191" s="23"/>
      <c r="AU191" s="25"/>
      <c r="AV191" s="25"/>
      <c r="AW191" s="25"/>
    </row>
    <row r="192" ht="15.75" customHeight="1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11"/>
      <c r="R192" s="11"/>
      <c r="S192" s="11"/>
      <c r="T192" s="11"/>
      <c r="U192" s="11"/>
      <c r="V192" s="11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R192" s="71"/>
      <c r="AS192" s="25"/>
      <c r="AT192" s="23"/>
      <c r="AU192" s="25"/>
      <c r="AV192" s="25"/>
      <c r="AW192" s="25"/>
    </row>
    <row r="193" ht="15.75" customHeight="1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11"/>
      <c r="R193" s="11"/>
      <c r="S193" s="11"/>
      <c r="T193" s="11"/>
      <c r="U193" s="11"/>
      <c r="V193" s="11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R193" s="71"/>
      <c r="AS193" s="25"/>
      <c r="AT193" s="23"/>
      <c r="AU193" s="25"/>
      <c r="AV193" s="25"/>
      <c r="AW193" s="25"/>
    </row>
    <row r="194" ht="15.75" customHeight="1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11"/>
      <c r="R194" s="11"/>
      <c r="S194" s="11"/>
      <c r="T194" s="11"/>
      <c r="U194" s="11"/>
      <c r="V194" s="11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R194" s="71"/>
      <c r="AS194" s="25"/>
      <c r="AT194" s="23"/>
      <c r="AU194" s="25"/>
      <c r="AV194" s="25"/>
      <c r="AW194" s="25"/>
    </row>
    <row r="195" ht="15.75" customHeight="1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11"/>
      <c r="R195" s="11"/>
      <c r="S195" s="11"/>
      <c r="T195" s="11"/>
      <c r="U195" s="11"/>
      <c r="V195" s="11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R195" s="71"/>
      <c r="AS195" s="25"/>
      <c r="AT195" s="23"/>
      <c r="AU195" s="25"/>
      <c r="AV195" s="25"/>
      <c r="AW195" s="25"/>
    </row>
    <row r="196" ht="15.75" customHeigh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11"/>
      <c r="R196" s="11"/>
      <c r="S196" s="11"/>
      <c r="T196" s="11"/>
      <c r="U196" s="11"/>
      <c r="V196" s="11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R196" s="71"/>
      <c r="AS196" s="25"/>
      <c r="AT196" s="23"/>
      <c r="AU196" s="25"/>
      <c r="AV196" s="25"/>
      <c r="AW196" s="25"/>
    </row>
    <row r="197" ht="15.75" customHeight="1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11"/>
      <c r="R197" s="11"/>
      <c r="S197" s="11"/>
      <c r="T197" s="11"/>
      <c r="U197" s="11"/>
      <c r="V197" s="11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R197" s="71"/>
      <c r="AS197" s="25"/>
      <c r="AT197" s="23"/>
      <c r="AU197" s="25"/>
      <c r="AV197" s="25"/>
      <c r="AW197" s="25"/>
    </row>
    <row r="198" ht="15.75" customHeight="1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11"/>
      <c r="R198" s="11"/>
      <c r="S198" s="11"/>
      <c r="T198" s="11"/>
      <c r="U198" s="11"/>
      <c r="V198" s="11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R198" s="71"/>
      <c r="AS198" s="25"/>
      <c r="AT198" s="23"/>
      <c r="AU198" s="25"/>
      <c r="AV198" s="25"/>
      <c r="AW198" s="25"/>
    </row>
    <row r="199" ht="15.75" customHeight="1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11"/>
      <c r="R199" s="11"/>
      <c r="S199" s="11"/>
      <c r="T199" s="11"/>
      <c r="U199" s="11"/>
      <c r="V199" s="11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R199" s="71"/>
      <c r="AS199" s="25"/>
      <c r="AT199" s="23"/>
      <c r="AU199" s="25"/>
      <c r="AV199" s="25"/>
      <c r="AW199" s="25"/>
    </row>
    <row r="200" ht="15.75" customHeight="1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11"/>
      <c r="R200" s="11"/>
      <c r="S200" s="11"/>
      <c r="T200" s="11"/>
      <c r="U200" s="11"/>
      <c r="V200" s="11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R200" s="71"/>
      <c r="AS200" s="25"/>
      <c r="AT200" s="23"/>
      <c r="AU200" s="25"/>
      <c r="AV200" s="25"/>
      <c r="AW200" s="25"/>
    </row>
    <row r="201" ht="15.75" customHeight="1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11"/>
      <c r="R201" s="11"/>
      <c r="S201" s="11"/>
      <c r="T201" s="11"/>
      <c r="U201" s="11"/>
      <c r="V201" s="11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R201" s="71"/>
      <c r="AS201" s="25"/>
      <c r="AT201" s="23"/>
      <c r="AU201" s="25"/>
      <c r="AV201" s="25"/>
      <c r="AW201" s="25"/>
    </row>
    <row r="202" ht="15.75" customHeight="1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11"/>
      <c r="R202" s="11"/>
      <c r="S202" s="11"/>
      <c r="T202" s="11"/>
      <c r="U202" s="11"/>
      <c r="V202" s="11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R202" s="71"/>
      <c r="AS202" s="25"/>
      <c r="AT202" s="23"/>
      <c r="AU202" s="25"/>
      <c r="AV202" s="25"/>
      <c r="AW202" s="25"/>
    </row>
    <row r="203" ht="15.75" customHeight="1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11"/>
      <c r="R203" s="11"/>
      <c r="S203" s="11"/>
      <c r="T203" s="11"/>
      <c r="U203" s="11"/>
      <c r="V203" s="11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R203" s="71"/>
      <c r="AS203" s="25"/>
      <c r="AT203" s="23"/>
      <c r="AU203" s="25"/>
      <c r="AV203" s="25"/>
      <c r="AW203" s="25"/>
    </row>
    <row r="204" ht="15.75" customHeight="1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11"/>
      <c r="R204" s="11"/>
      <c r="S204" s="11"/>
      <c r="T204" s="11"/>
      <c r="U204" s="11"/>
      <c r="V204" s="11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R204" s="71"/>
      <c r="AS204" s="25"/>
      <c r="AT204" s="23"/>
      <c r="AU204" s="25"/>
      <c r="AV204" s="25"/>
      <c r="AW204" s="25"/>
    </row>
    <row r="205" ht="15.75" customHeight="1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11"/>
      <c r="R205" s="11"/>
      <c r="S205" s="11"/>
      <c r="T205" s="11"/>
      <c r="U205" s="11"/>
      <c r="V205" s="11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R205" s="71"/>
      <c r="AS205" s="25"/>
      <c r="AT205" s="23"/>
      <c r="AU205" s="25"/>
      <c r="AV205" s="25"/>
      <c r="AW205" s="25"/>
    </row>
    <row r="206" ht="15.75" customHeight="1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11"/>
      <c r="R206" s="11"/>
      <c r="S206" s="11"/>
      <c r="T206" s="11"/>
      <c r="U206" s="11"/>
      <c r="V206" s="11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R206" s="71"/>
      <c r="AS206" s="25"/>
      <c r="AT206" s="23"/>
      <c r="AU206" s="25"/>
      <c r="AV206" s="25"/>
      <c r="AW206" s="25"/>
    </row>
    <row r="207" ht="15.75" customHeight="1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11"/>
      <c r="R207" s="11"/>
      <c r="S207" s="11"/>
      <c r="T207" s="11"/>
      <c r="U207" s="11"/>
      <c r="V207" s="11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R207" s="71"/>
      <c r="AS207" s="25"/>
      <c r="AT207" s="23"/>
      <c r="AU207" s="25"/>
      <c r="AV207" s="25"/>
      <c r="AW207" s="25"/>
    </row>
    <row r="208" ht="15.75" customHeight="1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11"/>
      <c r="R208" s="11"/>
      <c r="S208" s="11"/>
      <c r="T208" s="11"/>
      <c r="U208" s="11"/>
      <c r="V208" s="11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R208" s="71"/>
      <c r="AS208" s="25"/>
      <c r="AT208" s="23"/>
      <c r="AU208" s="25"/>
      <c r="AV208" s="25"/>
      <c r="AW208" s="25"/>
    </row>
    <row r="209" ht="15.75" customHeight="1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11"/>
      <c r="R209" s="11"/>
      <c r="S209" s="11"/>
      <c r="T209" s="11"/>
      <c r="U209" s="11"/>
      <c r="V209" s="11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R209" s="71"/>
      <c r="AS209" s="25"/>
      <c r="AT209" s="23"/>
      <c r="AU209" s="25"/>
      <c r="AV209" s="25"/>
      <c r="AW209" s="25"/>
    </row>
    <row r="210" ht="15.75" customHeight="1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11"/>
      <c r="R210" s="11"/>
      <c r="S210" s="11"/>
      <c r="T210" s="11"/>
      <c r="U210" s="11"/>
      <c r="V210" s="11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R210" s="71"/>
      <c r="AS210" s="25"/>
      <c r="AT210" s="23"/>
      <c r="AU210" s="25"/>
      <c r="AV210" s="25"/>
      <c r="AW210" s="25"/>
    </row>
    <row r="211" ht="15.75" customHeight="1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11"/>
      <c r="R211" s="11"/>
      <c r="S211" s="11"/>
      <c r="T211" s="11"/>
      <c r="U211" s="11"/>
      <c r="V211" s="11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R211" s="71"/>
      <c r="AS211" s="25"/>
      <c r="AT211" s="23"/>
      <c r="AU211" s="25"/>
      <c r="AV211" s="25"/>
      <c r="AW211" s="25"/>
    </row>
    <row r="212" ht="15.75" customHeight="1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11"/>
      <c r="R212" s="11"/>
      <c r="S212" s="11"/>
      <c r="T212" s="11"/>
      <c r="U212" s="11"/>
      <c r="V212" s="11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R212" s="71"/>
      <c r="AS212" s="25"/>
      <c r="AT212" s="23"/>
      <c r="AU212" s="25"/>
      <c r="AV212" s="25"/>
      <c r="AW212" s="25"/>
    </row>
    <row r="213" ht="15.75" customHeight="1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11"/>
      <c r="R213" s="11"/>
      <c r="S213" s="11"/>
      <c r="T213" s="11"/>
      <c r="U213" s="11"/>
      <c r="V213" s="11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R213" s="71"/>
      <c r="AS213" s="25"/>
      <c r="AT213" s="23"/>
      <c r="AU213" s="25"/>
      <c r="AV213" s="25"/>
      <c r="AW213" s="25"/>
    </row>
    <row r="214" ht="15.75" customHeight="1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11"/>
      <c r="R214" s="11"/>
      <c r="S214" s="11"/>
      <c r="T214" s="11"/>
      <c r="U214" s="11"/>
      <c r="V214" s="11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R214" s="71"/>
      <c r="AS214" s="25"/>
      <c r="AT214" s="23"/>
      <c r="AU214" s="25"/>
      <c r="AV214" s="25"/>
      <c r="AW214" s="25"/>
    </row>
    <row r="215" ht="15.75" customHeight="1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11"/>
      <c r="R215" s="11"/>
      <c r="S215" s="11"/>
      <c r="T215" s="11"/>
      <c r="U215" s="11"/>
      <c r="V215" s="11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R215" s="71"/>
      <c r="AS215" s="25"/>
      <c r="AT215" s="23"/>
      <c r="AU215" s="25"/>
      <c r="AV215" s="25"/>
      <c r="AW215" s="25"/>
    </row>
    <row r="216" ht="15.75" customHeight="1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11"/>
      <c r="R216" s="11"/>
      <c r="S216" s="11"/>
      <c r="T216" s="11"/>
      <c r="U216" s="11"/>
      <c r="V216" s="11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R216" s="71"/>
      <c r="AS216" s="25"/>
      <c r="AT216" s="23"/>
      <c r="AU216" s="25"/>
      <c r="AV216" s="25"/>
      <c r="AW216" s="25"/>
    </row>
    <row r="217" ht="15.75" customHeight="1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11"/>
      <c r="R217" s="11"/>
      <c r="S217" s="11"/>
      <c r="T217" s="11"/>
      <c r="U217" s="11"/>
      <c r="V217" s="11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R217" s="71"/>
      <c r="AS217" s="25"/>
      <c r="AT217" s="23"/>
      <c r="AU217" s="25"/>
      <c r="AV217" s="25"/>
      <c r="AW217" s="25"/>
    </row>
    <row r="218" ht="15.75" customHeight="1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11"/>
      <c r="R218" s="11"/>
      <c r="S218" s="11"/>
      <c r="T218" s="11"/>
      <c r="U218" s="11"/>
      <c r="V218" s="11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R218" s="71"/>
      <c r="AS218" s="25"/>
      <c r="AT218" s="23"/>
      <c r="AU218" s="25"/>
      <c r="AV218" s="25"/>
      <c r="AW218" s="25"/>
    </row>
    <row r="219" ht="15.75" customHeight="1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11"/>
      <c r="R219" s="11"/>
      <c r="S219" s="11"/>
      <c r="T219" s="11"/>
      <c r="U219" s="11"/>
      <c r="V219" s="11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R219" s="71"/>
      <c r="AS219" s="25"/>
      <c r="AT219" s="23"/>
      <c r="AU219" s="25"/>
      <c r="AV219" s="25"/>
      <c r="AW219" s="25"/>
    </row>
    <row r="220" ht="15.75" customHeight="1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11"/>
      <c r="R220" s="11"/>
      <c r="S220" s="11"/>
      <c r="T220" s="11"/>
      <c r="U220" s="11"/>
      <c r="V220" s="11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R220" s="71"/>
      <c r="AS220" s="25"/>
      <c r="AT220" s="23"/>
      <c r="AU220" s="25"/>
      <c r="AV220" s="25"/>
      <c r="AW220" s="25"/>
    </row>
    <row r="221" ht="15.75" customHeight="1"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11"/>
      <c r="R221" s="11"/>
      <c r="S221" s="11"/>
      <c r="T221" s="11"/>
      <c r="U221" s="11"/>
      <c r="V221" s="11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R221" s="71"/>
      <c r="AS221" s="25"/>
      <c r="AT221" s="23"/>
      <c r="AU221" s="25"/>
      <c r="AV221" s="25"/>
      <c r="AW221" s="25"/>
    </row>
    <row r="222" ht="15.75" customHeight="1"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11"/>
      <c r="R222" s="11"/>
      <c r="S222" s="11"/>
      <c r="T222" s="11"/>
      <c r="U222" s="11"/>
      <c r="V222" s="11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R222" s="71"/>
      <c r="AS222" s="25"/>
      <c r="AT222" s="23"/>
      <c r="AU222" s="25"/>
      <c r="AV222" s="25"/>
      <c r="AW222" s="25"/>
    </row>
    <row r="223" ht="15.75" customHeight="1"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11"/>
      <c r="R223" s="11"/>
      <c r="S223" s="11"/>
      <c r="T223" s="11"/>
      <c r="U223" s="11"/>
      <c r="V223" s="11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R223" s="71"/>
      <c r="AS223" s="25"/>
      <c r="AT223" s="23"/>
      <c r="AU223" s="25"/>
      <c r="AV223" s="25"/>
      <c r="AW223" s="25"/>
    </row>
    <row r="224" ht="15.75" customHeight="1"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11"/>
      <c r="R224" s="11"/>
      <c r="S224" s="11"/>
      <c r="T224" s="11"/>
      <c r="U224" s="11"/>
      <c r="V224" s="11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R224" s="71"/>
      <c r="AS224" s="25"/>
      <c r="AT224" s="23"/>
      <c r="AU224" s="25"/>
      <c r="AV224" s="25"/>
      <c r="AW224" s="25"/>
    </row>
    <row r="225" ht="15.75" customHeight="1"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11"/>
      <c r="R225" s="11"/>
      <c r="S225" s="11"/>
      <c r="T225" s="11"/>
      <c r="U225" s="11"/>
      <c r="V225" s="11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R225" s="71"/>
      <c r="AS225" s="25"/>
      <c r="AT225" s="23"/>
      <c r="AU225" s="25"/>
      <c r="AV225" s="25"/>
      <c r="AW225" s="25"/>
    </row>
    <row r="226" ht="15.75" customHeight="1"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11"/>
      <c r="R226" s="11"/>
      <c r="S226" s="11"/>
      <c r="T226" s="11"/>
      <c r="U226" s="11"/>
      <c r="V226" s="11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R226" s="71"/>
      <c r="AS226" s="25"/>
      <c r="AT226" s="23"/>
      <c r="AU226" s="25"/>
      <c r="AV226" s="25"/>
      <c r="AW226" s="25"/>
    </row>
    <row r="227" ht="15.75" customHeight="1"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11"/>
      <c r="R227" s="11"/>
      <c r="S227" s="11"/>
      <c r="T227" s="11"/>
      <c r="U227" s="11"/>
      <c r="V227" s="11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R227" s="71"/>
      <c r="AS227" s="25"/>
      <c r="AT227" s="23"/>
      <c r="AU227" s="25"/>
      <c r="AV227" s="25"/>
      <c r="AW227" s="25"/>
    </row>
    <row r="228" ht="15.75" customHeight="1"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11"/>
      <c r="R228" s="11"/>
      <c r="S228" s="11"/>
      <c r="T228" s="11"/>
      <c r="U228" s="11"/>
      <c r="V228" s="11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R228" s="71"/>
      <c r="AS228" s="25"/>
      <c r="AT228" s="23"/>
      <c r="AU228" s="25"/>
      <c r="AV228" s="25"/>
      <c r="AW228" s="25"/>
    </row>
    <row r="229" ht="15.75" customHeight="1"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11"/>
      <c r="R229" s="11"/>
      <c r="S229" s="11"/>
      <c r="T229" s="11"/>
      <c r="U229" s="11"/>
      <c r="V229" s="11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R229" s="71"/>
      <c r="AS229" s="25"/>
      <c r="AT229" s="23"/>
      <c r="AU229" s="25"/>
      <c r="AV229" s="25"/>
      <c r="AW229" s="25"/>
    </row>
    <row r="230" ht="15.75" customHeight="1"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11"/>
      <c r="R230" s="11"/>
      <c r="S230" s="11"/>
      <c r="T230" s="11"/>
      <c r="U230" s="11"/>
      <c r="V230" s="11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R230" s="71"/>
      <c r="AS230" s="25"/>
      <c r="AT230" s="23"/>
      <c r="AU230" s="25"/>
      <c r="AV230" s="25"/>
      <c r="AW230" s="25"/>
    </row>
    <row r="231" ht="15.75" customHeight="1"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11"/>
      <c r="R231" s="11"/>
      <c r="S231" s="11"/>
      <c r="T231" s="11"/>
      <c r="U231" s="11"/>
      <c r="V231" s="11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R231" s="71"/>
      <c r="AS231" s="25"/>
      <c r="AT231" s="23"/>
      <c r="AU231" s="25"/>
      <c r="AV231" s="25"/>
      <c r="AW231" s="25"/>
    </row>
    <row r="232" ht="15.75" customHeight="1"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11"/>
      <c r="R232" s="11"/>
      <c r="S232" s="11"/>
      <c r="T232" s="11"/>
      <c r="U232" s="11"/>
      <c r="V232" s="11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R232" s="71"/>
      <c r="AS232" s="25"/>
      <c r="AT232" s="23"/>
      <c r="AU232" s="25"/>
      <c r="AV232" s="25"/>
      <c r="AW232" s="25"/>
    </row>
    <row r="233" ht="15.75" customHeight="1"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11"/>
      <c r="R233" s="11"/>
      <c r="S233" s="11"/>
      <c r="T233" s="11"/>
      <c r="U233" s="11"/>
      <c r="V233" s="11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R233" s="71"/>
      <c r="AS233" s="25"/>
      <c r="AT233" s="23"/>
      <c r="AU233" s="25"/>
      <c r="AV233" s="25"/>
      <c r="AW233" s="25"/>
    </row>
    <row r="234" ht="15.75" customHeight="1"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11"/>
      <c r="R234" s="11"/>
      <c r="S234" s="11"/>
      <c r="T234" s="11"/>
      <c r="U234" s="11"/>
      <c r="V234" s="11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R234" s="71"/>
      <c r="AS234" s="25"/>
      <c r="AT234" s="23"/>
      <c r="AU234" s="25"/>
      <c r="AV234" s="25"/>
      <c r="AW234" s="25"/>
    </row>
    <row r="235" ht="15.75" customHeight="1"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11"/>
      <c r="R235" s="11"/>
      <c r="S235" s="11"/>
      <c r="T235" s="11"/>
      <c r="U235" s="11"/>
      <c r="V235" s="11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R235" s="71"/>
      <c r="AS235" s="25"/>
      <c r="AT235" s="23"/>
      <c r="AU235" s="25"/>
      <c r="AV235" s="25"/>
      <c r="AW235" s="25"/>
    </row>
    <row r="236" ht="15.75" customHeight="1"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11"/>
      <c r="R236" s="11"/>
      <c r="S236" s="11"/>
      <c r="T236" s="11"/>
      <c r="U236" s="11"/>
      <c r="V236" s="11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R236" s="71"/>
      <c r="AS236" s="25"/>
      <c r="AT236" s="23"/>
      <c r="AU236" s="25"/>
      <c r="AV236" s="25"/>
      <c r="AW236" s="25"/>
    </row>
    <row r="237" ht="15.75" customHeight="1"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11"/>
      <c r="R237" s="11"/>
      <c r="S237" s="11"/>
      <c r="T237" s="11"/>
      <c r="U237" s="11"/>
      <c r="V237" s="11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R237" s="71"/>
      <c r="AS237" s="25"/>
      <c r="AT237" s="23"/>
      <c r="AU237" s="25"/>
      <c r="AV237" s="25"/>
      <c r="AW237" s="25"/>
    </row>
    <row r="238" ht="15.75" customHeight="1"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11"/>
      <c r="R238" s="11"/>
      <c r="S238" s="11"/>
      <c r="T238" s="11"/>
      <c r="U238" s="11"/>
      <c r="V238" s="11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R238" s="71"/>
      <c r="AS238" s="25"/>
      <c r="AT238" s="23"/>
      <c r="AU238" s="25"/>
      <c r="AV238" s="25"/>
      <c r="AW238" s="25"/>
    </row>
    <row r="239" ht="15.75" customHeight="1"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11"/>
      <c r="R239" s="11"/>
      <c r="S239" s="11"/>
      <c r="T239" s="11"/>
      <c r="U239" s="11"/>
      <c r="V239" s="11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R239" s="71"/>
      <c r="AS239" s="25"/>
      <c r="AT239" s="23"/>
      <c r="AU239" s="25"/>
      <c r="AV239" s="25"/>
      <c r="AW239" s="25"/>
    </row>
    <row r="240" ht="15.75" customHeight="1"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11"/>
      <c r="R240" s="11"/>
      <c r="S240" s="11"/>
      <c r="T240" s="11"/>
      <c r="U240" s="11"/>
      <c r="V240" s="11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R240" s="71"/>
      <c r="AS240" s="25"/>
      <c r="AT240" s="23"/>
      <c r="AU240" s="25"/>
      <c r="AV240" s="25"/>
      <c r="AW240" s="25"/>
    </row>
    <row r="241" ht="15.75" customHeight="1"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11"/>
      <c r="R241" s="11"/>
      <c r="S241" s="11"/>
      <c r="T241" s="11"/>
      <c r="U241" s="11"/>
      <c r="V241" s="11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R241" s="71"/>
      <c r="AS241" s="25"/>
      <c r="AT241" s="23"/>
      <c r="AU241" s="25"/>
      <c r="AV241" s="25"/>
      <c r="AW241" s="25"/>
    </row>
    <row r="242" ht="15.75" customHeight="1"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11"/>
      <c r="R242" s="11"/>
      <c r="S242" s="11"/>
      <c r="T242" s="11"/>
      <c r="U242" s="11"/>
      <c r="V242" s="11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R242" s="71"/>
      <c r="AS242" s="25"/>
      <c r="AT242" s="23"/>
      <c r="AU242" s="25"/>
      <c r="AV242" s="25"/>
      <c r="AW242" s="25"/>
    </row>
    <row r="243" ht="15.75" customHeight="1"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11"/>
      <c r="R243" s="11"/>
      <c r="S243" s="11"/>
      <c r="T243" s="11"/>
      <c r="U243" s="11"/>
      <c r="V243" s="11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R243" s="71"/>
      <c r="AS243" s="25"/>
      <c r="AT243" s="23"/>
      <c r="AU243" s="25"/>
      <c r="AV243" s="25"/>
      <c r="AW243" s="25"/>
    </row>
    <row r="244" ht="15.75" customHeight="1"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11"/>
      <c r="R244" s="11"/>
      <c r="S244" s="11"/>
      <c r="T244" s="11"/>
      <c r="U244" s="11"/>
      <c r="V244" s="11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R244" s="71"/>
      <c r="AS244" s="25"/>
      <c r="AT244" s="23"/>
      <c r="AU244" s="25"/>
      <c r="AV244" s="25"/>
      <c r="AW244" s="25"/>
    </row>
    <row r="245" ht="15.75" customHeight="1"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11"/>
      <c r="R245" s="11"/>
      <c r="S245" s="11"/>
      <c r="T245" s="11"/>
      <c r="U245" s="11"/>
      <c r="V245" s="11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R245" s="71"/>
      <c r="AS245" s="25"/>
      <c r="AT245" s="23"/>
      <c r="AU245" s="25"/>
      <c r="AV245" s="25"/>
      <c r="AW245" s="25"/>
    </row>
    <row r="246" ht="15.75" customHeight="1"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11"/>
      <c r="R246" s="11"/>
      <c r="S246" s="11"/>
      <c r="T246" s="11"/>
      <c r="U246" s="11"/>
      <c r="V246" s="11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R246" s="71"/>
      <c r="AS246" s="25"/>
      <c r="AT246" s="23"/>
      <c r="AU246" s="25"/>
      <c r="AV246" s="25"/>
      <c r="AW246" s="25"/>
    </row>
    <row r="247" ht="15.75" customHeight="1"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11"/>
      <c r="R247" s="11"/>
      <c r="S247" s="11"/>
      <c r="T247" s="11"/>
      <c r="U247" s="11"/>
      <c r="V247" s="11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R247" s="71"/>
      <c r="AS247" s="25"/>
      <c r="AT247" s="23"/>
      <c r="AU247" s="25"/>
      <c r="AV247" s="25"/>
      <c r="AW247" s="25"/>
    </row>
    <row r="248" ht="15.75" customHeight="1"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11"/>
      <c r="R248" s="11"/>
      <c r="S248" s="11"/>
      <c r="T248" s="11"/>
      <c r="U248" s="11"/>
      <c r="V248" s="11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R248" s="71"/>
      <c r="AS248" s="25"/>
      <c r="AT248" s="23"/>
      <c r="AU248" s="25"/>
      <c r="AV248" s="25"/>
      <c r="AW248" s="25"/>
    </row>
    <row r="249" ht="15.75" customHeight="1"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11"/>
      <c r="R249" s="11"/>
      <c r="S249" s="11"/>
      <c r="T249" s="11"/>
      <c r="U249" s="11"/>
      <c r="V249" s="11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R249" s="71"/>
      <c r="AS249" s="25"/>
      <c r="AT249" s="23"/>
      <c r="AU249" s="25"/>
      <c r="AV249" s="25"/>
      <c r="AW249" s="25"/>
    </row>
    <row r="250" ht="15.75" customHeight="1"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11"/>
      <c r="R250" s="11"/>
      <c r="S250" s="11"/>
      <c r="T250" s="11"/>
      <c r="U250" s="11"/>
      <c r="V250" s="11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R250" s="71"/>
      <c r="AS250" s="25"/>
      <c r="AT250" s="23"/>
      <c r="AU250" s="25"/>
      <c r="AV250" s="25"/>
      <c r="AW250" s="25"/>
    </row>
    <row r="251" ht="15.75" customHeight="1"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11"/>
      <c r="R251" s="11"/>
      <c r="S251" s="11"/>
      <c r="T251" s="11"/>
      <c r="U251" s="11"/>
      <c r="V251" s="11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R251" s="71"/>
      <c r="AS251" s="25"/>
      <c r="AT251" s="23"/>
      <c r="AU251" s="25"/>
      <c r="AV251" s="25"/>
      <c r="AW251" s="25"/>
    </row>
    <row r="252" ht="15.75" customHeight="1"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11"/>
      <c r="R252" s="11"/>
      <c r="S252" s="11"/>
      <c r="T252" s="11"/>
      <c r="U252" s="11"/>
      <c r="V252" s="11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R252" s="71"/>
      <c r="AS252" s="25"/>
      <c r="AT252" s="23"/>
      <c r="AU252" s="25"/>
      <c r="AV252" s="25"/>
      <c r="AW252" s="25"/>
    </row>
    <row r="253" ht="15.75" customHeight="1"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11"/>
      <c r="R253" s="11"/>
      <c r="S253" s="11"/>
      <c r="T253" s="11"/>
      <c r="U253" s="11"/>
      <c r="V253" s="11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R253" s="71"/>
      <c r="AS253" s="25"/>
      <c r="AT253" s="23"/>
      <c r="AU253" s="25"/>
      <c r="AV253" s="25"/>
      <c r="AW253" s="25"/>
    </row>
    <row r="254" ht="15.75" customHeight="1"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11"/>
      <c r="R254" s="11"/>
      <c r="S254" s="11"/>
      <c r="T254" s="11"/>
      <c r="U254" s="11"/>
      <c r="V254" s="11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R254" s="71"/>
      <c r="AS254" s="25"/>
      <c r="AT254" s="23"/>
      <c r="AU254" s="25"/>
      <c r="AV254" s="25"/>
      <c r="AW254" s="25"/>
    </row>
    <row r="255" ht="15.75" customHeight="1"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11"/>
      <c r="R255" s="11"/>
      <c r="S255" s="11"/>
      <c r="T255" s="11"/>
      <c r="U255" s="11"/>
      <c r="V255" s="11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R255" s="71"/>
      <c r="AS255" s="25"/>
      <c r="AT255" s="23"/>
      <c r="AU255" s="25"/>
      <c r="AV255" s="25"/>
      <c r="AW255" s="25"/>
    </row>
    <row r="256" ht="15.75" customHeight="1"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11"/>
      <c r="R256" s="11"/>
      <c r="S256" s="11"/>
      <c r="T256" s="11"/>
      <c r="U256" s="11"/>
      <c r="V256" s="11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R256" s="71"/>
      <c r="AS256" s="25"/>
      <c r="AT256" s="23"/>
      <c r="AU256" s="25"/>
      <c r="AV256" s="25"/>
      <c r="AW256" s="25"/>
    </row>
    <row r="257" ht="15.75" customHeight="1"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11"/>
      <c r="R257" s="11"/>
      <c r="S257" s="11"/>
      <c r="T257" s="11"/>
      <c r="U257" s="11"/>
      <c r="V257" s="11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R257" s="71"/>
      <c r="AS257" s="25"/>
      <c r="AT257" s="23"/>
      <c r="AU257" s="25"/>
      <c r="AV257" s="25"/>
      <c r="AW257" s="25"/>
    </row>
    <row r="258" ht="15.75" customHeight="1"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11"/>
      <c r="R258" s="11"/>
      <c r="S258" s="11"/>
      <c r="T258" s="11"/>
      <c r="U258" s="11"/>
      <c r="V258" s="11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R258" s="71"/>
      <c r="AS258" s="25"/>
      <c r="AT258" s="23"/>
      <c r="AU258" s="25"/>
      <c r="AV258" s="25"/>
      <c r="AW258" s="25"/>
    </row>
    <row r="259" ht="15.75" customHeight="1"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11"/>
      <c r="R259" s="11"/>
      <c r="S259" s="11"/>
      <c r="T259" s="11"/>
      <c r="U259" s="11"/>
      <c r="V259" s="11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R259" s="71"/>
      <c r="AS259" s="25"/>
      <c r="AT259" s="23"/>
      <c r="AU259" s="25"/>
      <c r="AV259" s="25"/>
      <c r="AW259" s="25"/>
    </row>
    <row r="260" ht="15.75" customHeight="1"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11"/>
      <c r="R260" s="11"/>
      <c r="S260" s="11"/>
      <c r="T260" s="11"/>
      <c r="U260" s="11"/>
      <c r="V260" s="11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R260" s="71"/>
      <c r="AS260" s="25"/>
      <c r="AT260" s="23"/>
      <c r="AU260" s="25"/>
      <c r="AV260" s="25"/>
      <c r="AW260" s="25"/>
    </row>
    <row r="261" ht="15.75" customHeight="1"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11"/>
      <c r="R261" s="11"/>
      <c r="S261" s="11"/>
      <c r="T261" s="11"/>
      <c r="U261" s="11"/>
      <c r="V261" s="11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R261" s="71"/>
      <c r="AS261" s="25"/>
      <c r="AT261" s="23"/>
      <c r="AU261" s="25"/>
      <c r="AV261" s="25"/>
      <c r="AW261" s="25"/>
    </row>
    <row r="262" ht="15.75" customHeight="1"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11"/>
      <c r="R262" s="11"/>
      <c r="S262" s="11"/>
      <c r="T262" s="11"/>
      <c r="U262" s="11"/>
      <c r="V262" s="11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R262" s="71"/>
      <c r="AS262" s="25"/>
      <c r="AT262" s="23"/>
      <c r="AU262" s="25"/>
      <c r="AV262" s="25"/>
      <c r="AW262" s="25"/>
    </row>
    <row r="263" ht="15.75" customHeight="1"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11"/>
      <c r="R263" s="11"/>
      <c r="S263" s="11"/>
      <c r="T263" s="11"/>
      <c r="U263" s="11"/>
      <c r="V263" s="11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R263" s="71"/>
      <c r="AS263" s="25"/>
      <c r="AT263" s="23"/>
      <c r="AU263" s="25"/>
      <c r="AV263" s="25"/>
      <c r="AW263" s="25"/>
    </row>
    <row r="264" ht="15.75" customHeight="1">
      <c r="Q264" s="11"/>
      <c r="R264" s="11"/>
      <c r="S264" s="11"/>
      <c r="T264" s="11"/>
      <c r="U264" s="11"/>
      <c r="V264" s="11"/>
    </row>
    <row r="265" ht="15.75" customHeight="1">
      <c r="Q265" s="11"/>
      <c r="R265" s="11"/>
      <c r="S265" s="11"/>
      <c r="T265" s="11"/>
      <c r="U265" s="11"/>
      <c r="V265" s="11"/>
    </row>
    <row r="266" ht="15.75" customHeight="1">
      <c r="Q266" s="11"/>
      <c r="R266" s="11"/>
      <c r="S266" s="11"/>
      <c r="T266" s="11"/>
      <c r="U266" s="11"/>
      <c r="V266" s="11"/>
    </row>
    <row r="267" ht="15.75" customHeight="1">
      <c r="Q267" s="11"/>
      <c r="R267" s="11"/>
      <c r="S267" s="11"/>
      <c r="T267" s="11"/>
      <c r="U267" s="11"/>
      <c r="V267" s="11"/>
    </row>
    <row r="268" ht="15.75" customHeight="1">
      <c r="Q268" s="11"/>
      <c r="R268" s="11"/>
      <c r="S268" s="11"/>
      <c r="T268" s="11"/>
      <c r="U268" s="11"/>
      <c r="V268" s="11"/>
    </row>
    <row r="269" ht="15.75" customHeight="1">
      <c r="Q269" s="11"/>
      <c r="R269" s="11"/>
      <c r="S269" s="11"/>
      <c r="T269" s="11"/>
      <c r="U269" s="11"/>
      <c r="V269" s="11"/>
    </row>
    <row r="270" ht="15.75" customHeight="1">
      <c r="Q270" s="11"/>
      <c r="R270" s="11"/>
      <c r="S270" s="11"/>
      <c r="T270" s="11"/>
      <c r="U270" s="11"/>
      <c r="V270" s="11"/>
    </row>
    <row r="271" ht="15.75" customHeight="1">
      <c r="Q271" s="11"/>
      <c r="R271" s="11"/>
      <c r="S271" s="11"/>
      <c r="T271" s="11"/>
      <c r="U271" s="11"/>
      <c r="V271" s="11"/>
    </row>
    <row r="272" ht="15.75" customHeight="1">
      <c r="Q272" s="11"/>
      <c r="R272" s="11"/>
      <c r="S272" s="11"/>
      <c r="T272" s="11"/>
      <c r="U272" s="11"/>
      <c r="V272" s="11"/>
    </row>
    <row r="273" ht="15.75" customHeight="1">
      <c r="Q273" s="11"/>
      <c r="R273" s="11"/>
      <c r="S273" s="11"/>
      <c r="T273" s="11"/>
      <c r="U273" s="11"/>
      <c r="V273" s="11"/>
    </row>
    <row r="274" ht="15.75" customHeight="1">
      <c r="Q274" s="11"/>
      <c r="R274" s="11"/>
      <c r="S274" s="11"/>
      <c r="T274" s="11"/>
      <c r="U274" s="11"/>
      <c r="V274" s="11"/>
    </row>
    <row r="275" ht="15.75" customHeight="1">
      <c r="Q275" s="11"/>
      <c r="R275" s="11"/>
      <c r="S275" s="11"/>
      <c r="T275" s="11"/>
      <c r="U275" s="11"/>
      <c r="V275" s="11"/>
    </row>
    <row r="276" ht="15.75" customHeight="1">
      <c r="Q276" s="11"/>
      <c r="R276" s="11"/>
      <c r="S276" s="11"/>
      <c r="T276" s="11"/>
      <c r="U276" s="11"/>
      <c r="V276" s="11"/>
    </row>
    <row r="277" ht="15.75" customHeight="1">
      <c r="Q277" s="11"/>
      <c r="R277" s="11"/>
      <c r="S277" s="11"/>
      <c r="T277" s="11"/>
      <c r="U277" s="11"/>
      <c r="V277" s="11"/>
    </row>
    <row r="278" ht="15.75" customHeight="1">
      <c r="Q278" s="11"/>
      <c r="R278" s="11"/>
      <c r="S278" s="11"/>
      <c r="T278" s="11"/>
      <c r="U278" s="11"/>
      <c r="V278" s="11"/>
    </row>
    <row r="279" ht="15.75" customHeight="1">
      <c r="Q279" s="11"/>
      <c r="R279" s="11"/>
      <c r="S279" s="11"/>
      <c r="T279" s="11"/>
      <c r="U279" s="11"/>
      <c r="V279" s="11"/>
    </row>
    <row r="280" ht="15.75" customHeight="1">
      <c r="Q280" s="11"/>
      <c r="R280" s="11"/>
      <c r="S280" s="11"/>
      <c r="T280" s="11"/>
      <c r="U280" s="11"/>
      <c r="V280" s="11"/>
    </row>
    <row r="281" ht="15.75" customHeight="1">
      <c r="Q281" s="11"/>
      <c r="R281" s="11"/>
      <c r="S281" s="11"/>
      <c r="T281" s="11"/>
      <c r="U281" s="11"/>
      <c r="V281" s="11"/>
    </row>
    <row r="282" ht="15.75" customHeight="1">
      <c r="Q282" s="11"/>
      <c r="R282" s="11"/>
      <c r="S282" s="11"/>
      <c r="T282" s="11"/>
      <c r="U282" s="11"/>
      <c r="V282" s="11"/>
    </row>
    <row r="283" ht="15.75" customHeight="1">
      <c r="Q283" s="11"/>
      <c r="R283" s="11"/>
      <c r="S283" s="11"/>
      <c r="T283" s="11"/>
      <c r="U283" s="11"/>
      <c r="V283" s="11"/>
    </row>
    <row r="284" ht="15.75" customHeight="1">
      <c r="Q284" s="11"/>
      <c r="R284" s="11"/>
      <c r="S284" s="11"/>
      <c r="T284" s="11"/>
      <c r="U284" s="11"/>
      <c r="V284" s="11"/>
    </row>
    <row r="285" ht="15.75" customHeight="1">
      <c r="Q285" s="11"/>
      <c r="R285" s="11"/>
      <c r="S285" s="11"/>
      <c r="T285" s="11"/>
      <c r="U285" s="11"/>
      <c r="V285" s="11"/>
    </row>
    <row r="286" ht="15.75" customHeight="1">
      <c r="Q286" s="11"/>
      <c r="R286" s="11"/>
      <c r="S286" s="11"/>
      <c r="T286" s="11"/>
      <c r="U286" s="11"/>
      <c r="V286" s="11"/>
    </row>
    <row r="287" ht="15.75" customHeight="1">
      <c r="Q287" s="11"/>
      <c r="R287" s="11"/>
      <c r="S287" s="11"/>
      <c r="T287" s="11"/>
      <c r="U287" s="11"/>
      <c r="V287" s="11"/>
    </row>
    <row r="288" ht="15.75" customHeight="1">
      <c r="Q288" s="11"/>
      <c r="R288" s="11"/>
      <c r="S288" s="11"/>
      <c r="T288" s="11"/>
      <c r="U288" s="11"/>
      <c r="V288" s="11"/>
    </row>
    <row r="289" ht="15.75" customHeight="1">
      <c r="Q289" s="11"/>
      <c r="R289" s="11"/>
      <c r="S289" s="11"/>
      <c r="T289" s="11"/>
      <c r="U289" s="11"/>
      <c r="V289" s="11"/>
    </row>
    <row r="290" ht="15.75" customHeight="1">
      <c r="Q290" s="11"/>
      <c r="R290" s="11"/>
      <c r="S290" s="11"/>
      <c r="T290" s="11"/>
      <c r="U290" s="11"/>
      <c r="V290" s="11"/>
    </row>
    <row r="291" ht="15.75" customHeight="1">
      <c r="Q291" s="11"/>
      <c r="R291" s="11"/>
      <c r="S291" s="11"/>
      <c r="T291" s="11"/>
      <c r="U291" s="11"/>
      <c r="V291" s="11"/>
    </row>
    <row r="292" ht="15.75" customHeight="1">
      <c r="Q292" s="11"/>
      <c r="R292" s="11"/>
      <c r="S292" s="11"/>
      <c r="T292" s="11"/>
      <c r="U292" s="11"/>
      <c r="V292" s="11"/>
    </row>
    <row r="293" ht="15.75" customHeight="1">
      <c r="Q293" s="11"/>
      <c r="R293" s="11"/>
      <c r="S293" s="11"/>
      <c r="T293" s="11"/>
      <c r="U293" s="11"/>
      <c r="V293" s="11"/>
    </row>
    <row r="294" ht="15.75" customHeight="1">
      <c r="Q294" s="11"/>
      <c r="R294" s="11"/>
      <c r="S294" s="11"/>
      <c r="T294" s="11"/>
      <c r="U294" s="11"/>
      <c r="V294" s="11"/>
    </row>
    <row r="295" ht="15.75" customHeight="1">
      <c r="Q295" s="11"/>
      <c r="R295" s="11"/>
      <c r="S295" s="11"/>
      <c r="T295" s="11"/>
      <c r="U295" s="11"/>
      <c r="V295" s="11"/>
    </row>
    <row r="296" ht="15.75" customHeight="1">
      <c r="Q296" s="11"/>
      <c r="R296" s="11"/>
      <c r="S296" s="11"/>
      <c r="T296" s="11"/>
      <c r="U296" s="11"/>
      <c r="V296" s="11"/>
    </row>
    <row r="297" ht="15.75" customHeight="1">
      <c r="Q297" s="11"/>
      <c r="R297" s="11"/>
      <c r="S297" s="11"/>
      <c r="T297" s="11"/>
      <c r="U297" s="11"/>
      <c r="V297" s="11"/>
    </row>
    <row r="298" ht="15.75" customHeight="1">
      <c r="Q298" s="11"/>
      <c r="R298" s="11"/>
      <c r="S298" s="11"/>
      <c r="T298" s="11"/>
      <c r="U298" s="11"/>
      <c r="V298" s="11"/>
    </row>
    <row r="299" ht="15.75" customHeight="1">
      <c r="Q299" s="11"/>
      <c r="R299" s="11"/>
      <c r="S299" s="11"/>
      <c r="T299" s="11"/>
      <c r="U299" s="11"/>
      <c r="V299" s="11"/>
    </row>
    <row r="300" ht="15.75" customHeight="1">
      <c r="Q300" s="11"/>
      <c r="R300" s="11"/>
      <c r="S300" s="11"/>
      <c r="T300" s="11"/>
      <c r="U300" s="11"/>
      <c r="V300" s="11"/>
    </row>
    <row r="301" ht="15.75" customHeight="1">
      <c r="Q301" s="11"/>
      <c r="R301" s="11"/>
      <c r="S301" s="11"/>
      <c r="T301" s="11"/>
      <c r="U301" s="11"/>
      <c r="V301" s="11"/>
    </row>
    <row r="302" ht="15.75" customHeight="1">
      <c r="Q302" s="11"/>
      <c r="R302" s="11"/>
      <c r="S302" s="11"/>
      <c r="T302" s="11"/>
      <c r="U302" s="11"/>
      <c r="V302" s="11"/>
    </row>
    <row r="303" ht="15.75" customHeight="1">
      <c r="Q303" s="11"/>
      <c r="R303" s="11"/>
      <c r="S303" s="11"/>
      <c r="T303" s="11"/>
      <c r="U303" s="11"/>
      <c r="V303" s="11"/>
    </row>
    <row r="304" ht="15.75" customHeight="1">
      <c r="Q304" s="11"/>
      <c r="R304" s="11"/>
      <c r="S304" s="11"/>
      <c r="T304" s="11"/>
      <c r="U304" s="11"/>
      <c r="V304" s="11"/>
    </row>
    <row r="305" ht="15.75" customHeight="1">
      <c r="Q305" s="11"/>
      <c r="R305" s="11"/>
      <c r="S305" s="11"/>
      <c r="T305" s="11"/>
      <c r="U305" s="11"/>
      <c r="V305" s="11"/>
    </row>
    <row r="306" ht="15.75" customHeight="1">
      <c r="Q306" s="11"/>
      <c r="R306" s="11"/>
      <c r="S306" s="11"/>
      <c r="T306" s="11"/>
      <c r="U306" s="11"/>
      <c r="V306" s="11"/>
    </row>
    <row r="307" ht="15.75" customHeight="1">
      <c r="Q307" s="11"/>
      <c r="R307" s="11"/>
      <c r="S307" s="11"/>
      <c r="T307" s="11"/>
      <c r="U307" s="11"/>
      <c r="V307" s="11"/>
    </row>
    <row r="308" ht="15.75" customHeight="1">
      <c r="Q308" s="11"/>
      <c r="R308" s="11"/>
      <c r="S308" s="11"/>
      <c r="T308" s="11"/>
      <c r="U308" s="11"/>
      <c r="V308" s="11"/>
    </row>
    <row r="309" ht="15.75" customHeight="1">
      <c r="Q309" s="11"/>
      <c r="R309" s="11"/>
      <c r="S309" s="11"/>
      <c r="T309" s="11"/>
      <c r="U309" s="11"/>
      <c r="V309" s="11"/>
    </row>
    <row r="310" ht="15.75" customHeight="1">
      <c r="Q310" s="11"/>
      <c r="R310" s="11"/>
      <c r="S310" s="11"/>
      <c r="T310" s="11"/>
      <c r="U310" s="11"/>
      <c r="V310" s="11"/>
    </row>
    <row r="311" ht="15.75" customHeight="1">
      <c r="Q311" s="11"/>
      <c r="R311" s="11"/>
      <c r="S311" s="11"/>
      <c r="T311" s="11"/>
      <c r="U311" s="11"/>
      <c r="V311" s="11"/>
    </row>
    <row r="312" ht="15.75" customHeight="1">
      <c r="Q312" s="11"/>
      <c r="R312" s="11"/>
      <c r="S312" s="11"/>
      <c r="T312" s="11"/>
      <c r="U312" s="11"/>
      <c r="V312" s="11"/>
    </row>
    <row r="313" ht="15.75" customHeight="1">
      <c r="Q313" s="11"/>
      <c r="R313" s="11"/>
      <c r="S313" s="11"/>
      <c r="T313" s="11"/>
      <c r="U313" s="11"/>
      <c r="V313" s="11"/>
    </row>
    <row r="314" ht="15.75" customHeight="1">
      <c r="Q314" s="11"/>
      <c r="R314" s="11"/>
      <c r="S314" s="11"/>
      <c r="T314" s="11"/>
      <c r="U314" s="11"/>
      <c r="V314" s="11"/>
    </row>
    <row r="315" ht="15.75" customHeight="1">
      <c r="Q315" s="11"/>
      <c r="R315" s="11"/>
      <c r="S315" s="11"/>
      <c r="T315" s="11"/>
      <c r="U315" s="11"/>
      <c r="V315" s="11"/>
    </row>
    <row r="316" ht="15.75" customHeight="1">
      <c r="Q316" s="11"/>
      <c r="R316" s="11"/>
      <c r="S316" s="11"/>
      <c r="T316" s="11"/>
      <c r="U316" s="11"/>
      <c r="V316" s="11"/>
    </row>
    <row r="317" ht="15.75" customHeight="1">
      <c r="Q317" s="11"/>
      <c r="R317" s="11"/>
      <c r="S317" s="11"/>
      <c r="T317" s="11"/>
      <c r="U317" s="11"/>
      <c r="V317" s="11"/>
    </row>
    <row r="318" ht="15.75" customHeight="1">
      <c r="Q318" s="11"/>
      <c r="R318" s="11"/>
      <c r="S318" s="11"/>
      <c r="T318" s="11"/>
      <c r="U318" s="11"/>
      <c r="V318" s="11"/>
    </row>
    <row r="319" ht="15.75" customHeight="1">
      <c r="Q319" s="11"/>
      <c r="R319" s="11"/>
      <c r="S319" s="11"/>
      <c r="T319" s="11"/>
      <c r="U319" s="11"/>
      <c r="V319" s="11"/>
    </row>
    <row r="320" ht="15.75" customHeight="1">
      <c r="Q320" s="11"/>
      <c r="R320" s="11"/>
      <c r="S320" s="11"/>
      <c r="T320" s="11"/>
      <c r="U320" s="11"/>
      <c r="V320" s="11"/>
    </row>
    <row r="321" ht="15.75" customHeight="1">
      <c r="Q321" s="11"/>
      <c r="R321" s="11"/>
      <c r="S321" s="11"/>
      <c r="T321" s="11"/>
      <c r="U321" s="11"/>
      <c r="V321" s="11"/>
    </row>
    <row r="322" ht="15.75" customHeight="1">
      <c r="Q322" s="11"/>
      <c r="R322" s="11"/>
      <c r="S322" s="11"/>
      <c r="T322" s="11"/>
      <c r="U322" s="11"/>
      <c r="V322" s="11"/>
    </row>
    <row r="323" ht="15.75" customHeight="1">
      <c r="Q323" s="11"/>
      <c r="R323" s="11"/>
      <c r="S323" s="11"/>
      <c r="T323" s="11"/>
      <c r="U323" s="11"/>
      <c r="V323" s="11"/>
    </row>
    <row r="324" ht="15.75" customHeight="1">
      <c r="Q324" s="11"/>
      <c r="R324" s="11"/>
      <c r="S324" s="11"/>
      <c r="T324" s="11"/>
      <c r="U324" s="11"/>
      <c r="V324" s="11"/>
    </row>
    <row r="325" ht="15.75" customHeight="1">
      <c r="Q325" s="11"/>
      <c r="R325" s="11"/>
      <c r="S325" s="11"/>
      <c r="T325" s="11"/>
      <c r="U325" s="11"/>
      <c r="V325" s="11"/>
    </row>
    <row r="326" ht="15.75" customHeight="1">
      <c r="Q326" s="11"/>
      <c r="R326" s="11"/>
      <c r="S326" s="11"/>
      <c r="T326" s="11"/>
      <c r="U326" s="11"/>
      <c r="V326" s="11"/>
    </row>
    <row r="327" ht="15.75" customHeight="1">
      <c r="Q327" s="11"/>
      <c r="R327" s="11"/>
      <c r="S327" s="11"/>
      <c r="T327" s="11"/>
      <c r="U327" s="11"/>
      <c r="V327" s="11"/>
    </row>
    <row r="328" ht="15.75" customHeight="1">
      <c r="Q328" s="11"/>
      <c r="R328" s="11"/>
      <c r="S328" s="11"/>
      <c r="T328" s="11"/>
      <c r="U328" s="11"/>
      <c r="V328" s="11"/>
    </row>
    <row r="329" ht="15.75" customHeight="1">
      <c r="Q329" s="11"/>
      <c r="R329" s="11"/>
      <c r="S329" s="11"/>
      <c r="T329" s="11"/>
      <c r="U329" s="11"/>
      <c r="V329" s="11"/>
    </row>
    <row r="330" ht="15.75" customHeight="1">
      <c r="Q330" s="11"/>
      <c r="R330" s="11"/>
      <c r="S330" s="11"/>
      <c r="T330" s="11"/>
      <c r="U330" s="11"/>
      <c r="V330" s="11"/>
    </row>
    <row r="331" ht="15.75" customHeight="1">
      <c r="Q331" s="11"/>
      <c r="R331" s="11"/>
      <c r="S331" s="11"/>
      <c r="T331" s="11"/>
      <c r="U331" s="11"/>
      <c r="V331" s="11"/>
    </row>
    <row r="332" ht="15.75" customHeight="1">
      <c r="Q332" s="11"/>
      <c r="R332" s="11"/>
      <c r="S332" s="11"/>
      <c r="T332" s="11"/>
      <c r="U332" s="11"/>
      <c r="V332" s="11"/>
    </row>
    <row r="333" ht="15.75" customHeight="1">
      <c r="Q333" s="11"/>
      <c r="R333" s="11"/>
      <c r="S333" s="11"/>
      <c r="T333" s="11"/>
      <c r="U333" s="11"/>
      <c r="V333" s="11"/>
    </row>
    <row r="334" ht="15.75" customHeight="1">
      <c r="Q334" s="11"/>
      <c r="R334" s="11"/>
      <c r="S334" s="11"/>
      <c r="T334" s="11"/>
      <c r="U334" s="11"/>
      <c r="V334" s="11"/>
    </row>
    <row r="335" ht="15.75" customHeight="1">
      <c r="Q335" s="11"/>
      <c r="R335" s="11"/>
      <c r="S335" s="11"/>
      <c r="T335" s="11"/>
      <c r="U335" s="11"/>
      <c r="V335" s="11"/>
    </row>
    <row r="336" ht="15.75" customHeight="1">
      <c r="Q336" s="11"/>
      <c r="R336" s="11"/>
      <c r="S336" s="11"/>
      <c r="T336" s="11"/>
      <c r="U336" s="11"/>
      <c r="V336" s="11"/>
    </row>
    <row r="337" ht="15.75" customHeight="1">
      <c r="Q337" s="11"/>
      <c r="R337" s="11"/>
      <c r="S337" s="11"/>
      <c r="T337" s="11"/>
      <c r="U337" s="11"/>
      <c r="V337" s="11"/>
    </row>
    <row r="338" ht="15.75" customHeight="1">
      <c r="Q338" s="11"/>
      <c r="R338" s="11"/>
      <c r="S338" s="11"/>
      <c r="T338" s="11"/>
      <c r="U338" s="11"/>
      <c r="V338" s="11"/>
    </row>
    <row r="339" ht="15.75" customHeight="1">
      <c r="Q339" s="11"/>
      <c r="R339" s="11"/>
      <c r="S339" s="11"/>
      <c r="T339" s="11"/>
      <c r="U339" s="11"/>
      <c r="V339" s="11"/>
    </row>
    <row r="340" ht="15.75" customHeight="1">
      <c r="Q340" s="11"/>
      <c r="R340" s="11"/>
      <c r="S340" s="11"/>
      <c r="T340" s="11"/>
      <c r="U340" s="11"/>
      <c r="V340" s="11"/>
    </row>
    <row r="341" ht="15.75" customHeight="1">
      <c r="Q341" s="11"/>
      <c r="R341" s="11"/>
      <c r="S341" s="11"/>
      <c r="T341" s="11"/>
      <c r="U341" s="11"/>
      <c r="V341" s="11"/>
    </row>
    <row r="342" ht="15.75" customHeight="1">
      <c r="Q342" s="11"/>
      <c r="R342" s="11"/>
      <c r="S342" s="11"/>
      <c r="T342" s="11"/>
      <c r="U342" s="11"/>
      <c r="V342" s="11"/>
    </row>
    <row r="343" ht="15.75" customHeight="1">
      <c r="Q343" s="11"/>
      <c r="R343" s="11"/>
      <c r="S343" s="11"/>
      <c r="T343" s="11"/>
      <c r="U343" s="11"/>
      <c r="V343" s="11"/>
    </row>
    <row r="344" ht="15.75" customHeight="1">
      <c r="Q344" s="11"/>
      <c r="R344" s="11"/>
      <c r="S344" s="11"/>
      <c r="T344" s="11"/>
      <c r="U344" s="11"/>
      <c r="V344" s="11"/>
    </row>
    <row r="345" ht="15.75" customHeight="1">
      <c r="Q345" s="11"/>
      <c r="R345" s="11"/>
      <c r="S345" s="11"/>
      <c r="T345" s="11"/>
      <c r="U345" s="11"/>
      <c r="V345" s="11"/>
    </row>
    <row r="346" ht="15.75" customHeight="1">
      <c r="Q346" s="11"/>
      <c r="R346" s="11"/>
      <c r="S346" s="11"/>
      <c r="T346" s="11"/>
      <c r="U346" s="11"/>
      <c r="V346" s="11"/>
    </row>
    <row r="347" ht="15.75" customHeight="1">
      <c r="Q347" s="11"/>
      <c r="R347" s="11"/>
      <c r="S347" s="11"/>
      <c r="T347" s="11"/>
      <c r="U347" s="11"/>
      <c r="V347" s="11"/>
    </row>
    <row r="348" ht="15.75" customHeight="1">
      <c r="Q348" s="11"/>
      <c r="R348" s="11"/>
      <c r="S348" s="11"/>
      <c r="T348" s="11"/>
      <c r="U348" s="11"/>
      <c r="V348" s="11"/>
    </row>
    <row r="349" ht="15.75" customHeight="1">
      <c r="Q349" s="11"/>
      <c r="R349" s="11"/>
      <c r="S349" s="11"/>
      <c r="T349" s="11"/>
      <c r="U349" s="11"/>
      <c r="V349" s="11"/>
    </row>
    <row r="350" ht="15.75" customHeight="1">
      <c r="Q350" s="11"/>
      <c r="R350" s="11"/>
      <c r="S350" s="11"/>
      <c r="T350" s="11"/>
      <c r="U350" s="11"/>
      <c r="V350" s="11"/>
    </row>
    <row r="351" ht="15.75" customHeight="1">
      <c r="Q351" s="11"/>
      <c r="R351" s="11"/>
      <c r="S351" s="11"/>
      <c r="T351" s="11"/>
      <c r="U351" s="11"/>
      <c r="V351" s="11"/>
    </row>
    <row r="352" ht="15.75" customHeight="1">
      <c r="Q352" s="11"/>
      <c r="R352" s="11"/>
      <c r="S352" s="11"/>
      <c r="T352" s="11"/>
      <c r="U352" s="11"/>
      <c r="V352" s="11"/>
    </row>
    <row r="353" ht="15.75" customHeight="1">
      <c r="Q353" s="11"/>
      <c r="R353" s="11"/>
      <c r="S353" s="11"/>
      <c r="T353" s="11"/>
      <c r="U353" s="11"/>
      <c r="V353" s="11"/>
    </row>
    <row r="354" ht="15.75" customHeight="1">
      <c r="Q354" s="11"/>
      <c r="R354" s="11"/>
      <c r="S354" s="11"/>
      <c r="T354" s="11"/>
      <c r="U354" s="11"/>
      <c r="V354" s="11"/>
    </row>
    <row r="355" ht="15.75" customHeight="1">
      <c r="Q355" s="11"/>
      <c r="R355" s="11"/>
      <c r="S355" s="11"/>
      <c r="T355" s="11"/>
      <c r="U355" s="11"/>
      <c r="V355" s="11"/>
    </row>
    <row r="356" ht="15.75" customHeight="1">
      <c r="Q356" s="11"/>
      <c r="R356" s="11"/>
      <c r="S356" s="11"/>
      <c r="T356" s="11"/>
      <c r="U356" s="11"/>
      <c r="V356" s="11"/>
    </row>
    <row r="357" ht="15.75" customHeight="1">
      <c r="Q357" s="11"/>
      <c r="R357" s="11"/>
      <c r="S357" s="11"/>
      <c r="T357" s="11"/>
      <c r="U357" s="11"/>
      <c r="V357" s="11"/>
    </row>
    <row r="358" ht="15.75" customHeight="1">
      <c r="Q358" s="11"/>
      <c r="R358" s="11"/>
      <c r="S358" s="11"/>
      <c r="T358" s="11"/>
      <c r="U358" s="11"/>
      <c r="V358" s="11"/>
    </row>
    <row r="359" ht="15.75" customHeight="1">
      <c r="Q359" s="11"/>
      <c r="R359" s="11"/>
      <c r="S359" s="11"/>
      <c r="T359" s="11"/>
      <c r="U359" s="11"/>
      <c r="V359" s="11"/>
    </row>
    <row r="360" ht="15.75" customHeight="1">
      <c r="Q360" s="11"/>
      <c r="R360" s="11"/>
      <c r="S360" s="11"/>
      <c r="T360" s="11"/>
      <c r="U360" s="11"/>
      <c r="V360" s="11"/>
    </row>
    <row r="361" ht="15.75" customHeight="1">
      <c r="Q361" s="11"/>
      <c r="R361" s="11"/>
      <c r="S361" s="11"/>
      <c r="T361" s="11"/>
      <c r="U361" s="11"/>
      <c r="V361" s="11"/>
    </row>
    <row r="362" ht="15.75" customHeight="1">
      <c r="Q362" s="11"/>
      <c r="R362" s="11"/>
      <c r="S362" s="11"/>
      <c r="T362" s="11"/>
      <c r="U362" s="11"/>
      <c r="V362" s="11"/>
    </row>
    <row r="363" ht="15.75" customHeight="1">
      <c r="Q363" s="11"/>
      <c r="R363" s="11"/>
      <c r="S363" s="11"/>
      <c r="T363" s="11"/>
      <c r="U363" s="11"/>
      <c r="V363" s="11"/>
    </row>
    <row r="364" ht="15.75" customHeight="1">
      <c r="Q364" s="11"/>
      <c r="R364" s="11"/>
      <c r="S364" s="11"/>
      <c r="T364" s="11"/>
      <c r="U364" s="11"/>
      <c r="V364" s="11"/>
    </row>
    <row r="365" ht="15.75" customHeight="1">
      <c r="Q365" s="11"/>
      <c r="R365" s="11"/>
      <c r="S365" s="11"/>
      <c r="T365" s="11"/>
      <c r="U365" s="11"/>
      <c r="V365" s="11"/>
    </row>
    <row r="366" ht="15.75" customHeight="1">
      <c r="Q366" s="11"/>
      <c r="R366" s="11"/>
      <c r="S366" s="11"/>
      <c r="T366" s="11"/>
      <c r="U366" s="11"/>
      <c r="V366" s="11"/>
    </row>
    <row r="367" ht="15.75" customHeight="1">
      <c r="Q367" s="11"/>
      <c r="R367" s="11"/>
      <c r="S367" s="11"/>
      <c r="T367" s="11"/>
      <c r="U367" s="11"/>
      <c r="V367" s="11"/>
    </row>
    <row r="368" ht="15.75" customHeight="1">
      <c r="Q368" s="11"/>
      <c r="R368" s="11"/>
      <c r="S368" s="11"/>
      <c r="T368" s="11"/>
      <c r="U368" s="11"/>
      <c r="V368" s="11"/>
    </row>
    <row r="369" ht="15.75" customHeight="1">
      <c r="Q369" s="11"/>
      <c r="R369" s="11"/>
      <c r="S369" s="11"/>
      <c r="T369" s="11"/>
      <c r="U369" s="11"/>
      <c r="V369" s="11"/>
    </row>
    <row r="370" ht="15.75" customHeight="1">
      <c r="Q370" s="11"/>
      <c r="R370" s="11"/>
      <c r="S370" s="11"/>
      <c r="T370" s="11"/>
      <c r="U370" s="11"/>
      <c r="V370" s="11"/>
    </row>
    <row r="371" ht="15.75" customHeight="1">
      <c r="Q371" s="11"/>
      <c r="R371" s="11"/>
      <c r="S371" s="11"/>
      <c r="T371" s="11"/>
      <c r="U371" s="11"/>
      <c r="V371" s="11"/>
    </row>
    <row r="372" ht="15.75" customHeight="1">
      <c r="Q372" s="11"/>
      <c r="R372" s="11"/>
      <c r="S372" s="11"/>
      <c r="T372" s="11"/>
      <c r="U372" s="11"/>
      <c r="V372" s="11"/>
    </row>
    <row r="373" ht="15.75" customHeight="1">
      <c r="Q373" s="11"/>
      <c r="R373" s="11"/>
      <c r="S373" s="11"/>
      <c r="T373" s="11"/>
      <c r="U373" s="11"/>
      <c r="V373" s="11"/>
    </row>
    <row r="374" ht="15.75" customHeight="1">
      <c r="Q374" s="11"/>
      <c r="R374" s="11"/>
      <c r="S374" s="11"/>
      <c r="T374" s="11"/>
      <c r="U374" s="11"/>
      <c r="V374" s="11"/>
    </row>
    <row r="375" ht="15.75" customHeight="1">
      <c r="Q375" s="11"/>
      <c r="R375" s="11"/>
      <c r="S375" s="11"/>
      <c r="T375" s="11"/>
      <c r="U375" s="11"/>
      <c r="V375" s="11"/>
    </row>
    <row r="376" ht="15.75" customHeight="1">
      <c r="Q376" s="11"/>
      <c r="R376" s="11"/>
      <c r="S376" s="11"/>
      <c r="T376" s="11"/>
      <c r="U376" s="11"/>
      <c r="V376" s="11"/>
    </row>
    <row r="377" ht="15.75" customHeight="1">
      <c r="Q377" s="11"/>
      <c r="R377" s="11"/>
      <c r="S377" s="11"/>
      <c r="T377" s="11"/>
      <c r="U377" s="11"/>
      <c r="V377" s="11"/>
    </row>
    <row r="378" ht="15.75" customHeight="1">
      <c r="Q378" s="11"/>
      <c r="R378" s="11"/>
      <c r="S378" s="11"/>
      <c r="T378" s="11"/>
      <c r="U378" s="11"/>
      <c r="V378" s="11"/>
    </row>
    <row r="379" ht="15.75" customHeight="1">
      <c r="Q379" s="11"/>
      <c r="R379" s="11"/>
      <c r="S379" s="11"/>
      <c r="T379" s="11"/>
      <c r="U379" s="11"/>
      <c r="V379" s="11"/>
    </row>
    <row r="380" ht="15.75" customHeight="1">
      <c r="Q380" s="11"/>
      <c r="R380" s="11"/>
      <c r="S380" s="11"/>
      <c r="T380" s="11"/>
      <c r="U380" s="11"/>
      <c r="V380" s="11"/>
    </row>
    <row r="381" ht="15.75" customHeight="1">
      <c r="Q381" s="11"/>
      <c r="R381" s="11"/>
      <c r="S381" s="11"/>
      <c r="T381" s="11"/>
      <c r="U381" s="11"/>
      <c r="V381" s="11"/>
    </row>
    <row r="382" ht="15.75" customHeight="1">
      <c r="Q382" s="11"/>
      <c r="R382" s="11"/>
      <c r="S382" s="11"/>
      <c r="T382" s="11"/>
      <c r="U382" s="11"/>
      <c r="V382" s="11"/>
    </row>
    <row r="383" ht="15.75" customHeight="1">
      <c r="Q383" s="11"/>
      <c r="R383" s="11"/>
      <c r="S383" s="11"/>
      <c r="T383" s="11"/>
      <c r="U383" s="11"/>
      <c r="V383" s="11"/>
    </row>
    <row r="384" ht="15.75" customHeight="1">
      <c r="Q384" s="11"/>
      <c r="R384" s="11"/>
      <c r="S384" s="11"/>
      <c r="T384" s="11"/>
      <c r="U384" s="11"/>
      <c r="V384" s="11"/>
    </row>
    <row r="385" ht="15.75" customHeight="1">
      <c r="Q385" s="11"/>
      <c r="R385" s="11"/>
      <c r="S385" s="11"/>
      <c r="T385" s="11"/>
      <c r="U385" s="11"/>
      <c r="V385" s="11"/>
    </row>
    <row r="386" ht="15.75" customHeight="1">
      <c r="Q386" s="11"/>
      <c r="R386" s="11"/>
      <c r="S386" s="11"/>
      <c r="T386" s="11"/>
      <c r="U386" s="11"/>
      <c r="V386" s="11"/>
    </row>
    <row r="387" ht="15.75" customHeight="1">
      <c r="Q387" s="11"/>
      <c r="R387" s="11"/>
      <c r="S387" s="11"/>
      <c r="T387" s="11"/>
      <c r="U387" s="11"/>
      <c r="V387" s="11"/>
    </row>
    <row r="388" ht="15.75" customHeight="1">
      <c r="Q388" s="11"/>
      <c r="R388" s="11"/>
      <c r="S388" s="11"/>
      <c r="T388" s="11"/>
      <c r="U388" s="11"/>
      <c r="V388" s="11"/>
    </row>
    <row r="389" ht="15.75" customHeight="1">
      <c r="Q389" s="11"/>
      <c r="R389" s="11"/>
      <c r="S389" s="11"/>
      <c r="T389" s="11"/>
      <c r="U389" s="11"/>
      <c r="V389" s="11"/>
    </row>
    <row r="390" ht="15.75" customHeight="1">
      <c r="Q390" s="11"/>
      <c r="R390" s="11"/>
      <c r="S390" s="11"/>
      <c r="T390" s="11"/>
      <c r="U390" s="11"/>
      <c r="V390" s="11"/>
    </row>
    <row r="391" ht="15.75" customHeight="1">
      <c r="Q391" s="11"/>
      <c r="R391" s="11"/>
      <c r="S391" s="11"/>
      <c r="T391" s="11"/>
      <c r="U391" s="11"/>
      <c r="V391" s="11"/>
    </row>
    <row r="392" ht="15.75" customHeight="1">
      <c r="Q392" s="11"/>
      <c r="R392" s="11"/>
      <c r="S392" s="11"/>
      <c r="T392" s="11"/>
      <c r="U392" s="11"/>
      <c r="V392" s="11"/>
    </row>
    <row r="393" ht="15.75" customHeight="1">
      <c r="Q393" s="11"/>
      <c r="R393" s="11"/>
      <c r="S393" s="11"/>
      <c r="T393" s="11"/>
      <c r="U393" s="11"/>
      <c r="V393" s="11"/>
    </row>
    <row r="394" ht="15.75" customHeight="1">
      <c r="Q394" s="11"/>
      <c r="R394" s="11"/>
      <c r="S394" s="11"/>
      <c r="T394" s="11"/>
      <c r="U394" s="11"/>
      <c r="V394" s="11"/>
    </row>
    <row r="395" ht="15.75" customHeight="1">
      <c r="Q395" s="11"/>
      <c r="R395" s="11"/>
      <c r="S395" s="11"/>
      <c r="T395" s="11"/>
      <c r="U395" s="11"/>
      <c r="V395" s="11"/>
    </row>
    <row r="396" ht="15.75" customHeight="1">
      <c r="Q396" s="11"/>
      <c r="R396" s="11"/>
      <c r="S396" s="11"/>
      <c r="T396" s="11"/>
      <c r="U396" s="11"/>
      <c r="V396" s="11"/>
    </row>
    <row r="397" ht="15.75" customHeight="1">
      <c r="Q397" s="11"/>
      <c r="R397" s="11"/>
      <c r="S397" s="11"/>
      <c r="T397" s="11"/>
      <c r="U397" s="11"/>
      <c r="V397" s="11"/>
    </row>
    <row r="398" ht="15.75" customHeight="1">
      <c r="Q398" s="11"/>
      <c r="R398" s="11"/>
      <c r="S398" s="11"/>
      <c r="T398" s="11"/>
      <c r="U398" s="11"/>
      <c r="V398" s="11"/>
    </row>
    <row r="399" ht="15.75" customHeight="1">
      <c r="Q399" s="11"/>
      <c r="R399" s="11"/>
      <c r="S399" s="11"/>
      <c r="T399" s="11"/>
      <c r="U399" s="11"/>
      <c r="V399" s="11"/>
    </row>
    <row r="400" ht="15.75" customHeight="1">
      <c r="Q400" s="11"/>
      <c r="R400" s="11"/>
      <c r="S400" s="11"/>
      <c r="T400" s="11"/>
      <c r="U400" s="11"/>
      <c r="V400" s="11"/>
    </row>
    <row r="401" ht="15.75" customHeight="1">
      <c r="Q401" s="11"/>
      <c r="R401" s="11"/>
      <c r="S401" s="11"/>
      <c r="T401" s="11"/>
      <c r="U401" s="11"/>
      <c r="V401" s="11"/>
    </row>
    <row r="402" ht="15.75" customHeight="1">
      <c r="Q402" s="11"/>
      <c r="R402" s="11"/>
      <c r="S402" s="11"/>
      <c r="T402" s="11"/>
      <c r="U402" s="11"/>
      <c r="V402" s="11"/>
    </row>
    <row r="403" ht="15.75" customHeight="1">
      <c r="Q403" s="11"/>
      <c r="R403" s="11"/>
      <c r="S403" s="11"/>
      <c r="T403" s="11"/>
      <c r="U403" s="11"/>
      <c r="V403" s="11"/>
    </row>
    <row r="404" ht="15.75" customHeight="1">
      <c r="Q404" s="11"/>
      <c r="R404" s="11"/>
      <c r="S404" s="11"/>
      <c r="T404" s="11"/>
      <c r="U404" s="11"/>
      <c r="V404" s="11"/>
    </row>
    <row r="405" ht="15.75" customHeight="1">
      <c r="Q405" s="11"/>
      <c r="R405" s="11"/>
      <c r="S405" s="11"/>
      <c r="T405" s="11"/>
      <c r="U405" s="11"/>
      <c r="V405" s="11"/>
    </row>
    <row r="406" ht="15.75" customHeight="1">
      <c r="Q406" s="11"/>
      <c r="R406" s="11"/>
      <c r="S406" s="11"/>
      <c r="T406" s="11"/>
      <c r="U406" s="11"/>
      <c r="V406" s="11"/>
    </row>
    <row r="407" ht="15.75" customHeight="1">
      <c r="Q407" s="11"/>
      <c r="R407" s="11"/>
      <c r="S407" s="11"/>
      <c r="T407" s="11"/>
      <c r="U407" s="11"/>
      <c r="V407" s="11"/>
    </row>
    <row r="408" ht="15.75" customHeight="1">
      <c r="Q408" s="11"/>
      <c r="R408" s="11"/>
      <c r="S408" s="11"/>
      <c r="T408" s="11"/>
      <c r="U408" s="11"/>
      <c r="V408" s="11"/>
    </row>
    <row r="409" ht="15.75" customHeight="1">
      <c r="Q409" s="11"/>
      <c r="R409" s="11"/>
      <c r="S409" s="11"/>
      <c r="T409" s="11"/>
      <c r="U409" s="11"/>
      <c r="V409" s="11"/>
    </row>
    <row r="410" ht="15.75" customHeight="1">
      <c r="Q410" s="11"/>
      <c r="R410" s="11"/>
      <c r="S410" s="11"/>
      <c r="T410" s="11"/>
      <c r="U410" s="11"/>
      <c r="V410" s="11"/>
    </row>
    <row r="411" ht="15.75" customHeight="1">
      <c r="Q411" s="11"/>
      <c r="R411" s="11"/>
      <c r="S411" s="11"/>
      <c r="T411" s="11"/>
      <c r="U411" s="11"/>
      <c r="V411" s="11"/>
    </row>
    <row r="412" ht="15.75" customHeight="1">
      <c r="Q412" s="11"/>
      <c r="R412" s="11"/>
      <c r="S412" s="11"/>
      <c r="T412" s="11"/>
      <c r="U412" s="11"/>
      <c r="V412" s="11"/>
    </row>
    <row r="413" ht="15.75" customHeight="1">
      <c r="Q413" s="11"/>
      <c r="R413" s="11"/>
      <c r="S413" s="11"/>
      <c r="T413" s="11"/>
      <c r="U413" s="11"/>
      <c r="V413" s="11"/>
    </row>
    <row r="414" ht="15.75" customHeight="1">
      <c r="Q414" s="11"/>
      <c r="R414" s="11"/>
      <c r="S414" s="11"/>
      <c r="T414" s="11"/>
      <c r="U414" s="11"/>
      <c r="V414" s="11"/>
    </row>
    <row r="415" ht="15.75" customHeight="1">
      <c r="Q415" s="11"/>
      <c r="R415" s="11"/>
      <c r="S415" s="11"/>
      <c r="T415" s="11"/>
      <c r="U415" s="11"/>
      <c r="V415" s="11"/>
    </row>
    <row r="416" ht="15.75" customHeight="1">
      <c r="Q416" s="11"/>
      <c r="R416" s="11"/>
      <c r="S416" s="11"/>
      <c r="T416" s="11"/>
      <c r="U416" s="11"/>
      <c r="V416" s="11"/>
    </row>
    <row r="417" ht="15.75" customHeight="1">
      <c r="Q417" s="11"/>
      <c r="R417" s="11"/>
      <c r="S417" s="11"/>
      <c r="T417" s="11"/>
      <c r="U417" s="11"/>
      <c r="V417" s="11"/>
    </row>
    <row r="418" ht="15.75" customHeight="1">
      <c r="Q418" s="11"/>
      <c r="R418" s="11"/>
      <c r="S418" s="11"/>
      <c r="T418" s="11"/>
      <c r="U418" s="11"/>
      <c r="V418" s="11"/>
    </row>
    <row r="419" ht="15.75" customHeight="1">
      <c r="Q419" s="11"/>
      <c r="R419" s="11"/>
      <c r="S419" s="11"/>
      <c r="T419" s="11"/>
      <c r="U419" s="11"/>
      <c r="V419" s="11"/>
    </row>
    <row r="420" ht="15.75" customHeight="1">
      <c r="Q420" s="11"/>
      <c r="R420" s="11"/>
      <c r="S420" s="11"/>
      <c r="T420" s="11"/>
      <c r="U420" s="11"/>
      <c r="V420" s="11"/>
    </row>
    <row r="421" ht="15.75" customHeight="1">
      <c r="Q421" s="11"/>
      <c r="R421" s="11"/>
      <c r="S421" s="11"/>
      <c r="T421" s="11"/>
      <c r="U421" s="11"/>
      <c r="V421" s="11"/>
    </row>
    <row r="422" ht="15.75" customHeight="1">
      <c r="Q422" s="11"/>
      <c r="R422" s="11"/>
      <c r="S422" s="11"/>
      <c r="T422" s="11"/>
      <c r="U422" s="11"/>
      <c r="V422" s="11"/>
    </row>
    <row r="423" ht="15.75" customHeight="1">
      <c r="Q423" s="11"/>
      <c r="R423" s="11"/>
      <c r="S423" s="11"/>
      <c r="T423" s="11"/>
      <c r="U423" s="11"/>
      <c r="V423" s="11"/>
    </row>
    <row r="424" ht="15.75" customHeight="1">
      <c r="Q424" s="11"/>
      <c r="R424" s="11"/>
      <c r="S424" s="11"/>
      <c r="T424" s="11"/>
      <c r="U424" s="11"/>
      <c r="V424" s="11"/>
    </row>
    <row r="425" ht="15.75" customHeight="1">
      <c r="Q425" s="11"/>
      <c r="R425" s="11"/>
      <c r="S425" s="11"/>
      <c r="T425" s="11"/>
      <c r="U425" s="11"/>
      <c r="V425" s="11"/>
    </row>
    <row r="426" ht="15.75" customHeight="1">
      <c r="Q426" s="11"/>
      <c r="R426" s="11"/>
      <c r="S426" s="11"/>
      <c r="T426" s="11"/>
      <c r="U426" s="11"/>
      <c r="V426" s="11"/>
    </row>
    <row r="427" ht="15.75" customHeight="1">
      <c r="Q427" s="11"/>
      <c r="R427" s="11"/>
      <c r="S427" s="11"/>
      <c r="T427" s="11"/>
      <c r="U427" s="11"/>
      <c r="V427" s="11"/>
    </row>
    <row r="428" ht="15.75" customHeight="1">
      <c r="Q428" s="11"/>
      <c r="R428" s="11"/>
      <c r="S428" s="11"/>
      <c r="T428" s="11"/>
      <c r="U428" s="11"/>
      <c r="V428" s="11"/>
    </row>
    <row r="429" ht="15.75" customHeight="1">
      <c r="Q429" s="11"/>
      <c r="R429" s="11"/>
      <c r="S429" s="11"/>
      <c r="T429" s="11"/>
      <c r="U429" s="11"/>
      <c r="V429" s="11"/>
    </row>
    <row r="430" ht="15.75" customHeight="1">
      <c r="Q430" s="11"/>
      <c r="R430" s="11"/>
      <c r="S430" s="11"/>
      <c r="T430" s="11"/>
      <c r="U430" s="11"/>
      <c r="V430" s="11"/>
    </row>
    <row r="431" ht="15.75" customHeight="1">
      <c r="Q431" s="11"/>
      <c r="R431" s="11"/>
      <c r="S431" s="11"/>
      <c r="T431" s="11"/>
      <c r="U431" s="11"/>
      <c r="V431" s="11"/>
    </row>
    <row r="432" ht="15.75" customHeight="1">
      <c r="Q432" s="11"/>
      <c r="R432" s="11"/>
      <c r="S432" s="11"/>
      <c r="T432" s="11"/>
      <c r="U432" s="11"/>
      <c r="V432" s="11"/>
    </row>
    <row r="433" ht="15.75" customHeight="1">
      <c r="Q433" s="11"/>
      <c r="R433" s="11"/>
      <c r="S433" s="11"/>
      <c r="T433" s="11"/>
      <c r="U433" s="11"/>
      <c r="V433" s="11"/>
    </row>
    <row r="434" ht="15.75" customHeight="1">
      <c r="Q434" s="11"/>
      <c r="R434" s="11"/>
      <c r="S434" s="11"/>
      <c r="T434" s="11"/>
      <c r="U434" s="11"/>
      <c r="V434" s="11"/>
    </row>
    <row r="435" ht="15.75" customHeight="1">
      <c r="Q435" s="11"/>
      <c r="R435" s="11"/>
      <c r="S435" s="11"/>
      <c r="T435" s="11"/>
      <c r="U435" s="11"/>
      <c r="V435" s="11"/>
    </row>
    <row r="436" ht="15.75" customHeight="1">
      <c r="Q436" s="11"/>
      <c r="R436" s="11"/>
      <c r="S436" s="11"/>
      <c r="T436" s="11"/>
      <c r="U436" s="11"/>
      <c r="V436" s="11"/>
    </row>
    <row r="437" ht="15.75" customHeight="1">
      <c r="Q437" s="11"/>
      <c r="R437" s="11"/>
      <c r="S437" s="11"/>
      <c r="T437" s="11"/>
      <c r="U437" s="11"/>
      <c r="V437" s="11"/>
    </row>
    <row r="438" ht="15.75" customHeight="1">
      <c r="Q438" s="11"/>
      <c r="R438" s="11"/>
      <c r="S438" s="11"/>
      <c r="T438" s="11"/>
      <c r="U438" s="11"/>
      <c r="V438" s="11"/>
    </row>
    <row r="439" ht="15.75" customHeight="1">
      <c r="Q439" s="11"/>
      <c r="R439" s="11"/>
      <c r="S439" s="11"/>
      <c r="T439" s="11"/>
      <c r="U439" s="11"/>
      <c r="V439" s="11"/>
    </row>
    <row r="440" ht="15.75" customHeight="1">
      <c r="Q440" s="11"/>
      <c r="R440" s="11"/>
      <c r="S440" s="11"/>
      <c r="T440" s="11"/>
      <c r="U440" s="11"/>
      <c r="V440" s="11"/>
    </row>
    <row r="441" ht="15.75" customHeight="1">
      <c r="Q441" s="11"/>
      <c r="R441" s="11"/>
      <c r="S441" s="11"/>
      <c r="T441" s="11"/>
      <c r="U441" s="11"/>
      <c r="V441" s="11"/>
    </row>
    <row r="442" ht="15.75" customHeight="1">
      <c r="Q442" s="11"/>
      <c r="R442" s="11"/>
      <c r="S442" s="11"/>
      <c r="T442" s="11"/>
      <c r="U442" s="11"/>
      <c r="V442" s="11"/>
    </row>
    <row r="443" ht="15.75" customHeight="1">
      <c r="Q443" s="11"/>
      <c r="R443" s="11"/>
      <c r="S443" s="11"/>
      <c r="T443" s="11"/>
      <c r="U443" s="11"/>
      <c r="V443" s="11"/>
    </row>
    <row r="444" ht="15.75" customHeight="1">
      <c r="Q444" s="11"/>
      <c r="R444" s="11"/>
      <c r="S444" s="11"/>
      <c r="T444" s="11"/>
      <c r="U444" s="11"/>
      <c r="V444" s="11"/>
    </row>
    <row r="445" ht="15.75" customHeight="1">
      <c r="Q445" s="11"/>
      <c r="R445" s="11"/>
      <c r="S445" s="11"/>
      <c r="T445" s="11"/>
      <c r="U445" s="11"/>
      <c r="V445" s="11"/>
    </row>
    <row r="446" ht="15.75" customHeight="1">
      <c r="Q446" s="11"/>
      <c r="R446" s="11"/>
      <c r="S446" s="11"/>
      <c r="T446" s="11"/>
      <c r="U446" s="11"/>
      <c r="V446" s="11"/>
    </row>
    <row r="447" ht="15.75" customHeight="1">
      <c r="Q447" s="11"/>
      <c r="R447" s="11"/>
      <c r="S447" s="11"/>
      <c r="T447" s="11"/>
      <c r="U447" s="11"/>
      <c r="V447" s="11"/>
    </row>
    <row r="448" ht="15.75" customHeight="1">
      <c r="Q448" s="11"/>
      <c r="R448" s="11"/>
      <c r="S448" s="11"/>
      <c r="T448" s="11"/>
      <c r="U448" s="11"/>
      <c r="V448" s="11"/>
    </row>
    <row r="449" ht="15.75" customHeight="1">
      <c r="Q449" s="11"/>
      <c r="R449" s="11"/>
      <c r="S449" s="11"/>
      <c r="T449" s="11"/>
      <c r="U449" s="11"/>
      <c r="V449" s="11"/>
    </row>
    <row r="450" ht="15.75" customHeight="1">
      <c r="Q450" s="11"/>
      <c r="R450" s="11"/>
      <c r="S450" s="11"/>
      <c r="T450" s="11"/>
      <c r="U450" s="11"/>
      <c r="V450" s="11"/>
    </row>
    <row r="451" ht="15.75" customHeight="1">
      <c r="Q451" s="11"/>
      <c r="R451" s="11"/>
      <c r="S451" s="11"/>
      <c r="T451" s="11"/>
      <c r="U451" s="11"/>
      <c r="V451" s="11"/>
    </row>
    <row r="452" ht="15.75" customHeight="1">
      <c r="Q452" s="11"/>
      <c r="R452" s="11"/>
      <c r="S452" s="11"/>
      <c r="T452" s="11"/>
      <c r="U452" s="11"/>
      <c r="V452" s="11"/>
    </row>
    <row r="453" ht="15.75" customHeight="1">
      <c r="Q453" s="11"/>
      <c r="R453" s="11"/>
      <c r="S453" s="11"/>
      <c r="T453" s="11"/>
      <c r="U453" s="11"/>
      <c r="V453" s="11"/>
    </row>
    <row r="454" ht="15.75" customHeight="1">
      <c r="Q454" s="11"/>
      <c r="R454" s="11"/>
      <c r="S454" s="11"/>
      <c r="T454" s="11"/>
      <c r="U454" s="11"/>
      <c r="V454" s="11"/>
    </row>
    <row r="455" ht="15.75" customHeight="1">
      <c r="Q455" s="11"/>
      <c r="R455" s="11"/>
      <c r="S455" s="11"/>
      <c r="T455" s="11"/>
      <c r="U455" s="11"/>
      <c r="V455" s="11"/>
    </row>
    <row r="456" ht="15.75" customHeight="1">
      <c r="Q456" s="11"/>
      <c r="R456" s="11"/>
      <c r="S456" s="11"/>
      <c r="T456" s="11"/>
      <c r="U456" s="11"/>
      <c r="V456" s="11"/>
    </row>
    <row r="457" ht="15.75" customHeight="1">
      <c r="Q457" s="11"/>
      <c r="R457" s="11"/>
      <c r="S457" s="11"/>
      <c r="T457" s="11"/>
      <c r="U457" s="11"/>
      <c r="V457" s="11"/>
    </row>
    <row r="458" ht="15.75" customHeight="1">
      <c r="Q458" s="11"/>
      <c r="R458" s="11"/>
      <c r="S458" s="11"/>
      <c r="T458" s="11"/>
      <c r="U458" s="11"/>
      <c r="V458" s="11"/>
    </row>
    <row r="459" ht="15.75" customHeight="1">
      <c r="Q459" s="11"/>
      <c r="R459" s="11"/>
      <c r="S459" s="11"/>
      <c r="T459" s="11"/>
      <c r="U459" s="11"/>
      <c r="V459" s="11"/>
    </row>
    <row r="460" ht="15.75" customHeight="1">
      <c r="Q460" s="11"/>
      <c r="R460" s="11"/>
      <c r="S460" s="11"/>
      <c r="T460" s="11"/>
      <c r="U460" s="11"/>
      <c r="V460" s="11"/>
    </row>
    <row r="461" ht="15.75" customHeight="1">
      <c r="Q461" s="11"/>
      <c r="R461" s="11"/>
      <c r="S461" s="11"/>
      <c r="T461" s="11"/>
      <c r="U461" s="11"/>
      <c r="V461" s="11"/>
    </row>
    <row r="462" ht="15.75" customHeight="1">
      <c r="Q462" s="11"/>
      <c r="R462" s="11"/>
      <c r="S462" s="11"/>
      <c r="T462" s="11"/>
      <c r="U462" s="11"/>
      <c r="V462" s="11"/>
    </row>
    <row r="463" ht="15.75" customHeight="1">
      <c r="Q463" s="11"/>
      <c r="R463" s="11"/>
      <c r="S463" s="11"/>
      <c r="T463" s="11"/>
      <c r="U463" s="11"/>
      <c r="V463" s="11"/>
    </row>
    <row r="464" ht="15.75" customHeight="1">
      <c r="Q464" s="11"/>
      <c r="R464" s="11"/>
      <c r="S464" s="11"/>
      <c r="T464" s="11"/>
      <c r="U464" s="11"/>
      <c r="V464" s="11"/>
    </row>
    <row r="465" ht="15.75" customHeight="1">
      <c r="Q465" s="11"/>
      <c r="R465" s="11"/>
      <c r="S465" s="11"/>
      <c r="T465" s="11"/>
      <c r="U465" s="11"/>
      <c r="V465" s="11"/>
    </row>
    <row r="466" ht="15.75" customHeight="1">
      <c r="Q466" s="11"/>
      <c r="R466" s="11"/>
      <c r="S466" s="11"/>
      <c r="T466" s="11"/>
      <c r="U466" s="11"/>
      <c r="V466" s="11"/>
    </row>
    <row r="467" ht="15.75" customHeight="1">
      <c r="Q467" s="11"/>
      <c r="R467" s="11"/>
      <c r="S467" s="11"/>
      <c r="T467" s="11"/>
      <c r="U467" s="11"/>
      <c r="V467" s="11"/>
    </row>
    <row r="468" ht="15.75" customHeight="1">
      <c r="Q468" s="11"/>
      <c r="R468" s="11"/>
      <c r="S468" s="11"/>
      <c r="T468" s="11"/>
      <c r="U468" s="11"/>
      <c r="V468" s="11"/>
    </row>
    <row r="469" ht="15.75" customHeight="1">
      <c r="Q469" s="11"/>
      <c r="R469" s="11"/>
      <c r="S469" s="11"/>
      <c r="T469" s="11"/>
      <c r="U469" s="11"/>
      <c r="V469" s="11"/>
    </row>
    <row r="470" ht="15.75" customHeight="1">
      <c r="Q470" s="11"/>
      <c r="R470" s="11"/>
      <c r="S470" s="11"/>
      <c r="T470" s="11"/>
      <c r="U470" s="11"/>
      <c r="V470" s="11"/>
    </row>
    <row r="471" ht="15.75" customHeight="1">
      <c r="Q471" s="11"/>
      <c r="R471" s="11"/>
      <c r="S471" s="11"/>
      <c r="T471" s="11"/>
      <c r="U471" s="11"/>
      <c r="V471" s="11"/>
    </row>
    <row r="472" ht="15.75" customHeight="1">
      <c r="Q472" s="11"/>
      <c r="R472" s="11"/>
      <c r="S472" s="11"/>
      <c r="T472" s="11"/>
      <c r="U472" s="11"/>
      <c r="V472" s="11"/>
    </row>
    <row r="473" ht="15.75" customHeight="1">
      <c r="Q473" s="11"/>
      <c r="R473" s="11"/>
      <c r="S473" s="11"/>
      <c r="T473" s="11"/>
      <c r="U473" s="11"/>
      <c r="V473" s="11"/>
    </row>
    <row r="474" ht="15.75" customHeight="1">
      <c r="Q474" s="11"/>
      <c r="R474" s="11"/>
      <c r="S474" s="11"/>
      <c r="T474" s="11"/>
      <c r="U474" s="11"/>
      <c r="V474" s="11"/>
    </row>
    <row r="475" ht="15.75" customHeight="1">
      <c r="Q475" s="11"/>
      <c r="R475" s="11"/>
      <c r="S475" s="11"/>
      <c r="T475" s="11"/>
      <c r="U475" s="11"/>
      <c r="V475" s="11"/>
    </row>
    <row r="476" ht="15.75" customHeight="1">
      <c r="Q476" s="11"/>
      <c r="R476" s="11"/>
      <c r="S476" s="11"/>
      <c r="T476" s="11"/>
      <c r="U476" s="11"/>
      <c r="V476" s="11"/>
    </row>
    <row r="477" ht="15.75" customHeight="1">
      <c r="Q477" s="11"/>
      <c r="R477" s="11"/>
      <c r="S477" s="11"/>
      <c r="T477" s="11"/>
      <c r="U477" s="11"/>
      <c r="V477" s="11"/>
    </row>
    <row r="478" ht="15.75" customHeight="1">
      <c r="Q478" s="11"/>
      <c r="R478" s="11"/>
      <c r="S478" s="11"/>
      <c r="T478" s="11"/>
      <c r="U478" s="11"/>
      <c r="V478" s="11"/>
    </row>
    <row r="479" ht="15.75" customHeight="1">
      <c r="Q479" s="11"/>
      <c r="R479" s="11"/>
      <c r="S479" s="11"/>
      <c r="T479" s="11"/>
      <c r="U479" s="11"/>
      <c r="V479" s="11"/>
    </row>
    <row r="480" ht="15.75" customHeight="1">
      <c r="Q480" s="11"/>
      <c r="R480" s="11"/>
      <c r="S480" s="11"/>
      <c r="T480" s="11"/>
      <c r="U480" s="11"/>
      <c r="V480" s="11"/>
    </row>
    <row r="481" ht="15.75" customHeight="1">
      <c r="Q481" s="11"/>
      <c r="R481" s="11"/>
      <c r="S481" s="11"/>
      <c r="T481" s="11"/>
      <c r="U481" s="11"/>
      <c r="V481" s="11"/>
    </row>
    <row r="482" ht="15.75" customHeight="1">
      <c r="Q482" s="11"/>
      <c r="R482" s="11"/>
      <c r="S482" s="11"/>
      <c r="T482" s="11"/>
      <c r="U482" s="11"/>
      <c r="V482" s="11"/>
    </row>
    <row r="483" ht="15.75" customHeight="1">
      <c r="Q483" s="11"/>
      <c r="R483" s="11"/>
      <c r="S483" s="11"/>
      <c r="T483" s="11"/>
      <c r="U483" s="11"/>
      <c r="V483" s="11"/>
    </row>
    <row r="484" ht="15.75" customHeight="1">
      <c r="Q484" s="11"/>
      <c r="R484" s="11"/>
      <c r="S484" s="11"/>
      <c r="T484" s="11"/>
      <c r="U484" s="11"/>
      <c r="V484" s="11"/>
    </row>
    <row r="485" ht="15.75" customHeight="1">
      <c r="Q485" s="11"/>
      <c r="R485" s="11"/>
      <c r="S485" s="11"/>
      <c r="T485" s="11"/>
      <c r="U485" s="11"/>
      <c r="V485" s="11"/>
    </row>
    <row r="486" ht="15.75" customHeight="1">
      <c r="Q486" s="11"/>
      <c r="R486" s="11"/>
      <c r="S486" s="11"/>
      <c r="T486" s="11"/>
      <c r="U486" s="11"/>
      <c r="V486" s="11"/>
    </row>
    <row r="487" ht="15.75" customHeight="1">
      <c r="Q487" s="11"/>
      <c r="R487" s="11"/>
      <c r="S487" s="11"/>
      <c r="T487" s="11"/>
      <c r="U487" s="11"/>
      <c r="V487" s="11"/>
    </row>
    <row r="488" ht="15.75" customHeight="1">
      <c r="Q488" s="11"/>
      <c r="R488" s="11"/>
      <c r="S488" s="11"/>
      <c r="T488" s="11"/>
      <c r="U488" s="11"/>
      <c r="V488" s="11"/>
    </row>
    <row r="489" ht="15.75" customHeight="1">
      <c r="Q489" s="11"/>
      <c r="R489" s="11"/>
      <c r="S489" s="11"/>
      <c r="T489" s="11"/>
      <c r="U489" s="11"/>
      <c r="V489" s="11"/>
    </row>
    <row r="490" ht="15.75" customHeight="1">
      <c r="Q490" s="11"/>
      <c r="R490" s="11"/>
      <c r="S490" s="11"/>
      <c r="T490" s="11"/>
      <c r="U490" s="11"/>
      <c r="V490" s="11"/>
    </row>
    <row r="491" ht="15.75" customHeight="1">
      <c r="Q491" s="11"/>
      <c r="R491" s="11"/>
      <c r="S491" s="11"/>
      <c r="T491" s="11"/>
      <c r="U491" s="11"/>
      <c r="V491" s="11"/>
    </row>
    <row r="492" ht="15.75" customHeight="1">
      <c r="Q492" s="11"/>
      <c r="R492" s="11"/>
      <c r="S492" s="11"/>
      <c r="T492" s="11"/>
      <c r="U492" s="11"/>
      <c r="V492" s="11"/>
    </row>
    <row r="493" ht="15.75" customHeight="1">
      <c r="Q493" s="11"/>
      <c r="R493" s="11"/>
      <c r="S493" s="11"/>
      <c r="T493" s="11"/>
      <c r="U493" s="11"/>
      <c r="V493" s="11"/>
    </row>
    <row r="494" ht="15.75" customHeight="1">
      <c r="Q494" s="11"/>
      <c r="R494" s="11"/>
      <c r="S494" s="11"/>
      <c r="T494" s="11"/>
      <c r="U494" s="11"/>
      <c r="V494" s="11"/>
    </row>
    <row r="495" ht="15.75" customHeight="1">
      <c r="Q495" s="11"/>
      <c r="R495" s="11"/>
      <c r="S495" s="11"/>
      <c r="T495" s="11"/>
      <c r="U495" s="11"/>
      <c r="V495" s="11"/>
    </row>
    <row r="496" ht="15.75" customHeight="1">
      <c r="Q496" s="11"/>
      <c r="R496" s="11"/>
      <c r="S496" s="11"/>
      <c r="T496" s="11"/>
      <c r="U496" s="11"/>
      <c r="V496" s="11"/>
    </row>
    <row r="497" ht="15.75" customHeight="1">
      <c r="Q497" s="11"/>
      <c r="R497" s="11"/>
      <c r="S497" s="11"/>
      <c r="T497" s="11"/>
      <c r="U497" s="11"/>
      <c r="V497" s="11"/>
    </row>
    <row r="498" ht="15.75" customHeight="1">
      <c r="Q498" s="11"/>
      <c r="R498" s="11"/>
      <c r="S498" s="11"/>
      <c r="T498" s="11"/>
      <c r="U498" s="11"/>
      <c r="V498" s="11"/>
    </row>
    <row r="499" ht="15.75" customHeight="1">
      <c r="Q499" s="11"/>
      <c r="R499" s="11"/>
      <c r="S499" s="11"/>
      <c r="T499" s="11"/>
      <c r="U499" s="11"/>
      <c r="V499" s="11"/>
    </row>
    <row r="500" ht="15.75" customHeight="1">
      <c r="Q500" s="11"/>
      <c r="R500" s="11"/>
      <c r="S500" s="11"/>
      <c r="T500" s="11"/>
      <c r="U500" s="11"/>
      <c r="V500" s="11"/>
    </row>
    <row r="501" ht="15.75" customHeight="1">
      <c r="Q501" s="11"/>
      <c r="R501" s="11"/>
      <c r="S501" s="11"/>
      <c r="T501" s="11"/>
      <c r="U501" s="11"/>
      <c r="V501" s="11"/>
    </row>
    <row r="502" ht="15.75" customHeight="1">
      <c r="Q502" s="11"/>
      <c r="R502" s="11"/>
      <c r="S502" s="11"/>
      <c r="T502" s="11"/>
      <c r="U502" s="11"/>
      <c r="V502" s="11"/>
    </row>
    <row r="503" ht="15.75" customHeight="1">
      <c r="Q503" s="11"/>
      <c r="R503" s="11"/>
      <c r="S503" s="11"/>
      <c r="T503" s="11"/>
      <c r="U503" s="11"/>
      <c r="V503" s="11"/>
    </row>
    <row r="504" ht="15.75" customHeight="1">
      <c r="Q504" s="11"/>
      <c r="R504" s="11"/>
      <c r="S504" s="11"/>
      <c r="T504" s="11"/>
      <c r="U504" s="11"/>
      <c r="V504" s="11"/>
    </row>
    <row r="505" ht="15.75" customHeight="1">
      <c r="Q505" s="11"/>
      <c r="R505" s="11"/>
      <c r="S505" s="11"/>
      <c r="T505" s="11"/>
      <c r="U505" s="11"/>
      <c r="V505" s="11"/>
    </row>
    <row r="506" ht="15.75" customHeight="1">
      <c r="Q506" s="11"/>
      <c r="R506" s="11"/>
      <c r="S506" s="11"/>
      <c r="T506" s="11"/>
      <c r="U506" s="11"/>
      <c r="V506" s="11"/>
    </row>
    <row r="507" ht="15.75" customHeight="1">
      <c r="Q507" s="11"/>
      <c r="R507" s="11"/>
      <c r="S507" s="11"/>
      <c r="T507" s="11"/>
      <c r="U507" s="11"/>
      <c r="V507" s="11"/>
    </row>
    <row r="508" ht="15.75" customHeight="1">
      <c r="Q508" s="11"/>
      <c r="R508" s="11"/>
      <c r="S508" s="11"/>
      <c r="T508" s="11"/>
      <c r="U508" s="11"/>
      <c r="V508" s="11"/>
    </row>
    <row r="509" ht="15.75" customHeight="1">
      <c r="Q509" s="11"/>
      <c r="R509" s="11"/>
      <c r="S509" s="11"/>
      <c r="T509" s="11"/>
      <c r="U509" s="11"/>
      <c r="V509" s="11"/>
    </row>
    <row r="510" ht="15.75" customHeight="1">
      <c r="Q510" s="11"/>
      <c r="R510" s="11"/>
      <c r="S510" s="11"/>
      <c r="T510" s="11"/>
      <c r="U510" s="11"/>
      <c r="V510" s="11"/>
    </row>
    <row r="511" ht="15.75" customHeight="1">
      <c r="Q511" s="11"/>
      <c r="R511" s="11"/>
      <c r="S511" s="11"/>
      <c r="T511" s="11"/>
      <c r="U511" s="11"/>
      <c r="V511" s="11"/>
    </row>
    <row r="512" ht="15.75" customHeight="1">
      <c r="Q512" s="11"/>
      <c r="R512" s="11"/>
      <c r="S512" s="11"/>
      <c r="T512" s="11"/>
      <c r="U512" s="11"/>
      <c r="V512" s="11"/>
    </row>
    <row r="513" ht="15.75" customHeight="1">
      <c r="Q513" s="11"/>
      <c r="R513" s="11"/>
      <c r="S513" s="11"/>
      <c r="T513" s="11"/>
      <c r="U513" s="11"/>
      <c r="V513" s="11"/>
    </row>
    <row r="514" ht="15.75" customHeight="1">
      <c r="Q514" s="11"/>
      <c r="R514" s="11"/>
      <c r="S514" s="11"/>
      <c r="T514" s="11"/>
      <c r="U514" s="11"/>
      <c r="V514" s="11"/>
    </row>
    <row r="515" ht="15.75" customHeight="1">
      <c r="Q515" s="11"/>
      <c r="R515" s="11"/>
      <c r="S515" s="11"/>
      <c r="T515" s="11"/>
      <c r="U515" s="11"/>
      <c r="V515" s="11"/>
    </row>
    <row r="516" ht="15.75" customHeight="1">
      <c r="Q516" s="11"/>
      <c r="R516" s="11"/>
      <c r="S516" s="11"/>
      <c r="T516" s="11"/>
      <c r="U516" s="11"/>
      <c r="V516" s="11"/>
    </row>
    <row r="517" ht="15.75" customHeight="1">
      <c r="Q517" s="11"/>
      <c r="R517" s="11"/>
      <c r="S517" s="11"/>
      <c r="T517" s="11"/>
      <c r="U517" s="11"/>
      <c r="V517" s="11"/>
    </row>
    <row r="518" ht="15.75" customHeight="1">
      <c r="Q518" s="11"/>
      <c r="R518" s="11"/>
      <c r="S518" s="11"/>
      <c r="T518" s="11"/>
      <c r="U518" s="11"/>
      <c r="V518" s="11"/>
    </row>
    <row r="519" ht="15.75" customHeight="1">
      <c r="Q519" s="11"/>
      <c r="R519" s="11"/>
      <c r="S519" s="11"/>
      <c r="T519" s="11"/>
      <c r="U519" s="11"/>
      <c r="V519" s="11"/>
    </row>
    <row r="520" ht="15.75" customHeight="1">
      <c r="Q520" s="11"/>
      <c r="R520" s="11"/>
      <c r="S520" s="11"/>
      <c r="T520" s="11"/>
      <c r="U520" s="11"/>
      <c r="V520" s="11"/>
    </row>
    <row r="521" ht="15.75" customHeight="1">
      <c r="Q521" s="11"/>
      <c r="R521" s="11"/>
      <c r="S521" s="11"/>
      <c r="T521" s="11"/>
      <c r="U521" s="11"/>
      <c r="V521" s="11"/>
    </row>
    <row r="522" ht="15.75" customHeight="1">
      <c r="Q522" s="11"/>
      <c r="R522" s="11"/>
      <c r="S522" s="11"/>
      <c r="T522" s="11"/>
      <c r="U522" s="11"/>
      <c r="V522" s="11"/>
    </row>
    <row r="523" ht="15.75" customHeight="1">
      <c r="Q523" s="11"/>
      <c r="R523" s="11"/>
      <c r="S523" s="11"/>
      <c r="T523" s="11"/>
      <c r="U523" s="11"/>
      <c r="V523" s="11"/>
    </row>
    <row r="524" ht="15.75" customHeight="1">
      <c r="Q524" s="11"/>
      <c r="R524" s="11"/>
      <c r="S524" s="11"/>
      <c r="T524" s="11"/>
      <c r="U524" s="11"/>
      <c r="V524" s="11"/>
    </row>
    <row r="525" ht="15.75" customHeight="1">
      <c r="Q525" s="11"/>
      <c r="R525" s="11"/>
      <c r="S525" s="11"/>
      <c r="T525" s="11"/>
      <c r="U525" s="11"/>
      <c r="V525" s="11"/>
    </row>
    <row r="526" ht="15.75" customHeight="1">
      <c r="Q526" s="11"/>
      <c r="R526" s="11"/>
      <c r="S526" s="11"/>
      <c r="T526" s="11"/>
      <c r="U526" s="11"/>
      <c r="V526" s="11"/>
    </row>
    <row r="527" ht="15.75" customHeight="1">
      <c r="Q527" s="11"/>
      <c r="R527" s="11"/>
      <c r="S527" s="11"/>
      <c r="T527" s="11"/>
      <c r="U527" s="11"/>
      <c r="V527" s="11"/>
    </row>
    <row r="528" ht="15.75" customHeight="1">
      <c r="Q528" s="11"/>
      <c r="R528" s="11"/>
      <c r="S528" s="11"/>
      <c r="T528" s="11"/>
      <c r="U528" s="11"/>
      <c r="V528" s="11"/>
    </row>
    <row r="529" ht="15.75" customHeight="1">
      <c r="Q529" s="11"/>
      <c r="R529" s="11"/>
      <c r="S529" s="11"/>
      <c r="T529" s="11"/>
      <c r="U529" s="11"/>
      <c r="V529" s="11"/>
    </row>
    <row r="530" ht="15.75" customHeight="1">
      <c r="Q530" s="11"/>
      <c r="R530" s="11"/>
      <c r="S530" s="11"/>
      <c r="T530" s="11"/>
      <c r="U530" s="11"/>
      <c r="V530" s="11"/>
    </row>
    <row r="531" ht="15.75" customHeight="1">
      <c r="Q531" s="11"/>
      <c r="R531" s="11"/>
      <c r="S531" s="11"/>
      <c r="T531" s="11"/>
      <c r="U531" s="11"/>
      <c r="V531" s="11"/>
    </row>
    <row r="532" ht="15.75" customHeight="1">
      <c r="Q532" s="11"/>
      <c r="R532" s="11"/>
      <c r="S532" s="11"/>
      <c r="T532" s="11"/>
      <c r="U532" s="11"/>
      <c r="V532" s="11"/>
    </row>
    <row r="533" ht="15.75" customHeight="1">
      <c r="Q533" s="11"/>
      <c r="R533" s="11"/>
      <c r="S533" s="11"/>
      <c r="T533" s="11"/>
      <c r="U533" s="11"/>
      <c r="V533" s="11"/>
    </row>
    <row r="534" ht="15.75" customHeight="1">
      <c r="Q534" s="11"/>
      <c r="R534" s="11"/>
      <c r="S534" s="11"/>
      <c r="T534" s="11"/>
      <c r="U534" s="11"/>
      <c r="V534" s="11"/>
    </row>
    <row r="535" ht="15.75" customHeight="1">
      <c r="Q535" s="11"/>
      <c r="R535" s="11"/>
      <c r="S535" s="11"/>
      <c r="T535" s="11"/>
      <c r="U535" s="11"/>
      <c r="V535" s="11"/>
    </row>
    <row r="536" ht="15.75" customHeight="1">
      <c r="Q536" s="11"/>
      <c r="R536" s="11"/>
      <c r="S536" s="11"/>
      <c r="T536" s="11"/>
      <c r="U536" s="11"/>
      <c r="V536" s="11"/>
    </row>
    <row r="537" ht="15.75" customHeight="1">
      <c r="Q537" s="11"/>
      <c r="R537" s="11"/>
      <c r="S537" s="11"/>
      <c r="T537" s="11"/>
      <c r="U537" s="11"/>
      <c r="V537" s="11"/>
    </row>
    <row r="538" ht="15.75" customHeight="1">
      <c r="Q538" s="11"/>
      <c r="R538" s="11"/>
      <c r="S538" s="11"/>
      <c r="T538" s="11"/>
      <c r="U538" s="11"/>
      <c r="V538" s="11"/>
    </row>
    <row r="539" ht="15.75" customHeight="1">
      <c r="Q539" s="11"/>
      <c r="R539" s="11"/>
      <c r="S539" s="11"/>
      <c r="T539" s="11"/>
      <c r="U539" s="11"/>
      <c r="V539" s="11"/>
    </row>
    <row r="540" ht="15.75" customHeight="1">
      <c r="Q540" s="11"/>
      <c r="R540" s="11"/>
      <c r="S540" s="11"/>
      <c r="T540" s="11"/>
      <c r="U540" s="11"/>
      <c r="V540" s="11"/>
    </row>
    <row r="541" ht="15.75" customHeight="1">
      <c r="Q541" s="11"/>
      <c r="R541" s="11"/>
      <c r="S541" s="11"/>
      <c r="T541" s="11"/>
      <c r="U541" s="11"/>
      <c r="V541" s="11"/>
    </row>
    <row r="542" ht="15.75" customHeight="1">
      <c r="Q542" s="11"/>
      <c r="R542" s="11"/>
      <c r="S542" s="11"/>
      <c r="T542" s="11"/>
      <c r="U542" s="11"/>
      <c r="V542" s="11"/>
    </row>
    <row r="543" ht="15.75" customHeight="1">
      <c r="Q543" s="11"/>
      <c r="R543" s="11"/>
      <c r="S543" s="11"/>
      <c r="T543" s="11"/>
      <c r="U543" s="11"/>
      <c r="V543" s="11"/>
    </row>
    <row r="544" ht="15.75" customHeight="1">
      <c r="Q544" s="11"/>
      <c r="R544" s="11"/>
      <c r="S544" s="11"/>
      <c r="T544" s="11"/>
      <c r="U544" s="11"/>
      <c r="V544" s="11"/>
    </row>
    <row r="545" ht="15.75" customHeight="1">
      <c r="Q545" s="11"/>
      <c r="R545" s="11"/>
      <c r="S545" s="11"/>
      <c r="T545" s="11"/>
      <c r="U545" s="11"/>
      <c r="V545" s="11"/>
    </row>
    <row r="546" ht="15.75" customHeight="1">
      <c r="Q546" s="11"/>
      <c r="R546" s="11"/>
      <c r="S546" s="11"/>
      <c r="T546" s="11"/>
      <c r="U546" s="11"/>
      <c r="V546" s="11"/>
    </row>
    <row r="547" ht="15.75" customHeight="1">
      <c r="Q547" s="11"/>
      <c r="R547" s="11"/>
      <c r="S547" s="11"/>
      <c r="T547" s="11"/>
      <c r="U547" s="11"/>
      <c r="V547" s="11"/>
    </row>
    <row r="548" ht="15.75" customHeight="1">
      <c r="Q548" s="11"/>
      <c r="R548" s="11"/>
      <c r="S548" s="11"/>
      <c r="T548" s="11"/>
      <c r="U548" s="11"/>
      <c r="V548" s="11"/>
    </row>
    <row r="549" ht="15.75" customHeight="1">
      <c r="Q549" s="11"/>
      <c r="R549" s="11"/>
      <c r="S549" s="11"/>
      <c r="T549" s="11"/>
      <c r="U549" s="11"/>
      <c r="V549" s="11"/>
    </row>
    <row r="550" ht="15.75" customHeight="1">
      <c r="Q550" s="11"/>
      <c r="R550" s="11"/>
      <c r="S550" s="11"/>
      <c r="T550" s="11"/>
      <c r="U550" s="11"/>
      <c r="V550" s="11"/>
    </row>
    <row r="551" ht="15.75" customHeight="1">
      <c r="Q551" s="11"/>
      <c r="R551" s="11"/>
      <c r="S551" s="11"/>
      <c r="T551" s="11"/>
      <c r="U551" s="11"/>
      <c r="V551" s="11"/>
    </row>
    <row r="552" ht="15.75" customHeight="1">
      <c r="Q552" s="11"/>
      <c r="R552" s="11"/>
      <c r="S552" s="11"/>
      <c r="T552" s="11"/>
      <c r="U552" s="11"/>
      <c r="V552" s="11"/>
    </row>
    <row r="553" ht="15.75" customHeight="1">
      <c r="Q553" s="11"/>
      <c r="R553" s="11"/>
      <c r="S553" s="11"/>
      <c r="T553" s="11"/>
      <c r="U553" s="11"/>
      <c r="V553" s="11"/>
    </row>
    <row r="554" ht="15.75" customHeight="1">
      <c r="Q554" s="11"/>
      <c r="R554" s="11"/>
      <c r="S554" s="11"/>
      <c r="T554" s="11"/>
      <c r="U554" s="11"/>
      <c r="V554" s="11"/>
    </row>
    <row r="555" ht="15.75" customHeight="1">
      <c r="Q555" s="11"/>
      <c r="R555" s="11"/>
      <c r="S555" s="11"/>
      <c r="T555" s="11"/>
      <c r="U555" s="11"/>
      <c r="V555" s="11"/>
    </row>
    <row r="556" ht="15.75" customHeight="1">
      <c r="Q556" s="11"/>
      <c r="R556" s="11"/>
      <c r="S556" s="11"/>
      <c r="T556" s="11"/>
      <c r="U556" s="11"/>
      <c r="V556" s="11"/>
    </row>
    <row r="557" ht="15.75" customHeight="1">
      <c r="Q557" s="11"/>
      <c r="R557" s="11"/>
      <c r="S557" s="11"/>
      <c r="T557" s="11"/>
      <c r="U557" s="11"/>
      <c r="V557" s="11"/>
    </row>
    <row r="558" ht="15.75" customHeight="1">
      <c r="Q558" s="11"/>
      <c r="R558" s="11"/>
      <c r="S558" s="11"/>
      <c r="T558" s="11"/>
      <c r="U558" s="11"/>
      <c r="V558" s="11"/>
    </row>
    <row r="559" ht="15.75" customHeight="1">
      <c r="Q559" s="11"/>
      <c r="R559" s="11"/>
      <c r="S559" s="11"/>
      <c r="T559" s="11"/>
      <c r="U559" s="11"/>
      <c r="V559" s="11"/>
    </row>
    <row r="560" ht="15.75" customHeight="1">
      <c r="Q560" s="11"/>
      <c r="R560" s="11"/>
      <c r="S560" s="11"/>
      <c r="T560" s="11"/>
      <c r="U560" s="11"/>
      <c r="V560" s="11"/>
    </row>
    <row r="561" ht="15.75" customHeight="1">
      <c r="Q561" s="11"/>
      <c r="R561" s="11"/>
      <c r="S561" s="11"/>
      <c r="T561" s="11"/>
      <c r="U561" s="11"/>
      <c r="V561" s="11"/>
    </row>
    <row r="562" ht="15.75" customHeight="1">
      <c r="Q562" s="11"/>
      <c r="R562" s="11"/>
      <c r="S562" s="11"/>
      <c r="T562" s="11"/>
      <c r="U562" s="11"/>
      <c r="V562" s="11"/>
    </row>
    <row r="563" ht="15.75" customHeight="1">
      <c r="Q563" s="11"/>
      <c r="R563" s="11"/>
      <c r="S563" s="11"/>
      <c r="T563" s="11"/>
      <c r="U563" s="11"/>
      <c r="V563" s="11"/>
    </row>
    <row r="564" ht="15.75" customHeight="1">
      <c r="Q564" s="11"/>
      <c r="R564" s="11"/>
      <c r="S564" s="11"/>
      <c r="T564" s="11"/>
      <c r="U564" s="11"/>
      <c r="V564" s="11"/>
    </row>
    <row r="565" ht="15.75" customHeight="1">
      <c r="Q565" s="11"/>
      <c r="R565" s="11"/>
      <c r="S565" s="11"/>
      <c r="T565" s="11"/>
      <c r="U565" s="11"/>
      <c r="V565" s="11"/>
    </row>
    <row r="566" ht="15.75" customHeight="1">
      <c r="Q566" s="11"/>
      <c r="R566" s="11"/>
      <c r="S566" s="11"/>
      <c r="T566" s="11"/>
      <c r="U566" s="11"/>
      <c r="V566" s="11"/>
    </row>
    <row r="567" ht="15.75" customHeight="1">
      <c r="Q567" s="11"/>
      <c r="R567" s="11"/>
      <c r="S567" s="11"/>
      <c r="T567" s="11"/>
      <c r="U567" s="11"/>
      <c r="V567" s="11"/>
    </row>
    <row r="568" ht="15.75" customHeight="1">
      <c r="Q568" s="11"/>
      <c r="R568" s="11"/>
      <c r="S568" s="11"/>
      <c r="T568" s="11"/>
      <c r="U568" s="11"/>
      <c r="V568" s="11"/>
    </row>
    <row r="569" ht="15.75" customHeight="1">
      <c r="Q569" s="11"/>
      <c r="R569" s="11"/>
      <c r="S569" s="11"/>
      <c r="T569" s="11"/>
      <c r="U569" s="11"/>
      <c r="V569" s="11"/>
    </row>
    <row r="570" ht="15.75" customHeight="1">
      <c r="Q570" s="11"/>
      <c r="R570" s="11"/>
      <c r="S570" s="11"/>
      <c r="T570" s="11"/>
      <c r="U570" s="11"/>
      <c r="V570" s="11"/>
    </row>
    <row r="571" ht="15.75" customHeight="1">
      <c r="Q571" s="11"/>
      <c r="R571" s="11"/>
      <c r="S571" s="11"/>
      <c r="T571" s="11"/>
      <c r="U571" s="11"/>
      <c r="V571" s="11"/>
    </row>
    <row r="572" ht="15.75" customHeight="1">
      <c r="Q572" s="11"/>
      <c r="R572" s="11"/>
      <c r="S572" s="11"/>
      <c r="T572" s="11"/>
      <c r="U572" s="11"/>
      <c r="V572" s="11"/>
    </row>
    <row r="573" ht="15.75" customHeight="1">
      <c r="Q573" s="11"/>
      <c r="R573" s="11"/>
      <c r="S573" s="11"/>
      <c r="T573" s="11"/>
      <c r="U573" s="11"/>
      <c r="V573" s="11"/>
    </row>
    <row r="574" ht="15.75" customHeight="1">
      <c r="Q574" s="11"/>
      <c r="R574" s="11"/>
      <c r="S574" s="11"/>
      <c r="T574" s="11"/>
      <c r="U574" s="11"/>
      <c r="V574" s="11"/>
    </row>
    <row r="575" ht="15.75" customHeight="1">
      <c r="Q575" s="11"/>
      <c r="R575" s="11"/>
      <c r="S575" s="11"/>
      <c r="T575" s="11"/>
      <c r="U575" s="11"/>
      <c r="V575" s="11"/>
    </row>
    <row r="576" ht="15.75" customHeight="1">
      <c r="Q576" s="11"/>
      <c r="R576" s="11"/>
      <c r="S576" s="11"/>
      <c r="T576" s="11"/>
      <c r="U576" s="11"/>
      <c r="V576" s="11"/>
    </row>
    <row r="577" ht="15.75" customHeight="1">
      <c r="Q577" s="11"/>
      <c r="R577" s="11"/>
      <c r="S577" s="11"/>
      <c r="T577" s="11"/>
      <c r="U577" s="11"/>
      <c r="V577" s="11"/>
    </row>
    <row r="578" ht="15.75" customHeight="1">
      <c r="Q578" s="11"/>
      <c r="R578" s="11"/>
      <c r="S578" s="11"/>
      <c r="T578" s="11"/>
      <c r="U578" s="11"/>
      <c r="V578" s="11"/>
    </row>
    <row r="579" ht="15.75" customHeight="1">
      <c r="Q579" s="11"/>
      <c r="R579" s="11"/>
      <c r="S579" s="11"/>
      <c r="T579" s="11"/>
      <c r="U579" s="11"/>
      <c r="V579" s="11"/>
    </row>
    <row r="580" ht="15.75" customHeight="1">
      <c r="Q580" s="11"/>
      <c r="R580" s="11"/>
      <c r="S580" s="11"/>
      <c r="T580" s="11"/>
      <c r="U580" s="11"/>
      <c r="V580" s="11"/>
    </row>
    <row r="581" ht="15.75" customHeight="1">
      <c r="Q581" s="11"/>
      <c r="R581" s="11"/>
      <c r="S581" s="11"/>
      <c r="T581" s="11"/>
      <c r="U581" s="11"/>
      <c r="V581" s="11"/>
    </row>
    <row r="582" ht="15.75" customHeight="1">
      <c r="Q582" s="11"/>
      <c r="R582" s="11"/>
      <c r="S582" s="11"/>
      <c r="T582" s="11"/>
      <c r="U582" s="11"/>
      <c r="V582" s="11"/>
    </row>
    <row r="583" ht="15.75" customHeight="1">
      <c r="Q583" s="11"/>
      <c r="R583" s="11"/>
      <c r="S583" s="11"/>
      <c r="T583" s="11"/>
      <c r="U583" s="11"/>
      <c r="V583" s="11"/>
    </row>
    <row r="584" ht="15.75" customHeight="1">
      <c r="Q584" s="11"/>
      <c r="R584" s="11"/>
      <c r="S584" s="11"/>
      <c r="T584" s="11"/>
      <c r="U584" s="11"/>
      <c r="V584" s="11"/>
    </row>
    <row r="585" ht="15.75" customHeight="1">
      <c r="Q585" s="11"/>
      <c r="R585" s="11"/>
      <c r="S585" s="11"/>
      <c r="T585" s="11"/>
      <c r="U585" s="11"/>
      <c r="V585" s="11"/>
    </row>
    <row r="586" ht="15.75" customHeight="1">
      <c r="Q586" s="11"/>
      <c r="R586" s="11"/>
      <c r="S586" s="11"/>
      <c r="T586" s="11"/>
      <c r="U586" s="11"/>
      <c r="V586" s="11"/>
    </row>
    <row r="587" ht="15.75" customHeight="1">
      <c r="Q587" s="11"/>
      <c r="R587" s="11"/>
      <c r="S587" s="11"/>
      <c r="T587" s="11"/>
      <c r="U587" s="11"/>
      <c r="V587" s="11"/>
    </row>
    <row r="588" ht="15.75" customHeight="1">
      <c r="Q588" s="11"/>
      <c r="R588" s="11"/>
      <c r="S588" s="11"/>
      <c r="T588" s="11"/>
      <c r="U588" s="11"/>
      <c r="V588" s="11"/>
    </row>
    <row r="589" ht="15.75" customHeight="1">
      <c r="Q589" s="11"/>
      <c r="R589" s="11"/>
      <c r="S589" s="11"/>
      <c r="T589" s="11"/>
      <c r="U589" s="11"/>
      <c r="V589" s="11"/>
    </row>
    <row r="590" ht="15.75" customHeight="1">
      <c r="Q590" s="11"/>
      <c r="R590" s="11"/>
      <c r="S590" s="11"/>
      <c r="T590" s="11"/>
      <c r="U590" s="11"/>
      <c r="V590" s="11"/>
    </row>
    <row r="591" ht="15.75" customHeight="1">
      <c r="Q591" s="11"/>
      <c r="R591" s="11"/>
      <c r="S591" s="11"/>
      <c r="T591" s="11"/>
      <c r="U591" s="11"/>
      <c r="V591" s="11"/>
    </row>
    <row r="592" ht="15.75" customHeight="1">
      <c r="Q592" s="11"/>
      <c r="R592" s="11"/>
      <c r="S592" s="11"/>
      <c r="T592" s="11"/>
      <c r="U592" s="11"/>
      <c r="V592" s="11"/>
    </row>
    <row r="593" ht="15.75" customHeight="1">
      <c r="Q593" s="11"/>
      <c r="R593" s="11"/>
      <c r="S593" s="11"/>
      <c r="T593" s="11"/>
      <c r="U593" s="11"/>
      <c r="V593" s="11"/>
    </row>
    <row r="594" ht="15.75" customHeight="1">
      <c r="Q594" s="11"/>
      <c r="R594" s="11"/>
      <c r="S594" s="11"/>
      <c r="T594" s="11"/>
      <c r="U594" s="11"/>
      <c r="V594" s="11"/>
    </row>
    <row r="595" ht="15.75" customHeight="1">
      <c r="Q595" s="11"/>
      <c r="R595" s="11"/>
      <c r="S595" s="11"/>
      <c r="T595" s="11"/>
      <c r="U595" s="11"/>
      <c r="V595" s="11"/>
    </row>
    <row r="596" ht="15.75" customHeight="1">
      <c r="Q596" s="11"/>
      <c r="R596" s="11"/>
      <c r="S596" s="11"/>
      <c r="T596" s="11"/>
      <c r="U596" s="11"/>
      <c r="V596" s="11"/>
    </row>
    <row r="597" ht="15.75" customHeight="1">
      <c r="Q597" s="11"/>
      <c r="R597" s="11"/>
      <c r="S597" s="11"/>
      <c r="T597" s="11"/>
      <c r="U597" s="11"/>
      <c r="V597" s="11"/>
    </row>
    <row r="598" ht="15.75" customHeight="1">
      <c r="Q598" s="11"/>
      <c r="R598" s="11"/>
      <c r="S598" s="11"/>
      <c r="T598" s="11"/>
      <c r="U598" s="11"/>
      <c r="V598" s="11"/>
    </row>
    <row r="599" ht="15.75" customHeight="1">
      <c r="Q599" s="11"/>
      <c r="R599" s="11"/>
      <c r="S599" s="11"/>
      <c r="T599" s="11"/>
      <c r="U599" s="11"/>
      <c r="V599" s="11"/>
    </row>
    <row r="600" ht="15.75" customHeight="1">
      <c r="Q600" s="11"/>
      <c r="R600" s="11"/>
      <c r="S600" s="11"/>
      <c r="T600" s="11"/>
      <c r="U600" s="11"/>
      <c r="V600" s="11"/>
    </row>
    <row r="601" ht="15.75" customHeight="1">
      <c r="Q601" s="11"/>
      <c r="R601" s="11"/>
      <c r="S601" s="11"/>
      <c r="T601" s="11"/>
      <c r="U601" s="11"/>
      <c r="V601" s="11"/>
    </row>
    <row r="602" ht="15.75" customHeight="1">
      <c r="Q602" s="11"/>
      <c r="R602" s="11"/>
      <c r="S602" s="11"/>
      <c r="T602" s="11"/>
      <c r="U602" s="11"/>
      <c r="V602" s="11"/>
    </row>
    <row r="603" ht="15.75" customHeight="1">
      <c r="Q603" s="11"/>
      <c r="R603" s="11"/>
      <c r="S603" s="11"/>
      <c r="T603" s="11"/>
      <c r="U603" s="11"/>
      <c r="V603" s="11"/>
    </row>
    <row r="604" ht="15.75" customHeight="1">
      <c r="Q604" s="11"/>
      <c r="R604" s="11"/>
      <c r="S604" s="11"/>
      <c r="T604" s="11"/>
      <c r="U604" s="11"/>
      <c r="V604" s="11"/>
    </row>
    <row r="605" ht="15.75" customHeight="1">
      <c r="Q605" s="11"/>
      <c r="R605" s="11"/>
      <c r="S605" s="11"/>
      <c r="T605" s="11"/>
      <c r="U605" s="11"/>
      <c r="V605" s="11"/>
    </row>
    <row r="606" ht="15.75" customHeight="1">
      <c r="Q606" s="11"/>
      <c r="R606" s="11"/>
      <c r="S606" s="11"/>
      <c r="T606" s="11"/>
      <c r="U606" s="11"/>
      <c r="V606" s="11"/>
    </row>
    <row r="607" ht="15.75" customHeight="1">
      <c r="Q607" s="11"/>
      <c r="R607" s="11"/>
      <c r="S607" s="11"/>
      <c r="T607" s="11"/>
      <c r="U607" s="11"/>
      <c r="V607" s="11"/>
    </row>
    <row r="608" ht="15.75" customHeight="1">
      <c r="Q608" s="11"/>
      <c r="R608" s="11"/>
      <c r="S608" s="11"/>
      <c r="T608" s="11"/>
      <c r="U608" s="11"/>
      <c r="V608" s="11"/>
    </row>
    <row r="609" ht="15.75" customHeight="1">
      <c r="Q609" s="11"/>
      <c r="R609" s="11"/>
      <c r="S609" s="11"/>
      <c r="T609" s="11"/>
      <c r="U609" s="11"/>
      <c r="V609" s="11"/>
    </row>
    <row r="610" ht="15.75" customHeight="1">
      <c r="Q610" s="11"/>
      <c r="R610" s="11"/>
      <c r="S610" s="11"/>
      <c r="T610" s="11"/>
      <c r="U610" s="11"/>
      <c r="V610" s="11"/>
    </row>
    <row r="611" ht="15.75" customHeight="1">
      <c r="Q611" s="11"/>
      <c r="R611" s="11"/>
      <c r="S611" s="11"/>
      <c r="T611" s="11"/>
      <c r="U611" s="11"/>
      <c r="V611" s="11"/>
    </row>
    <row r="612" ht="15.75" customHeight="1">
      <c r="Q612" s="11"/>
      <c r="R612" s="11"/>
      <c r="S612" s="11"/>
      <c r="T612" s="11"/>
      <c r="U612" s="11"/>
      <c r="V612" s="11"/>
    </row>
    <row r="613" ht="15.75" customHeight="1">
      <c r="Q613" s="11"/>
      <c r="R613" s="11"/>
      <c r="S613" s="11"/>
      <c r="T613" s="11"/>
      <c r="U613" s="11"/>
      <c r="V613" s="11"/>
    </row>
    <row r="614" ht="15.75" customHeight="1">
      <c r="Q614" s="11"/>
      <c r="R614" s="11"/>
      <c r="S614" s="11"/>
      <c r="T614" s="11"/>
      <c r="U614" s="11"/>
      <c r="V614" s="11"/>
    </row>
    <row r="615" ht="15.75" customHeight="1">
      <c r="Q615" s="11"/>
      <c r="R615" s="11"/>
      <c r="S615" s="11"/>
      <c r="T615" s="11"/>
      <c r="U615" s="11"/>
      <c r="V615" s="11"/>
    </row>
    <row r="616" ht="15.75" customHeight="1">
      <c r="Q616" s="11"/>
      <c r="R616" s="11"/>
      <c r="S616" s="11"/>
      <c r="T616" s="11"/>
      <c r="U616" s="11"/>
      <c r="V616" s="11"/>
    </row>
    <row r="617" ht="15.75" customHeight="1">
      <c r="Q617" s="11"/>
      <c r="R617" s="11"/>
      <c r="S617" s="11"/>
      <c r="T617" s="11"/>
      <c r="U617" s="11"/>
      <c r="V617" s="11"/>
    </row>
    <row r="618" ht="15.75" customHeight="1">
      <c r="Q618" s="11"/>
      <c r="R618" s="11"/>
      <c r="S618" s="11"/>
      <c r="T618" s="11"/>
      <c r="U618" s="11"/>
      <c r="V618" s="11"/>
    </row>
    <row r="619" ht="15.75" customHeight="1">
      <c r="Q619" s="11"/>
      <c r="R619" s="11"/>
      <c r="S619" s="11"/>
      <c r="T619" s="11"/>
      <c r="U619" s="11"/>
      <c r="V619" s="11"/>
    </row>
    <row r="620" ht="15.75" customHeight="1">
      <c r="Q620" s="11"/>
      <c r="R620" s="11"/>
      <c r="S620" s="11"/>
      <c r="T620" s="11"/>
      <c r="U620" s="11"/>
      <c r="V620" s="11"/>
    </row>
    <row r="621" ht="15.75" customHeight="1">
      <c r="Q621" s="11"/>
      <c r="R621" s="11"/>
      <c r="S621" s="11"/>
      <c r="T621" s="11"/>
      <c r="U621" s="11"/>
      <c r="V621" s="11"/>
    </row>
    <row r="622" ht="15.75" customHeight="1">
      <c r="Q622" s="11"/>
      <c r="R622" s="11"/>
      <c r="S622" s="11"/>
      <c r="T622" s="11"/>
      <c r="U622" s="11"/>
      <c r="V622" s="11"/>
    </row>
    <row r="623" ht="15.75" customHeight="1">
      <c r="Q623" s="11"/>
      <c r="R623" s="11"/>
      <c r="S623" s="11"/>
      <c r="T623" s="11"/>
      <c r="U623" s="11"/>
      <c r="V623" s="11"/>
    </row>
    <row r="624" ht="15.75" customHeight="1">
      <c r="Q624" s="11"/>
      <c r="R624" s="11"/>
      <c r="S624" s="11"/>
      <c r="T624" s="11"/>
      <c r="U624" s="11"/>
      <c r="V624" s="11"/>
    </row>
    <row r="625" ht="15.75" customHeight="1">
      <c r="Q625" s="11"/>
      <c r="R625" s="11"/>
      <c r="S625" s="11"/>
      <c r="T625" s="11"/>
      <c r="U625" s="11"/>
      <c r="V625" s="11"/>
    </row>
    <row r="626" ht="15.75" customHeight="1">
      <c r="Q626" s="11"/>
      <c r="R626" s="11"/>
      <c r="S626" s="11"/>
      <c r="T626" s="11"/>
      <c r="U626" s="11"/>
      <c r="V626" s="11"/>
    </row>
    <row r="627" ht="15.75" customHeight="1">
      <c r="Q627" s="11"/>
      <c r="R627" s="11"/>
      <c r="S627" s="11"/>
      <c r="T627" s="11"/>
      <c r="U627" s="11"/>
      <c r="V627" s="11"/>
    </row>
    <row r="628" ht="15.75" customHeight="1">
      <c r="Q628" s="11"/>
      <c r="R628" s="11"/>
      <c r="S628" s="11"/>
      <c r="T628" s="11"/>
      <c r="U628" s="11"/>
      <c r="V628" s="11"/>
    </row>
    <row r="629" ht="15.75" customHeight="1">
      <c r="Q629" s="11"/>
      <c r="R629" s="11"/>
      <c r="S629" s="11"/>
      <c r="T629" s="11"/>
      <c r="U629" s="11"/>
      <c r="V629" s="11"/>
    </row>
    <row r="630" ht="15.75" customHeight="1">
      <c r="Q630" s="11"/>
      <c r="R630" s="11"/>
      <c r="S630" s="11"/>
      <c r="T630" s="11"/>
      <c r="U630" s="11"/>
      <c r="V630" s="11"/>
    </row>
    <row r="631" ht="15.75" customHeight="1">
      <c r="Q631" s="11"/>
      <c r="R631" s="11"/>
      <c r="S631" s="11"/>
      <c r="T631" s="11"/>
      <c r="U631" s="11"/>
      <c r="V631" s="11"/>
    </row>
    <row r="632" ht="15.75" customHeight="1">
      <c r="Q632" s="11"/>
      <c r="R632" s="11"/>
      <c r="S632" s="11"/>
      <c r="T632" s="11"/>
      <c r="U632" s="11"/>
      <c r="V632" s="11"/>
    </row>
    <row r="633" ht="15.75" customHeight="1">
      <c r="Q633" s="11"/>
      <c r="R633" s="11"/>
      <c r="S633" s="11"/>
      <c r="T633" s="11"/>
      <c r="U633" s="11"/>
      <c r="V633" s="11"/>
    </row>
    <row r="634" ht="15.75" customHeight="1">
      <c r="Q634" s="11"/>
      <c r="R634" s="11"/>
      <c r="S634" s="11"/>
      <c r="T634" s="11"/>
      <c r="U634" s="11"/>
      <c r="V634" s="11"/>
    </row>
    <row r="635" ht="15.75" customHeight="1">
      <c r="Q635" s="11"/>
      <c r="R635" s="11"/>
      <c r="S635" s="11"/>
      <c r="T635" s="11"/>
      <c r="U635" s="11"/>
      <c r="V635" s="11"/>
    </row>
    <row r="636" ht="15.75" customHeight="1">
      <c r="Q636" s="11"/>
      <c r="R636" s="11"/>
      <c r="S636" s="11"/>
      <c r="T636" s="11"/>
      <c r="U636" s="11"/>
      <c r="V636" s="11"/>
    </row>
    <row r="637" ht="15.75" customHeight="1">
      <c r="Q637" s="11"/>
      <c r="R637" s="11"/>
      <c r="S637" s="11"/>
      <c r="T637" s="11"/>
      <c r="U637" s="11"/>
      <c r="V637" s="11"/>
    </row>
    <row r="638" ht="15.75" customHeight="1">
      <c r="Q638" s="11"/>
      <c r="R638" s="11"/>
      <c r="S638" s="11"/>
      <c r="T638" s="11"/>
      <c r="U638" s="11"/>
      <c r="V638" s="11"/>
    </row>
    <row r="639" ht="15.75" customHeight="1">
      <c r="Q639" s="11"/>
      <c r="R639" s="11"/>
      <c r="S639" s="11"/>
      <c r="T639" s="11"/>
      <c r="U639" s="11"/>
      <c r="V639" s="11"/>
    </row>
    <row r="640" ht="15.75" customHeight="1">
      <c r="Q640" s="11"/>
      <c r="R640" s="11"/>
      <c r="S640" s="11"/>
      <c r="T640" s="11"/>
      <c r="U640" s="11"/>
      <c r="V640" s="11"/>
    </row>
    <row r="641" ht="15.75" customHeight="1">
      <c r="Q641" s="11"/>
      <c r="R641" s="11"/>
      <c r="S641" s="11"/>
      <c r="T641" s="11"/>
      <c r="U641" s="11"/>
      <c r="V641" s="11"/>
    </row>
    <row r="642" ht="15.75" customHeight="1">
      <c r="Q642" s="11"/>
      <c r="R642" s="11"/>
      <c r="S642" s="11"/>
      <c r="T642" s="11"/>
      <c r="U642" s="11"/>
      <c r="V642" s="11"/>
    </row>
    <row r="643" ht="15.75" customHeight="1">
      <c r="Q643" s="11"/>
      <c r="R643" s="11"/>
      <c r="S643" s="11"/>
      <c r="T643" s="11"/>
      <c r="U643" s="11"/>
      <c r="V643" s="11"/>
    </row>
    <row r="644" ht="15.75" customHeight="1">
      <c r="Q644" s="11"/>
      <c r="R644" s="11"/>
      <c r="S644" s="11"/>
      <c r="T644" s="11"/>
      <c r="U644" s="11"/>
      <c r="V644" s="11"/>
    </row>
    <row r="645" ht="15.75" customHeight="1">
      <c r="Q645" s="11"/>
      <c r="R645" s="11"/>
      <c r="S645" s="11"/>
      <c r="T645" s="11"/>
      <c r="U645" s="11"/>
      <c r="V645" s="11"/>
    </row>
    <row r="646" ht="15.75" customHeight="1">
      <c r="Q646" s="11"/>
      <c r="R646" s="11"/>
      <c r="S646" s="11"/>
      <c r="T646" s="11"/>
      <c r="U646" s="11"/>
      <c r="V646" s="11"/>
    </row>
    <row r="647" ht="15.75" customHeight="1">
      <c r="Q647" s="11"/>
      <c r="R647" s="11"/>
      <c r="S647" s="11"/>
      <c r="T647" s="11"/>
      <c r="U647" s="11"/>
      <c r="V647" s="11"/>
    </row>
    <row r="648" ht="15.75" customHeight="1">
      <c r="Q648" s="11"/>
      <c r="R648" s="11"/>
      <c r="S648" s="11"/>
      <c r="T648" s="11"/>
      <c r="U648" s="11"/>
      <c r="V648" s="11"/>
    </row>
    <row r="649" ht="15.75" customHeight="1">
      <c r="Q649" s="11"/>
      <c r="R649" s="11"/>
      <c r="S649" s="11"/>
      <c r="T649" s="11"/>
      <c r="U649" s="11"/>
      <c r="V649" s="11"/>
    </row>
    <row r="650" ht="15.75" customHeight="1">
      <c r="Q650" s="11"/>
      <c r="R650" s="11"/>
      <c r="S650" s="11"/>
      <c r="T650" s="11"/>
      <c r="U650" s="11"/>
      <c r="V650" s="11"/>
    </row>
    <row r="651" ht="15.75" customHeight="1">
      <c r="Q651" s="11"/>
      <c r="R651" s="11"/>
      <c r="S651" s="11"/>
      <c r="T651" s="11"/>
      <c r="U651" s="11"/>
      <c r="V651" s="11"/>
    </row>
    <row r="652" ht="15.75" customHeight="1">
      <c r="Q652" s="11"/>
      <c r="R652" s="11"/>
      <c r="S652" s="11"/>
      <c r="T652" s="11"/>
      <c r="U652" s="11"/>
      <c r="V652" s="11"/>
    </row>
    <row r="653" ht="15.75" customHeight="1">
      <c r="Q653" s="11"/>
      <c r="R653" s="11"/>
      <c r="S653" s="11"/>
      <c r="T653" s="11"/>
      <c r="U653" s="11"/>
      <c r="V653" s="11"/>
    </row>
    <row r="654" ht="15.75" customHeight="1">
      <c r="Q654" s="11"/>
      <c r="R654" s="11"/>
      <c r="S654" s="11"/>
      <c r="T654" s="11"/>
      <c r="U654" s="11"/>
      <c r="V654" s="11"/>
    </row>
    <row r="655" ht="15.75" customHeight="1">
      <c r="Q655" s="11"/>
      <c r="R655" s="11"/>
      <c r="S655" s="11"/>
      <c r="T655" s="11"/>
      <c r="U655" s="11"/>
      <c r="V655" s="11"/>
    </row>
    <row r="656" ht="15.75" customHeight="1">
      <c r="Q656" s="11"/>
      <c r="R656" s="11"/>
      <c r="S656" s="11"/>
      <c r="T656" s="11"/>
      <c r="U656" s="11"/>
      <c r="V656" s="11"/>
    </row>
    <row r="657" ht="15.75" customHeight="1">
      <c r="Q657" s="11"/>
      <c r="R657" s="11"/>
      <c r="S657" s="11"/>
      <c r="T657" s="11"/>
      <c r="U657" s="11"/>
      <c r="V657" s="11"/>
    </row>
    <row r="658" ht="15.75" customHeight="1">
      <c r="Q658" s="11"/>
      <c r="R658" s="11"/>
      <c r="S658" s="11"/>
      <c r="T658" s="11"/>
      <c r="U658" s="11"/>
      <c r="V658" s="11"/>
    </row>
    <row r="659" ht="15.75" customHeight="1">
      <c r="Q659" s="11"/>
      <c r="R659" s="11"/>
      <c r="S659" s="11"/>
      <c r="T659" s="11"/>
      <c r="U659" s="11"/>
      <c r="V659" s="11"/>
    </row>
    <row r="660" ht="15.75" customHeight="1">
      <c r="Q660" s="11"/>
      <c r="R660" s="11"/>
      <c r="S660" s="11"/>
      <c r="T660" s="11"/>
      <c r="U660" s="11"/>
      <c r="V660" s="11"/>
    </row>
    <row r="661" ht="15.75" customHeight="1">
      <c r="Q661" s="11"/>
      <c r="R661" s="11"/>
      <c r="S661" s="11"/>
      <c r="T661" s="11"/>
      <c r="U661" s="11"/>
      <c r="V661" s="11"/>
    </row>
    <row r="662" ht="15.75" customHeight="1">
      <c r="Q662" s="11"/>
      <c r="R662" s="11"/>
      <c r="S662" s="11"/>
      <c r="T662" s="11"/>
      <c r="U662" s="11"/>
      <c r="V662" s="11"/>
    </row>
    <row r="663" ht="15.75" customHeight="1">
      <c r="Q663" s="11"/>
      <c r="R663" s="11"/>
      <c r="S663" s="11"/>
      <c r="T663" s="11"/>
      <c r="U663" s="11"/>
      <c r="V663" s="11"/>
    </row>
    <row r="664" ht="15.75" customHeight="1">
      <c r="Q664" s="11"/>
      <c r="R664" s="11"/>
      <c r="S664" s="11"/>
      <c r="T664" s="11"/>
      <c r="U664" s="11"/>
      <c r="V664" s="11"/>
    </row>
    <row r="665" ht="15.75" customHeight="1">
      <c r="Q665" s="11"/>
      <c r="R665" s="11"/>
      <c r="S665" s="11"/>
      <c r="T665" s="11"/>
      <c r="U665" s="11"/>
      <c r="V665" s="11"/>
    </row>
    <row r="666" ht="15.75" customHeight="1">
      <c r="Q666" s="11"/>
      <c r="R666" s="11"/>
      <c r="S666" s="11"/>
      <c r="T666" s="11"/>
      <c r="U666" s="11"/>
      <c r="V666" s="11"/>
    </row>
    <row r="667" ht="15.75" customHeight="1">
      <c r="Q667" s="11"/>
      <c r="R667" s="11"/>
      <c r="S667" s="11"/>
      <c r="T667" s="11"/>
      <c r="U667" s="11"/>
      <c r="V667" s="11"/>
    </row>
    <row r="668" ht="15.75" customHeight="1">
      <c r="Q668" s="11"/>
      <c r="R668" s="11"/>
      <c r="S668" s="11"/>
      <c r="T668" s="11"/>
      <c r="U668" s="11"/>
      <c r="V668" s="11"/>
    </row>
    <row r="669" ht="15.75" customHeight="1">
      <c r="Q669" s="11"/>
      <c r="R669" s="11"/>
      <c r="S669" s="11"/>
      <c r="T669" s="11"/>
      <c r="U669" s="11"/>
      <c r="V669" s="11"/>
    </row>
    <row r="670" ht="15.75" customHeight="1">
      <c r="Q670" s="11"/>
      <c r="R670" s="11"/>
      <c r="S670" s="11"/>
      <c r="T670" s="11"/>
      <c r="U670" s="11"/>
      <c r="V670" s="11"/>
    </row>
    <row r="671" ht="15.75" customHeight="1">
      <c r="Q671" s="11"/>
      <c r="R671" s="11"/>
      <c r="S671" s="11"/>
      <c r="T671" s="11"/>
      <c r="U671" s="11"/>
      <c r="V671" s="11"/>
    </row>
    <row r="672" ht="15.75" customHeight="1">
      <c r="Q672" s="11"/>
      <c r="R672" s="11"/>
      <c r="S672" s="11"/>
      <c r="T672" s="11"/>
      <c r="U672" s="11"/>
      <c r="V672" s="11"/>
    </row>
    <row r="673" ht="15.75" customHeight="1">
      <c r="Q673" s="11"/>
      <c r="R673" s="11"/>
      <c r="S673" s="11"/>
      <c r="T673" s="11"/>
      <c r="U673" s="11"/>
      <c r="V673" s="11"/>
    </row>
    <row r="674" ht="15.75" customHeight="1">
      <c r="Q674" s="11"/>
      <c r="R674" s="11"/>
      <c r="S674" s="11"/>
      <c r="T674" s="11"/>
      <c r="U674" s="11"/>
      <c r="V674" s="11"/>
    </row>
    <row r="675" ht="15.75" customHeight="1">
      <c r="Q675" s="11"/>
      <c r="R675" s="11"/>
      <c r="S675" s="11"/>
      <c r="T675" s="11"/>
      <c r="U675" s="11"/>
      <c r="V675" s="11"/>
    </row>
    <row r="676" ht="15.75" customHeight="1">
      <c r="Q676" s="11"/>
      <c r="R676" s="11"/>
      <c r="S676" s="11"/>
      <c r="T676" s="11"/>
      <c r="U676" s="11"/>
      <c r="V676" s="11"/>
    </row>
    <row r="677" ht="15.75" customHeight="1">
      <c r="Q677" s="11"/>
      <c r="R677" s="11"/>
      <c r="S677" s="11"/>
      <c r="T677" s="11"/>
      <c r="U677" s="11"/>
      <c r="V677" s="11"/>
    </row>
    <row r="678" ht="15.75" customHeight="1">
      <c r="Q678" s="11"/>
      <c r="R678" s="11"/>
      <c r="S678" s="11"/>
      <c r="T678" s="11"/>
      <c r="U678" s="11"/>
      <c r="V678" s="11"/>
    </row>
    <row r="679" ht="15.75" customHeight="1">
      <c r="Q679" s="11"/>
      <c r="R679" s="11"/>
      <c r="S679" s="11"/>
      <c r="T679" s="11"/>
      <c r="U679" s="11"/>
      <c r="V679" s="11"/>
    </row>
    <row r="680" ht="15.75" customHeight="1">
      <c r="Q680" s="11"/>
      <c r="R680" s="11"/>
      <c r="S680" s="11"/>
      <c r="T680" s="11"/>
      <c r="U680" s="11"/>
      <c r="V680" s="11"/>
    </row>
    <row r="681" ht="15.75" customHeight="1">
      <c r="Q681" s="11"/>
      <c r="R681" s="11"/>
      <c r="S681" s="11"/>
      <c r="T681" s="11"/>
      <c r="U681" s="11"/>
      <c r="V681" s="11"/>
    </row>
    <row r="682" ht="15.75" customHeight="1">
      <c r="Q682" s="11"/>
      <c r="R682" s="11"/>
      <c r="S682" s="11"/>
      <c r="T682" s="11"/>
      <c r="U682" s="11"/>
      <c r="V682" s="11"/>
    </row>
    <row r="683" ht="15.75" customHeight="1">
      <c r="Q683" s="11"/>
      <c r="R683" s="11"/>
      <c r="S683" s="11"/>
      <c r="T683" s="11"/>
      <c r="U683" s="11"/>
      <c r="V683" s="11"/>
    </row>
    <row r="684" ht="15.75" customHeight="1">
      <c r="Q684" s="11"/>
      <c r="R684" s="11"/>
      <c r="S684" s="11"/>
      <c r="T684" s="11"/>
      <c r="U684" s="11"/>
      <c r="V684" s="11"/>
    </row>
    <row r="685" ht="15.75" customHeight="1">
      <c r="Q685" s="11"/>
      <c r="R685" s="11"/>
      <c r="S685" s="11"/>
      <c r="T685" s="11"/>
      <c r="U685" s="11"/>
      <c r="V685" s="11"/>
    </row>
    <row r="686" ht="15.75" customHeight="1">
      <c r="Q686" s="11"/>
      <c r="R686" s="11"/>
      <c r="S686" s="11"/>
      <c r="T686" s="11"/>
      <c r="U686" s="11"/>
      <c r="V686" s="11"/>
    </row>
    <row r="687" ht="15.75" customHeight="1">
      <c r="Q687" s="11"/>
      <c r="R687" s="11"/>
      <c r="S687" s="11"/>
      <c r="T687" s="11"/>
      <c r="U687" s="11"/>
      <c r="V687" s="11"/>
    </row>
    <row r="688" ht="15.75" customHeight="1">
      <c r="Q688" s="11"/>
      <c r="R688" s="11"/>
      <c r="S688" s="11"/>
      <c r="T688" s="11"/>
      <c r="U688" s="11"/>
      <c r="V688" s="11"/>
    </row>
    <row r="689" ht="15.75" customHeight="1">
      <c r="Q689" s="11"/>
      <c r="R689" s="11"/>
      <c r="S689" s="11"/>
      <c r="T689" s="11"/>
      <c r="U689" s="11"/>
      <c r="V689" s="11"/>
    </row>
    <row r="690" ht="15.75" customHeight="1">
      <c r="Q690" s="11"/>
      <c r="R690" s="11"/>
      <c r="S690" s="11"/>
      <c r="T690" s="11"/>
      <c r="U690" s="11"/>
      <c r="V690" s="11"/>
    </row>
    <row r="691" ht="15.75" customHeight="1">
      <c r="Q691" s="11"/>
      <c r="R691" s="11"/>
      <c r="S691" s="11"/>
      <c r="T691" s="11"/>
      <c r="U691" s="11"/>
      <c r="V691" s="11"/>
    </row>
    <row r="692" ht="15.75" customHeight="1">
      <c r="Q692" s="11"/>
      <c r="R692" s="11"/>
      <c r="S692" s="11"/>
      <c r="T692" s="11"/>
      <c r="U692" s="11"/>
      <c r="V692" s="11"/>
    </row>
    <row r="693" ht="15.75" customHeight="1">
      <c r="Q693" s="11"/>
      <c r="R693" s="11"/>
      <c r="S693" s="11"/>
      <c r="T693" s="11"/>
      <c r="U693" s="11"/>
      <c r="V693" s="11"/>
    </row>
    <row r="694" ht="15.75" customHeight="1">
      <c r="Q694" s="11"/>
      <c r="R694" s="11"/>
      <c r="S694" s="11"/>
      <c r="T694" s="11"/>
      <c r="U694" s="11"/>
      <c r="V694" s="11"/>
    </row>
    <row r="695" ht="15.75" customHeight="1">
      <c r="Q695" s="11"/>
      <c r="R695" s="11"/>
      <c r="S695" s="11"/>
      <c r="T695" s="11"/>
      <c r="U695" s="11"/>
      <c r="V695" s="11"/>
    </row>
    <row r="696" ht="15.75" customHeight="1">
      <c r="Q696" s="11"/>
      <c r="R696" s="11"/>
      <c r="S696" s="11"/>
      <c r="T696" s="11"/>
      <c r="U696" s="11"/>
      <c r="V696" s="11"/>
    </row>
    <row r="697" ht="15.75" customHeight="1">
      <c r="Q697" s="11"/>
      <c r="R697" s="11"/>
      <c r="S697" s="11"/>
      <c r="T697" s="11"/>
      <c r="U697" s="11"/>
      <c r="V697" s="11"/>
    </row>
    <row r="698" ht="15.75" customHeight="1">
      <c r="Q698" s="11"/>
      <c r="R698" s="11"/>
      <c r="S698" s="11"/>
      <c r="T698" s="11"/>
      <c r="U698" s="11"/>
      <c r="V698" s="11"/>
    </row>
    <row r="699" ht="15.75" customHeight="1">
      <c r="Q699" s="11"/>
      <c r="R699" s="11"/>
      <c r="S699" s="11"/>
      <c r="T699" s="11"/>
      <c r="U699" s="11"/>
      <c r="V699" s="11"/>
    </row>
    <row r="700" ht="15.75" customHeight="1">
      <c r="Q700" s="11"/>
      <c r="R700" s="11"/>
      <c r="S700" s="11"/>
      <c r="T700" s="11"/>
      <c r="U700" s="11"/>
      <c r="V700" s="11"/>
    </row>
    <row r="701" ht="15.75" customHeight="1">
      <c r="Q701" s="11"/>
      <c r="R701" s="11"/>
      <c r="S701" s="11"/>
      <c r="T701" s="11"/>
      <c r="U701" s="11"/>
      <c r="V701" s="11"/>
    </row>
    <row r="702" ht="15.75" customHeight="1">
      <c r="Q702" s="11"/>
      <c r="R702" s="11"/>
      <c r="S702" s="11"/>
      <c r="T702" s="11"/>
      <c r="U702" s="11"/>
      <c r="V702" s="11"/>
    </row>
    <row r="703" ht="15.75" customHeight="1">
      <c r="Q703" s="11"/>
      <c r="R703" s="11"/>
      <c r="S703" s="11"/>
      <c r="T703" s="11"/>
      <c r="U703" s="11"/>
      <c r="V703" s="11"/>
    </row>
    <row r="704" ht="15.75" customHeight="1">
      <c r="Q704" s="11"/>
      <c r="R704" s="11"/>
      <c r="S704" s="11"/>
      <c r="T704" s="11"/>
      <c r="U704" s="11"/>
      <c r="V704" s="11"/>
    </row>
    <row r="705" ht="15.75" customHeight="1">
      <c r="Q705" s="11"/>
      <c r="R705" s="11"/>
      <c r="S705" s="11"/>
      <c r="T705" s="11"/>
      <c r="U705" s="11"/>
      <c r="V705" s="11"/>
    </row>
    <row r="706" ht="15.75" customHeight="1">
      <c r="Q706" s="11"/>
      <c r="R706" s="11"/>
      <c r="S706" s="11"/>
      <c r="T706" s="11"/>
      <c r="U706" s="11"/>
      <c r="V706" s="11"/>
    </row>
    <row r="707" ht="15.75" customHeight="1">
      <c r="Q707" s="11"/>
      <c r="R707" s="11"/>
      <c r="S707" s="11"/>
      <c r="T707" s="11"/>
      <c r="U707" s="11"/>
      <c r="V707" s="11"/>
    </row>
    <row r="708" ht="15.75" customHeight="1">
      <c r="Q708" s="11"/>
      <c r="R708" s="11"/>
      <c r="S708" s="11"/>
      <c r="T708" s="11"/>
      <c r="U708" s="11"/>
      <c r="V708" s="11"/>
    </row>
    <row r="709" ht="15.75" customHeight="1">
      <c r="Q709" s="11"/>
      <c r="R709" s="11"/>
      <c r="S709" s="11"/>
      <c r="T709" s="11"/>
      <c r="U709" s="11"/>
      <c r="V709" s="11"/>
    </row>
    <row r="710" ht="15.75" customHeight="1">
      <c r="Q710" s="11"/>
      <c r="R710" s="11"/>
      <c r="S710" s="11"/>
      <c r="T710" s="11"/>
      <c r="U710" s="11"/>
      <c r="V710" s="11"/>
    </row>
    <row r="711" ht="15.75" customHeight="1">
      <c r="Q711" s="11"/>
      <c r="R711" s="11"/>
      <c r="S711" s="11"/>
      <c r="T711" s="11"/>
      <c r="U711" s="11"/>
      <c r="V711" s="11"/>
    </row>
    <row r="712" ht="15.75" customHeight="1">
      <c r="Q712" s="11"/>
      <c r="R712" s="11"/>
      <c r="S712" s="11"/>
      <c r="T712" s="11"/>
      <c r="U712" s="11"/>
      <c r="V712" s="11"/>
    </row>
    <row r="713" ht="15.75" customHeight="1">
      <c r="Q713" s="11"/>
      <c r="R713" s="11"/>
      <c r="S713" s="11"/>
      <c r="T713" s="11"/>
      <c r="U713" s="11"/>
      <c r="V713" s="11"/>
    </row>
    <row r="714" ht="15.75" customHeight="1">
      <c r="Q714" s="11"/>
      <c r="R714" s="11"/>
      <c r="S714" s="11"/>
      <c r="T714" s="11"/>
      <c r="U714" s="11"/>
      <c r="V714" s="11"/>
    </row>
    <row r="715" ht="15.75" customHeight="1">
      <c r="Q715" s="11"/>
      <c r="R715" s="11"/>
      <c r="S715" s="11"/>
      <c r="T715" s="11"/>
      <c r="U715" s="11"/>
      <c r="V715" s="11"/>
    </row>
    <row r="716" ht="15.75" customHeight="1">
      <c r="Q716" s="11"/>
      <c r="R716" s="11"/>
      <c r="S716" s="11"/>
      <c r="T716" s="11"/>
      <c r="U716" s="11"/>
      <c r="V716" s="11"/>
    </row>
    <row r="717" ht="15.75" customHeight="1">
      <c r="Q717" s="11"/>
      <c r="R717" s="11"/>
      <c r="S717" s="11"/>
      <c r="T717" s="11"/>
      <c r="U717" s="11"/>
      <c r="V717" s="11"/>
    </row>
    <row r="718" ht="15.75" customHeight="1">
      <c r="Q718" s="11"/>
      <c r="R718" s="11"/>
      <c r="S718" s="11"/>
      <c r="T718" s="11"/>
      <c r="U718" s="11"/>
      <c r="V718" s="11"/>
    </row>
    <row r="719" ht="15.75" customHeight="1">
      <c r="Q719" s="11"/>
      <c r="R719" s="11"/>
      <c r="S719" s="11"/>
      <c r="T719" s="11"/>
      <c r="U719" s="11"/>
      <c r="V719" s="11"/>
    </row>
    <row r="720" ht="15.75" customHeight="1">
      <c r="Q720" s="11"/>
      <c r="R720" s="11"/>
      <c r="S720" s="11"/>
      <c r="T720" s="11"/>
      <c r="U720" s="11"/>
      <c r="V720" s="11"/>
    </row>
    <row r="721" ht="15.75" customHeight="1">
      <c r="Q721" s="11"/>
      <c r="R721" s="11"/>
      <c r="S721" s="11"/>
      <c r="T721" s="11"/>
      <c r="U721" s="11"/>
      <c r="V721" s="11"/>
    </row>
    <row r="722" ht="15.75" customHeight="1">
      <c r="Q722" s="11"/>
      <c r="R722" s="11"/>
      <c r="S722" s="11"/>
      <c r="T722" s="11"/>
      <c r="U722" s="11"/>
      <c r="V722" s="11"/>
    </row>
    <row r="723" ht="15.75" customHeight="1">
      <c r="Q723" s="11"/>
      <c r="R723" s="11"/>
      <c r="S723" s="11"/>
      <c r="T723" s="11"/>
      <c r="U723" s="11"/>
      <c r="V723" s="11"/>
    </row>
    <row r="724" ht="15.75" customHeight="1">
      <c r="Q724" s="11"/>
      <c r="R724" s="11"/>
      <c r="S724" s="11"/>
      <c r="T724" s="11"/>
      <c r="U724" s="11"/>
      <c r="V724" s="11"/>
    </row>
    <row r="725" ht="15.75" customHeight="1">
      <c r="Q725" s="11"/>
      <c r="R725" s="11"/>
      <c r="S725" s="11"/>
      <c r="T725" s="11"/>
      <c r="U725" s="11"/>
      <c r="V725" s="11"/>
    </row>
    <row r="726" ht="15.75" customHeight="1">
      <c r="Q726" s="11"/>
      <c r="R726" s="11"/>
      <c r="S726" s="11"/>
      <c r="T726" s="11"/>
      <c r="U726" s="11"/>
      <c r="V726" s="11"/>
    </row>
    <row r="727" ht="15.75" customHeight="1">
      <c r="Q727" s="11"/>
      <c r="R727" s="11"/>
      <c r="S727" s="11"/>
      <c r="T727" s="11"/>
      <c r="U727" s="11"/>
      <c r="V727" s="11"/>
    </row>
    <row r="728" ht="15.75" customHeight="1">
      <c r="Q728" s="11"/>
      <c r="R728" s="11"/>
      <c r="S728" s="11"/>
      <c r="T728" s="11"/>
      <c r="U728" s="11"/>
      <c r="V728" s="11"/>
    </row>
    <row r="729" ht="15.75" customHeight="1">
      <c r="Q729" s="11"/>
      <c r="R729" s="11"/>
      <c r="S729" s="11"/>
      <c r="T729" s="11"/>
      <c r="U729" s="11"/>
      <c r="V729" s="11"/>
    </row>
    <row r="730" ht="15.75" customHeight="1">
      <c r="Q730" s="11"/>
      <c r="R730" s="11"/>
      <c r="S730" s="11"/>
      <c r="T730" s="11"/>
      <c r="U730" s="11"/>
      <c r="V730" s="11"/>
    </row>
    <row r="731" ht="15.75" customHeight="1">
      <c r="Q731" s="11"/>
      <c r="R731" s="11"/>
      <c r="S731" s="11"/>
      <c r="T731" s="11"/>
      <c r="U731" s="11"/>
      <c r="V731" s="11"/>
    </row>
    <row r="732" ht="15.75" customHeight="1">
      <c r="Q732" s="11"/>
      <c r="R732" s="11"/>
      <c r="S732" s="11"/>
      <c r="T732" s="11"/>
      <c r="U732" s="11"/>
      <c r="V732" s="11"/>
    </row>
    <row r="733" ht="15.75" customHeight="1">
      <c r="Q733" s="11"/>
      <c r="R733" s="11"/>
      <c r="S733" s="11"/>
      <c r="T733" s="11"/>
      <c r="U733" s="11"/>
      <c r="V733" s="11"/>
    </row>
    <row r="734" ht="15.75" customHeight="1">
      <c r="Q734" s="11"/>
      <c r="R734" s="11"/>
      <c r="S734" s="11"/>
      <c r="T734" s="11"/>
      <c r="U734" s="11"/>
      <c r="V734" s="11"/>
    </row>
    <row r="735" ht="15.75" customHeight="1">
      <c r="Q735" s="11"/>
      <c r="R735" s="11"/>
      <c r="S735" s="11"/>
      <c r="T735" s="11"/>
      <c r="U735" s="11"/>
      <c r="V735" s="11"/>
    </row>
    <row r="736" ht="15.75" customHeight="1">
      <c r="Q736" s="11"/>
      <c r="R736" s="11"/>
      <c r="S736" s="11"/>
      <c r="T736" s="11"/>
      <c r="U736" s="11"/>
      <c r="V736" s="11"/>
    </row>
    <row r="737" ht="15.75" customHeight="1">
      <c r="Q737" s="11"/>
      <c r="R737" s="11"/>
      <c r="S737" s="11"/>
      <c r="T737" s="11"/>
      <c r="U737" s="11"/>
      <c r="V737" s="11"/>
    </row>
    <row r="738" ht="15.75" customHeight="1">
      <c r="Q738" s="11"/>
      <c r="R738" s="11"/>
      <c r="S738" s="11"/>
      <c r="T738" s="11"/>
      <c r="U738" s="11"/>
      <c r="V738" s="11"/>
    </row>
    <row r="739" ht="15.75" customHeight="1">
      <c r="Q739" s="11"/>
      <c r="R739" s="11"/>
      <c r="S739" s="11"/>
      <c r="T739" s="11"/>
      <c r="U739" s="11"/>
      <c r="V739" s="11"/>
    </row>
    <row r="740" ht="15.75" customHeight="1">
      <c r="Q740" s="11"/>
      <c r="R740" s="11"/>
      <c r="S740" s="11"/>
      <c r="T740" s="11"/>
      <c r="U740" s="11"/>
      <c r="V740" s="11"/>
    </row>
    <row r="741" ht="15.75" customHeight="1">
      <c r="Q741" s="11"/>
      <c r="R741" s="11"/>
      <c r="S741" s="11"/>
      <c r="T741" s="11"/>
      <c r="U741" s="11"/>
      <c r="V741" s="11"/>
    </row>
    <row r="742" ht="15.75" customHeight="1">
      <c r="Q742" s="11"/>
      <c r="R742" s="11"/>
      <c r="S742" s="11"/>
      <c r="T742" s="11"/>
      <c r="U742" s="11"/>
      <c r="V742" s="11"/>
    </row>
    <row r="743" ht="15.75" customHeight="1">
      <c r="Q743" s="11"/>
      <c r="R743" s="11"/>
      <c r="S743" s="11"/>
      <c r="T743" s="11"/>
      <c r="U743" s="11"/>
      <c r="V743" s="11"/>
    </row>
    <row r="744" ht="15.75" customHeight="1">
      <c r="Q744" s="11"/>
      <c r="R744" s="11"/>
      <c r="S744" s="11"/>
      <c r="T744" s="11"/>
      <c r="U744" s="11"/>
      <c r="V744" s="11"/>
    </row>
    <row r="745" ht="15.75" customHeight="1">
      <c r="Q745" s="11"/>
      <c r="R745" s="11"/>
      <c r="S745" s="11"/>
      <c r="T745" s="11"/>
      <c r="U745" s="11"/>
      <c r="V745" s="11"/>
    </row>
    <row r="746" ht="15.75" customHeight="1">
      <c r="Q746" s="11"/>
      <c r="R746" s="11"/>
      <c r="S746" s="11"/>
      <c r="T746" s="11"/>
      <c r="U746" s="11"/>
      <c r="V746" s="11"/>
    </row>
    <row r="747" ht="15.75" customHeight="1">
      <c r="Q747" s="11"/>
      <c r="R747" s="11"/>
      <c r="S747" s="11"/>
      <c r="T747" s="11"/>
      <c r="U747" s="11"/>
      <c r="V747" s="11"/>
    </row>
    <row r="748" ht="15.75" customHeight="1">
      <c r="Q748" s="11"/>
      <c r="R748" s="11"/>
      <c r="S748" s="11"/>
      <c r="T748" s="11"/>
      <c r="U748" s="11"/>
      <c r="V748" s="11"/>
    </row>
    <row r="749" ht="15.75" customHeight="1">
      <c r="Q749" s="11"/>
      <c r="R749" s="11"/>
      <c r="S749" s="11"/>
      <c r="T749" s="11"/>
      <c r="U749" s="11"/>
      <c r="V749" s="11"/>
    </row>
    <row r="750" ht="15.75" customHeight="1">
      <c r="Q750" s="11"/>
      <c r="R750" s="11"/>
      <c r="S750" s="11"/>
      <c r="T750" s="11"/>
      <c r="U750" s="11"/>
      <c r="V750" s="11"/>
    </row>
    <row r="751" ht="15.75" customHeight="1">
      <c r="Q751" s="11"/>
      <c r="R751" s="11"/>
      <c r="S751" s="11"/>
      <c r="T751" s="11"/>
      <c r="U751" s="11"/>
      <c r="V751" s="11"/>
    </row>
    <row r="752" ht="15.75" customHeight="1">
      <c r="Q752" s="11"/>
      <c r="R752" s="11"/>
      <c r="S752" s="11"/>
      <c r="T752" s="11"/>
      <c r="U752" s="11"/>
      <c r="V752" s="11"/>
    </row>
    <row r="753" ht="15.75" customHeight="1">
      <c r="Q753" s="11"/>
      <c r="R753" s="11"/>
      <c r="S753" s="11"/>
      <c r="T753" s="11"/>
      <c r="U753" s="11"/>
      <c r="V753" s="11"/>
    </row>
    <row r="754" ht="15.75" customHeight="1">
      <c r="Q754" s="11"/>
      <c r="R754" s="11"/>
      <c r="S754" s="11"/>
      <c r="T754" s="11"/>
      <c r="U754" s="11"/>
      <c r="V754" s="11"/>
    </row>
    <row r="755" ht="15.75" customHeight="1">
      <c r="Q755" s="11"/>
      <c r="R755" s="11"/>
      <c r="S755" s="11"/>
      <c r="T755" s="11"/>
      <c r="U755" s="11"/>
      <c r="V755" s="11"/>
    </row>
    <row r="756" ht="15.75" customHeight="1">
      <c r="Q756" s="11"/>
      <c r="R756" s="11"/>
      <c r="S756" s="11"/>
      <c r="T756" s="11"/>
      <c r="U756" s="11"/>
      <c r="V756" s="11"/>
    </row>
    <row r="757" ht="15.75" customHeight="1">
      <c r="Q757" s="11"/>
      <c r="R757" s="11"/>
      <c r="S757" s="11"/>
      <c r="T757" s="11"/>
      <c r="U757" s="11"/>
      <c r="V757" s="11"/>
    </row>
    <row r="758" ht="15.75" customHeight="1">
      <c r="Q758" s="11"/>
      <c r="R758" s="11"/>
      <c r="S758" s="11"/>
      <c r="T758" s="11"/>
      <c r="U758" s="11"/>
      <c r="V758" s="11"/>
    </row>
    <row r="759" ht="15.75" customHeight="1">
      <c r="Q759" s="11"/>
      <c r="R759" s="11"/>
      <c r="S759" s="11"/>
      <c r="T759" s="11"/>
      <c r="U759" s="11"/>
      <c r="V759" s="11"/>
    </row>
    <row r="760" ht="15.75" customHeight="1">
      <c r="Q760" s="11"/>
      <c r="R760" s="11"/>
      <c r="S760" s="11"/>
      <c r="T760" s="11"/>
      <c r="U760" s="11"/>
      <c r="V760" s="11"/>
    </row>
    <row r="761" ht="15.75" customHeight="1">
      <c r="Q761" s="11"/>
      <c r="R761" s="11"/>
      <c r="S761" s="11"/>
      <c r="T761" s="11"/>
      <c r="U761" s="11"/>
      <c r="V761" s="11"/>
    </row>
    <row r="762" ht="15.75" customHeight="1">
      <c r="Q762" s="11"/>
      <c r="R762" s="11"/>
      <c r="S762" s="11"/>
      <c r="T762" s="11"/>
      <c r="U762" s="11"/>
      <c r="V762" s="11"/>
    </row>
    <row r="763" ht="15.75" customHeight="1">
      <c r="Q763" s="11"/>
      <c r="R763" s="11"/>
      <c r="S763" s="11"/>
      <c r="T763" s="11"/>
      <c r="U763" s="11"/>
      <c r="V763" s="11"/>
    </row>
    <row r="764" ht="15.75" customHeight="1">
      <c r="Q764" s="11"/>
      <c r="R764" s="11"/>
      <c r="S764" s="11"/>
      <c r="T764" s="11"/>
      <c r="U764" s="11"/>
      <c r="V764" s="11"/>
    </row>
    <row r="765" ht="15.75" customHeight="1">
      <c r="Q765" s="11"/>
      <c r="R765" s="11"/>
      <c r="S765" s="11"/>
      <c r="T765" s="11"/>
      <c r="U765" s="11"/>
      <c r="V765" s="11"/>
    </row>
    <row r="766" ht="15.75" customHeight="1">
      <c r="Q766" s="11"/>
      <c r="R766" s="11"/>
      <c r="S766" s="11"/>
      <c r="T766" s="11"/>
      <c r="U766" s="11"/>
      <c r="V766" s="11"/>
    </row>
    <row r="767" ht="15.75" customHeight="1">
      <c r="Q767" s="11"/>
      <c r="R767" s="11"/>
      <c r="S767" s="11"/>
      <c r="T767" s="11"/>
      <c r="U767" s="11"/>
      <c r="V767" s="11"/>
    </row>
    <row r="768" ht="15.75" customHeight="1">
      <c r="Q768" s="11"/>
      <c r="R768" s="11"/>
      <c r="S768" s="11"/>
      <c r="T768" s="11"/>
      <c r="U768" s="11"/>
      <c r="V768" s="11"/>
    </row>
    <row r="769" ht="15.75" customHeight="1">
      <c r="Q769" s="11"/>
      <c r="R769" s="11"/>
      <c r="S769" s="11"/>
      <c r="T769" s="11"/>
      <c r="U769" s="11"/>
      <c r="V769" s="11"/>
    </row>
    <row r="770" ht="15.75" customHeight="1">
      <c r="Q770" s="11"/>
      <c r="R770" s="11"/>
      <c r="S770" s="11"/>
      <c r="T770" s="11"/>
      <c r="U770" s="11"/>
      <c r="V770" s="11"/>
    </row>
    <row r="771" ht="15.75" customHeight="1">
      <c r="Q771" s="11"/>
      <c r="R771" s="11"/>
      <c r="S771" s="11"/>
      <c r="T771" s="11"/>
      <c r="U771" s="11"/>
      <c r="V771" s="11"/>
    </row>
    <row r="772" ht="15.75" customHeight="1">
      <c r="Q772" s="11"/>
      <c r="R772" s="11"/>
      <c r="S772" s="11"/>
      <c r="T772" s="11"/>
      <c r="U772" s="11"/>
      <c r="V772" s="11"/>
    </row>
    <row r="773" ht="15.75" customHeight="1">
      <c r="Q773" s="11"/>
      <c r="R773" s="11"/>
      <c r="S773" s="11"/>
      <c r="T773" s="11"/>
      <c r="U773" s="11"/>
      <c r="V773" s="11"/>
    </row>
    <row r="774" ht="15.75" customHeight="1">
      <c r="Q774" s="11"/>
      <c r="R774" s="11"/>
      <c r="S774" s="11"/>
      <c r="T774" s="11"/>
      <c r="U774" s="11"/>
      <c r="V774" s="11"/>
    </row>
    <row r="775" ht="15.75" customHeight="1">
      <c r="Q775" s="11"/>
      <c r="R775" s="11"/>
      <c r="S775" s="11"/>
      <c r="T775" s="11"/>
      <c r="U775" s="11"/>
      <c r="V775" s="11"/>
    </row>
    <row r="776" ht="15.75" customHeight="1">
      <c r="Q776" s="11"/>
      <c r="R776" s="11"/>
      <c r="S776" s="11"/>
      <c r="T776" s="11"/>
      <c r="U776" s="11"/>
      <c r="V776" s="11"/>
    </row>
    <row r="777" ht="15.75" customHeight="1">
      <c r="Q777" s="11"/>
      <c r="R777" s="11"/>
      <c r="S777" s="11"/>
      <c r="T777" s="11"/>
      <c r="U777" s="11"/>
      <c r="V777" s="11"/>
    </row>
    <row r="778" ht="15.75" customHeight="1">
      <c r="Q778" s="11"/>
      <c r="R778" s="11"/>
      <c r="S778" s="11"/>
      <c r="T778" s="11"/>
      <c r="U778" s="11"/>
      <c r="V778" s="11"/>
    </row>
    <row r="779" ht="15.75" customHeight="1">
      <c r="Q779" s="11"/>
      <c r="R779" s="11"/>
      <c r="S779" s="11"/>
      <c r="T779" s="11"/>
      <c r="U779" s="11"/>
      <c r="V779" s="11"/>
    </row>
    <row r="780" ht="15.75" customHeight="1">
      <c r="Q780" s="11"/>
      <c r="R780" s="11"/>
      <c r="S780" s="11"/>
      <c r="T780" s="11"/>
      <c r="U780" s="11"/>
      <c r="V780" s="11"/>
    </row>
    <row r="781" ht="15.75" customHeight="1">
      <c r="Q781" s="11"/>
      <c r="R781" s="11"/>
      <c r="S781" s="11"/>
      <c r="T781" s="11"/>
      <c r="U781" s="11"/>
      <c r="V781" s="11"/>
    </row>
    <row r="782" ht="15.75" customHeight="1">
      <c r="Q782" s="11"/>
      <c r="R782" s="11"/>
      <c r="S782" s="11"/>
      <c r="T782" s="11"/>
      <c r="U782" s="11"/>
      <c r="V782" s="11"/>
    </row>
    <row r="783" ht="15.75" customHeight="1">
      <c r="Q783" s="11"/>
      <c r="R783" s="11"/>
      <c r="S783" s="11"/>
      <c r="T783" s="11"/>
      <c r="U783" s="11"/>
      <c r="V783" s="11"/>
    </row>
    <row r="784" ht="15.75" customHeight="1">
      <c r="Q784" s="11"/>
      <c r="R784" s="11"/>
      <c r="S784" s="11"/>
      <c r="T784" s="11"/>
      <c r="U784" s="11"/>
      <c r="V784" s="11"/>
    </row>
    <row r="785" ht="15.75" customHeight="1">
      <c r="Q785" s="11"/>
      <c r="R785" s="11"/>
      <c r="S785" s="11"/>
      <c r="T785" s="11"/>
      <c r="U785" s="11"/>
      <c r="V785" s="11"/>
    </row>
    <row r="786" ht="15.75" customHeight="1">
      <c r="Q786" s="11"/>
      <c r="R786" s="11"/>
      <c r="S786" s="11"/>
      <c r="T786" s="11"/>
      <c r="U786" s="11"/>
      <c r="V786" s="11"/>
    </row>
    <row r="787" ht="15.75" customHeight="1">
      <c r="Q787" s="11"/>
      <c r="R787" s="11"/>
      <c r="S787" s="11"/>
      <c r="T787" s="11"/>
      <c r="U787" s="11"/>
      <c r="V787" s="11"/>
    </row>
    <row r="788" ht="15.75" customHeight="1">
      <c r="Q788" s="11"/>
      <c r="R788" s="11"/>
      <c r="S788" s="11"/>
      <c r="T788" s="11"/>
      <c r="U788" s="11"/>
      <c r="V788" s="11"/>
    </row>
    <row r="789" ht="15.75" customHeight="1">
      <c r="Q789" s="11"/>
      <c r="R789" s="11"/>
      <c r="S789" s="11"/>
      <c r="T789" s="11"/>
      <c r="U789" s="11"/>
      <c r="V789" s="11"/>
    </row>
    <row r="790" ht="15.75" customHeight="1">
      <c r="Q790" s="11"/>
      <c r="R790" s="11"/>
      <c r="S790" s="11"/>
      <c r="T790" s="11"/>
      <c r="U790" s="11"/>
      <c r="V790" s="11"/>
    </row>
    <row r="791" ht="15.75" customHeight="1">
      <c r="Q791" s="11"/>
      <c r="R791" s="11"/>
      <c r="S791" s="11"/>
      <c r="T791" s="11"/>
      <c r="U791" s="11"/>
      <c r="V791" s="11"/>
    </row>
    <row r="792" ht="15.75" customHeight="1">
      <c r="Q792" s="11"/>
      <c r="R792" s="11"/>
      <c r="S792" s="11"/>
      <c r="T792" s="11"/>
      <c r="U792" s="11"/>
      <c r="V792" s="11"/>
    </row>
    <row r="793" ht="15.75" customHeight="1">
      <c r="Q793" s="11"/>
      <c r="R793" s="11"/>
      <c r="S793" s="11"/>
      <c r="T793" s="11"/>
      <c r="U793" s="11"/>
      <c r="V793" s="11"/>
    </row>
    <row r="794" ht="15.75" customHeight="1">
      <c r="Q794" s="11"/>
      <c r="R794" s="11"/>
      <c r="S794" s="11"/>
      <c r="T794" s="11"/>
      <c r="U794" s="11"/>
      <c r="V794" s="11"/>
    </row>
    <row r="795" ht="15.75" customHeight="1">
      <c r="Q795" s="11"/>
      <c r="R795" s="11"/>
      <c r="S795" s="11"/>
      <c r="T795" s="11"/>
      <c r="U795" s="11"/>
      <c r="V795" s="11"/>
    </row>
    <row r="796" ht="15.75" customHeight="1">
      <c r="Q796" s="11"/>
      <c r="R796" s="11"/>
      <c r="S796" s="11"/>
      <c r="T796" s="11"/>
      <c r="U796" s="11"/>
      <c r="V796" s="11"/>
    </row>
    <row r="797" ht="15.75" customHeight="1">
      <c r="Q797" s="11"/>
      <c r="R797" s="11"/>
      <c r="S797" s="11"/>
      <c r="T797" s="11"/>
      <c r="U797" s="11"/>
      <c r="V797" s="11"/>
    </row>
    <row r="798" ht="15.75" customHeight="1">
      <c r="Q798" s="11"/>
      <c r="R798" s="11"/>
      <c r="S798" s="11"/>
      <c r="T798" s="11"/>
      <c r="U798" s="11"/>
      <c r="V798" s="11"/>
    </row>
    <row r="799" ht="15.75" customHeight="1">
      <c r="Q799" s="11"/>
      <c r="R799" s="11"/>
      <c r="S799" s="11"/>
      <c r="T799" s="11"/>
      <c r="U799" s="11"/>
      <c r="V799" s="11"/>
    </row>
    <row r="800" ht="15.75" customHeight="1">
      <c r="Q800" s="11"/>
      <c r="R800" s="11"/>
      <c r="S800" s="11"/>
      <c r="T800" s="11"/>
      <c r="U800" s="11"/>
      <c r="V800" s="11"/>
    </row>
    <row r="801" ht="15.75" customHeight="1">
      <c r="Q801" s="11"/>
      <c r="R801" s="11"/>
      <c r="S801" s="11"/>
      <c r="T801" s="11"/>
      <c r="U801" s="11"/>
      <c r="V801" s="11"/>
    </row>
    <row r="802" ht="15.75" customHeight="1">
      <c r="Q802" s="11"/>
      <c r="R802" s="11"/>
      <c r="S802" s="11"/>
      <c r="T802" s="11"/>
      <c r="U802" s="11"/>
      <c r="V802" s="11"/>
    </row>
    <row r="803" ht="15.75" customHeight="1">
      <c r="Q803" s="11"/>
      <c r="R803" s="11"/>
      <c r="S803" s="11"/>
      <c r="T803" s="11"/>
      <c r="U803" s="11"/>
      <c r="V803" s="11"/>
    </row>
    <row r="804" ht="15.75" customHeight="1">
      <c r="Q804" s="11"/>
      <c r="R804" s="11"/>
      <c r="S804" s="11"/>
      <c r="T804" s="11"/>
      <c r="U804" s="11"/>
      <c r="V804" s="11"/>
    </row>
    <row r="805" ht="15.75" customHeight="1">
      <c r="Q805" s="11"/>
      <c r="R805" s="11"/>
      <c r="S805" s="11"/>
      <c r="T805" s="11"/>
      <c r="U805" s="11"/>
      <c r="V805" s="11"/>
    </row>
    <row r="806" ht="15.75" customHeight="1">
      <c r="Q806" s="11"/>
      <c r="R806" s="11"/>
      <c r="S806" s="11"/>
      <c r="T806" s="11"/>
      <c r="U806" s="11"/>
      <c r="V806" s="11"/>
    </row>
    <row r="807" ht="15.75" customHeight="1">
      <c r="Q807" s="11"/>
      <c r="R807" s="11"/>
      <c r="S807" s="11"/>
      <c r="T807" s="11"/>
      <c r="U807" s="11"/>
      <c r="V807" s="11"/>
    </row>
    <row r="808" ht="15.75" customHeight="1">
      <c r="Q808" s="11"/>
      <c r="R808" s="11"/>
      <c r="S808" s="11"/>
      <c r="T808" s="11"/>
      <c r="U808" s="11"/>
      <c r="V808" s="11"/>
    </row>
    <row r="809" ht="15.75" customHeight="1">
      <c r="Q809" s="11"/>
      <c r="R809" s="11"/>
      <c r="S809" s="11"/>
      <c r="T809" s="11"/>
      <c r="U809" s="11"/>
      <c r="V809" s="11"/>
    </row>
    <row r="810" ht="15.75" customHeight="1">
      <c r="Q810" s="11"/>
      <c r="R810" s="11"/>
      <c r="S810" s="11"/>
      <c r="T810" s="11"/>
      <c r="U810" s="11"/>
      <c r="V810" s="11"/>
    </row>
    <row r="811" ht="15.75" customHeight="1">
      <c r="Q811" s="11"/>
      <c r="R811" s="11"/>
      <c r="S811" s="11"/>
      <c r="T811" s="11"/>
      <c r="U811" s="11"/>
      <c r="V811" s="11"/>
    </row>
    <row r="812" ht="15.75" customHeight="1">
      <c r="Q812" s="11"/>
      <c r="R812" s="11"/>
      <c r="S812" s="11"/>
      <c r="T812" s="11"/>
      <c r="U812" s="11"/>
      <c r="V812" s="11"/>
    </row>
    <row r="813" ht="15.75" customHeight="1">
      <c r="Q813" s="11"/>
      <c r="R813" s="11"/>
      <c r="S813" s="11"/>
      <c r="T813" s="11"/>
      <c r="U813" s="11"/>
      <c r="V813" s="11"/>
    </row>
    <row r="814" ht="15.75" customHeight="1">
      <c r="Q814" s="11"/>
      <c r="R814" s="11"/>
      <c r="S814" s="11"/>
      <c r="T814" s="11"/>
      <c r="U814" s="11"/>
      <c r="V814" s="11"/>
    </row>
    <row r="815" ht="15.75" customHeight="1">
      <c r="Q815" s="11"/>
      <c r="R815" s="11"/>
      <c r="S815" s="11"/>
      <c r="T815" s="11"/>
      <c r="U815" s="11"/>
      <c r="V815" s="11"/>
    </row>
    <row r="816" ht="15.75" customHeight="1">
      <c r="Q816" s="11"/>
      <c r="R816" s="11"/>
      <c r="S816" s="11"/>
      <c r="T816" s="11"/>
      <c r="U816" s="11"/>
      <c r="V816" s="11"/>
    </row>
    <row r="817" ht="15.75" customHeight="1">
      <c r="Q817" s="11"/>
      <c r="R817" s="11"/>
      <c r="S817" s="11"/>
      <c r="T817" s="11"/>
      <c r="U817" s="11"/>
      <c r="V817" s="11"/>
    </row>
    <row r="818" ht="15.75" customHeight="1">
      <c r="Q818" s="11"/>
      <c r="R818" s="11"/>
      <c r="S818" s="11"/>
      <c r="T818" s="11"/>
      <c r="U818" s="11"/>
      <c r="V818" s="11"/>
    </row>
    <row r="819" ht="15.75" customHeight="1">
      <c r="Q819" s="11"/>
      <c r="R819" s="11"/>
      <c r="S819" s="11"/>
      <c r="T819" s="11"/>
      <c r="U819" s="11"/>
      <c r="V819" s="11"/>
    </row>
    <row r="820" ht="15.75" customHeight="1">
      <c r="Q820" s="11"/>
      <c r="R820" s="11"/>
      <c r="S820" s="11"/>
      <c r="T820" s="11"/>
      <c r="U820" s="11"/>
      <c r="V820" s="11"/>
    </row>
    <row r="821" ht="15.75" customHeight="1">
      <c r="Q821" s="11"/>
      <c r="R821" s="11"/>
      <c r="S821" s="11"/>
      <c r="T821" s="11"/>
      <c r="U821" s="11"/>
      <c r="V821" s="11"/>
    </row>
    <row r="822" ht="15.75" customHeight="1">
      <c r="Q822" s="11"/>
      <c r="R822" s="11"/>
      <c r="S822" s="11"/>
      <c r="T822" s="11"/>
      <c r="U822" s="11"/>
      <c r="V822" s="11"/>
    </row>
    <row r="823" ht="15.75" customHeight="1">
      <c r="Q823" s="11"/>
      <c r="R823" s="11"/>
      <c r="S823" s="11"/>
      <c r="T823" s="11"/>
      <c r="U823" s="11"/>
      <c r="V823" s="11"/>
    </row>
    <row r="824" ht="15.75" customHeight="1">
      <c r="Q824" s="11"/>
      <c r="R824" s="11"/>
      <c r="S824" s="11"/>
      <c r="T824" s="11"/>
      <c r="U824" s="11"/>
      <c r="V824" s="11"/>
    </row>
    <row r="825" ht="15.75" customHeight="1">
      <c r="Q825" s="11"/>
      <c r="R825" s="11"/>
      <c r="S825" s="11"/>
      <c r="T825" s="11"/>
      <c r="U825" s="11"/>
      <c r="V825" s="11"/>
    </row>
    <row r="826" ht="15.75" customHeight="1">
      <c r="Q826" s="11"/>
      <c r="R826" s="11"/>
      <c r="S826" s="11"/>
      <c r="T826" s="11"/>
      <c r="U826" s="11"/>
      <c r="V826" s="11"/>
    </row>
    <row r="827" ht="15.75" customHeight="1">
      <c r="Q827" s="11"/>
      <c r="R827" s="11"/>
      <c r="S827" s="11"/>
      <c r="T827" s="11"/>
      <c r="U827" s="11"/>
      <c r="V827" s="11"/>
    </row>
    <row r="828" ht="15.75" customHeight="1">
      <c r="Q828" s="11"/>
      <c r="R828" s="11"/>
      <c r="S828" s="11"/>
      <c r="T828" s="11"/>
      <c r="U828" s="11"/>
      <c r="V828" s="11"/>
    </row>
    <row r="829" ht="15.75" customHeight="1">
      <c r="Q829" s="11"/>
      <c r="R829" s="11"/>
      <c r="S829" s="11"/>
      <c r="T829" s="11"/>
      <c r="U829" s="11"/>
      <c r="V829" s="11"/>
    </row>
    <row r="830" ht="15.75" customHeight="1">
      <c r="Q830" s="11"/>
      <c r="R830" s="11"/>
      <c r="S830" s="11"/>
      <c r="T830" s="11"/>
      <c r="U830" s="11"/>
      <c r="V830" s="11"/>
    </row>
    <row r="831" ht="15.75" customHeight="1">
      <c r="Q831" s="11"/>
      <c r="R831" s="11"/>
      <c r="S831" s="11"/>
      <c r="T831" s="11"/>
      <c r="U831" s="11"/>
      <c r="V831" s="11"/>
    </row>
    <row r="832" ht="15.75" customHeight="1">
      <c r="Q832" s="11"/>
      <c r="R832" s="11"/>
      <c r="S832" s="11"/>
      <c r="T832" s="11"/>
      <c r="U832" s="11"/>
      <c r="V832" s="11"/>
    </row>
    <row r="833" ht="15.75" customHeight="1">
      <c r="Q833" s="11"/>
      <c r="R833" s="11"/>
      <c r="S833" s="11"/>
      <c r="T833" s="11"/>
      <c r="U833" s="11"/>
      <c r="V833" s="11"/>
    </row>
    <row r="834" ht="15.75" customHeight="1">
      <c r="Q834" s="11"/>
      <c r="R834" s="11"/>
      <c r="S834" s="11"/>
      <c r="T834" s="11"/>
      <c r="U834" s="11"/>
      <c r="V834" s="11"/>
    </row>
    <row r="835" ht="15.75" customHeight="1">
      <c r="Q835" s="11"/>
      <c r="R835" s="11"/>
      <c r="S835" s="11"/>
      <c r="T835" s="11"/>
      <c r="U835" s="11"/>
      <c r="V835" s="11"/>
    </row>
    <row r="836" ht="15.75" customHeight="1">
      <c r="Q836" s="11"/>
      <c r="R836" s="11"/>
      <c r="S836" s="11"/>
      <c r="T836" s="11"/>
      <c r="U836" s="11"/>
      <c r="V836" s="11"/>
    </row>
    <row r="837" ht="15.75" customHeight="1">
      <c r="Q837" s="11"/>
      <c r="R837" s="11"/>
      <c r="S837" s="11"/>
      <c r="T837" s="11"/>
      <c r="U837" s="11"/>
      <c r="V837" s="11"/>
    </row>
    <row r="838" ht="15.75" customHeight="1">
      <c r="Q838" s="11"/>
      <c r="R838" s="11"/>
      <c r="S838" s="11"/>
      <c r="T838" s="11"/>
      <c r="U838" s="11"/>
      <c r="V838" s="11"/>
    </row>
    <row r="839" ht="15.75" customHeight="1">
      <c r="Q839" s="11"/>
      <c r="R839" s="11"/>
      <c r="S839" s="11"/>
      <c r="T839" s="11"/>
      <c r="U839" s="11"/>
      <c r="V839" s="11"/>
    </row>
    <row r="840" ht="15.75" customHeight="1">
      <c r="Q840" s="11"/>
      <c r="R840" s="11"/>
      <c r="S840" s="11"/>
      <c r="T840" s="11"/>
      <c r="U840" s="11"/>
      <c r="V840" s="11"/>
    </row>
    <row r="841" ht="15.75" customHeight="1">
      <c r="Q841" s="11"/>
      <c r="R841" s="11"/>
      <c r="S841" s="11"/>
      <c r="T841" s="11"/>
      <c r="U841" s="11"/>
      <c r="V841" s="11"/>
    </row>
    <row r="842" ht="15.75" customHeight="1">
      <c r="Q842" s="11"/>
      <c r="R842" s="11"/>
      <c r="S842" s="11"/>
      <c r="T842" s="11"/>
      <c r="U842" s="11"/>
      <c r="V842" s="11"/>
    </row>
    <row r="843" ht="15.75" customHeight="1">
      <c r="Q843" s="11"/>
      <c r="R843" s="11"/>
      <c r="S843" s="11"/>
      <c r="T843" s="11"/>
      <c r="U843" s="11"/>
      <c r="V843" s="11"/>
    </row>
    <row r="844" ht="15.75" customHeight="1">
      <c r="Q844" s="11"/>
      <c r="R844" s="11"/>
      <c r="S844" s="11"/>
      <c r="T844" s="11"/>
      <c r="U844" s="11"/>
      <c r="V844" s="11"/>
    </row>
    <row r="845" ht="15.75" customHeight="1">
      <c r="Q845" s="11"/>
      <c r="R845" s="11"/>
      <c r="S845" s="11"/>
      <c r="T845" s="11"/>
      <c r="U845" s="11"/>
      <c r="V845" s="11"/>
    </row>
    <row r="846" ht="15.75" customHeight="1">
      <c r="Q846" s="11"/>
      <c r="R846" s="11"/>
      <c r="S846" s="11"/>
      <c r="T846" s="11"/>
      <c r="U846" s="11"/>
      <c r="V846" s="11"/>
    </row>
    <row r="847" ht="15.75" customHeight="1">
      <c r="Q847" s="11"/>
      <c r="R847" s="11"/>
      <c r="S847" s="11"/>
      <c r="T847" s="11"/>
      <c r="U847" s="11"/>
      <c r="V847" s="11"/>
    </row>
    <row r="848" ht="15.75" customHeight="1">
      <c r="Q848" s="11"/>
      <c r="R848" s="11"/>
      <c r="S848" s="11"/>
      <c r="T848" s="11"/>
      <c r="U848" s="11"/>
      <c r="V848" s="11"/>
    </row>
    <row r="849" ht="15.75" customHeight="1">
      <c r="Q849" s="11"/>
      <c r="R849" s="11"/>
      <c r="S849" s="11"/>
      <c r="T849" s="11"/>
      <c r="U849" s="11"/>
      <c r="V849" s="11"/>
    </row>
    <row r="850" ht="15.75" customHeight="1">
      <c r="Q850" s="11"/>
      <c r="R850" s="11"/>
      <c r="S850" s="11"/>
      <c r="T850" s="11"/>
      <c r="U850" s="11"/>
      <c r="V850" s="11"/>
    </row>
    <row r="851" ht="15.75" customHeight="1">
      <c r="Q851" s="11"/>
      <c r="R851" s="11"/>
      <c r="S851" s="11"/>
      <c r="T851" s="11"/>
      <c r="U851" s="11"/>
      <c r="V851" s="11"/>
    </row>
    <row r="852" ht="15.75" customHeight="1">
      <c r="Q852" s="11"/>
      <c r="R852" s="11"/>
      <c r="S852" s="11"/>
      <c r="T852" s="11"/>
      <c r="U852" s="11"/>
      <c r="V852" s="11"/>
    </row>
    <row r="853" ht="15.75" customHeight="1">
      <c r="Q853" s="11"/>
      <c r="R853" s="11"/>
      <c r="S853" s="11"/>
      <c r="T853" s="11"/>
      <c r="U853" s="11"/>
      <c r="V853" s="11"/>
    </row>
    <row r="854" ht="15.75" customHeight="1">
      <c r="Q854" s="11"/>
      <c r="R854" s="11"/>
      <c r="S854" s="11"/>
      <c r="T854" s="11"/>
      <c r="U854" s="11"/>
      <c r="V854" s="11"/>
    </row>
    <row r="855" ht="15.75" customHeight="1">
      <c r="Q855" s="11"/>
      <c r="R855" s="11"/>
      <c r="S855" s="11"/>
      <c r="T855" s="11"/>
      <c r="U855" s="11"/>
      <c r="V855" s="11"/>
    </row>
    <row r="856" ht="15.75" customHeight="1">
      <c r="Q856" s="11"/>
      <c r="R856" s="11"/>
      <c r="S856" s="11"/>
      <c r="T856" s="11"/>
      <c r="U856" s="11"/>
      <c r="V856" s="11"/>
    </row>
    <row r="857" ht="15.75" customHeight="1">
      <c r="Q857" s="11"/>
      <c r="R857" s="11"/>
      <c r="S857" s="11"/>
      <c r="T857" s="11"/>
      <c r="U857" s="11"/>
      <c r="V857" s="11"/>
    </row>
    <row r="858" ht="15.75" customHeight="1">
      <c r="Q858" s="11"/>
      <c r="R858" s="11"/>
      <c r="S858" s="11"/>
      <c r="T858" s="11"/>
      <c r="U858" s="11"/>
      <c r="V858" s="11"/>
    </row>
    <row r="859" ht="15.75" customHeight="1">
      <c r="Q859" s="11"/>
      <c r="R859" s="11"/>
      <c r="S859" s="11"/>
      <c r="T859" s="11"/>
      <c r="U859" s="11"/>
      <c r="V859" s="11"/>
    </row>
    <row r="860" ht="15.75" customHeight="1">
      <c r="Q860" s="11"/>
      <c r="R860" s="11"/>
      <c r="S860" s="11"/>
      <c r="T860" s="11"/>
      <c r="U860" s="11"/>
      <c r="V860" s="11"/>
    </row>
    <row r="861" ht="15.75" customHeight="1">
      <c r="Q861" s="11"/>
      <c r="R861" s="11"/>
      <c r="S861" s="11"/>
      <c r="T861" s="11"/>
      <c r="U861" s="11"/>
      <c r="V861" s="11"/>
    </row>
    <row r="862" ht="15.75" customHeight="1">
      <c r="Q862" s="11"/>
      <c r="R862" s="11"/>
      <c r="S862" s="11"/>
      <c r="T862" s="11"/>
      <c r="U862" s="11"/>
      <c r="V862" s="11"/>
    </row>
    <row r="863" ht="15.75" customHeight="1">
      <c r="Q863" s="11"/>
      <c r="R863" s="11"/>
      <c r="S863" s="11"/>
      <c r="T863" s="11"/>
      <c r="U863" s="11"/>
      <c r="V863" s="11"/>
    </row>
    <row r="864" ht="15.75" customHeight="1">
      <c r="Q864" s="11"/>
      <c r="R864" s="11"/>
      <c r="S864" s="11"/>
      <c r="T864" s="11"/>
      <c r="U864" s="11"/>
      <c r="V864" s="11"/>
    </row>
    <row r="865" ht="15.75" customHeight="1">
      <c r="Q865" s="11"/>
      <c r="R865" s="11"/>
      <c r="S865" s="11"/>
      <c r="T865" s="11"/>
      <c r="U865" s="11"/>
      <c r="V865" s="11"/>
    </row>
    <row r="866" ht="15.75" customHeight="1">
      <c r="Q866" s="11"/>
      <c r="R866" s="11"/>
      <c r="S866" s="11"/>
      <c r="T866" s="11"/>
      <c r="U866" s="11"/>
      <c r="V866" s="11"/>
    </row>
    <row r="867" ht="15.75" customHeight="1">
      <c r="Q867" s="11"/>
      <c r="R867" s="11"/>
      <c r="S867" s="11"/>
      <c r="T867" s="11"/>
      <c r="U867" s="11"/>
      <c r="V867" s="11"/>
    </row>
    <row r="868" ht="15.75" customHeight="1">
      <c r="Q868" s="11"/>
      <c r="R868" s="11"/>
      <c r="S868" s="11"/>
      <c r="T868" s="11"/>
      <c r="U868" s="11"/>
      <c r="V868" s="11"/>
    </row>
    <row r="869" ht="15.75" customHeight="1">
      <c r="Q869" s="11"/>
      <c r="R869" s="11"/>
      <c r="S869" s="11"/>
      <c r="T869" s="11"/>
      <c r="U869" s="11"/>
      <c r="V869" s="11"/>
    </row>
    <row r="870" ht="15.75" customHeight="1">
      <c r="Q870" s="11"/>
      <c r="R870" s="11"/>
      <c r="S870" s="11"/>
      <c r="T870" s="11"/>
      <c r="U870" s="11"/>
      <c r="V870" s="11"/>
    </row>
    <row r="871" ht="15.75" customHeight="1">
      <c r="Q871" s="11"/>
      <c r="R871" s="11"/>
      <c r="S871" s="11"/>
      <c r="T871" s="11"/>
      <c r="U871" s="11"/>
      <c r="V871" s="11"/>
    </row>
    <row r="872" ht="15.75" customHeight="1">
      <c r="Q872" s="11"/>
      <c r="R872" s="11"/>
      <c r="S872" s="11"/>
      <c r="T872" s="11"/>
      <c r="U872" s="11"/>
      <c r="V872" s="11"/>
    </row>
    <row r="873" ht="15.75" customHeight="1">
      <c r="Q873" s="11"/>
      <c r="R873" s="11"/>
      <c r="S873" s="11"/>
      <c r="T873" s="11"/>
      <c r="U873" s="11"/>
      <c r="V873" s="11"/>
    </row>
    <row r="874" ht="15.75" customHeight="1">
      <c r="Q874" s="11"/>
      <c r="R874" s="11"/>
      <c r="S874" s="11"/>
      <c r="T874" s="11"/>
      <c r="U874" s="11"/>
      <c r="V874" s="11"/>
    </row>
    <row r="875" ht="15.75" customHeight="1">
      <c r="Q875" s="11"/>
      <c r="R875" s="11"/>
      <c r="S875" s="11"/>
      <c r="T875" s="11"/>
      <c r="U875" s="11"/>
      <c r="V875" s="11"/>
    </row>
    <row r="876" ht="15.75" customHeight="1">
      <c r="Q876" s="11"/>
      <c r="R876" s="11"/>
      <c r="S876" s="11"/>
      <c r="T876" s="11"/>
      <c r="U876" s="11"/>
      <c r="V876" s="11"/>
    </row>
    <row r="877" ht="15.75" customHeight="1">
      <c r="Q877" s="11"/>
      <c r="R877" s="11"/>
      <c r="S877" s="11"/>
      <c r="T877" s="11"/>
      <c r="U877" s="11"/>
      <c r="V877" s="11"/>
    </row>
    <row r="878" ht="15.75" customHeight="1">
      <c r="Q878" s="11"/>
      <c r="R878" s="11"/>
      <c r="S878" s="11"/>
      <c r="T878" s="11"/>
      <c r="U878" s="11"/>
      <c r="V878" s="11"/>
    </row>
    <row r="879" ht="15.75" customHeight="1">
      <c r="Q879" s="11"/>
      <c r="R879" s="11"/>
      <c r="S879" s="11"/>
      <c r="T879" s="11"/>
      <c r="U879" s="11"/>
      <c r="V879" s="11"/>
    </row>
    <row r="880" ht="15.75" customHeight="1">
      <c r="Q880" s="11"/>
      <c r="R880" s="11"/>
      <c r="S880" s="11"/>
      <c r="T880" s="11"/>
      <c r="U880" s="11"/>
      <c r="V880" s="11"/>
    </row>
    <row r="881" ht="15.75" customHeight="1">
      <c r="Q881" s="11"/>
      <c r="R881" s="11"/>
      <c r="S881" s="11"/>
      <c r="T881" s="11"/>
      <c r="U881" s="11"/>
      <c r="V881" s="11"/>
    </row>
    <row r="882" ht="15.75" customHeight="1">
      <c r="Q882" s="11"/>
      <c r="R882" s="11"/>
      <c r="S882" s="11"/>
      <c r="T882" s="11"/>
      <c r="U882" s="11"/>
      <c r="V882" s="11"/>
    </row>
    <row r="883" ht="15.75" customHeight="1">
      <c r="Q883" s="11"/>
      <c r="R883" s="11"/>
      <c r="S883" s="11"/>
      <c r="T883" s="11"/>
      <c r="U883" s="11"/>
      <c r="V883" s="11"/>
    </row>
    <row r="884" ht="15.75" customHeight="1">
      <c r="Q884" s="11"/>
      <c r="R884" s="11"/>
      <c r="S884" s="11"/>
      <c r="T884" s="11"/>
      <c r="U884" s="11"/>
      <c r="V884" s="11"/>
    </row>
    <row r="885" ht="15.75" customHeight="1">
      <c r="Q885" s="11"/>
      <c r="R885" s="11"/>
      <c r="S885" s="11"/>
      <c r="T885" s="11"/>
      <c r="U885" s="11"/>
      <c r="V885" s="11"/>
    </row>
    <row r="886" ht="15.75" customHeight="1">
      <c r="Q886" s="11"/>
      <c r="R886" s="11"/>
      <c r="S886" s="11"/>
      <c r="T886" s="11"/>
      <c r="U886" s="11"/>
      <c r="V886" s="11"/>
    </row>
    <row r="887" ht="15.75" customHeight="1">
      <c r="Q887" s="11"/>
      <c r="R887" s="11"/>
      <c r="S887" s="11"/>
      <c r="T887" s="11"/>
      <c r="U887" s="11"/>
      <c r="V887" s="11"/>
    </row>
    <row r="888" ht="15.75" customHeight="1">
      <c r="Q888" s="11"/>
      <c r="R888" s="11"/>
      <c r="S888" s="11"/>
      <c r="T888" s="11"/>
      <c r="U888" s="11"/>
      <c r="V888" s="11"/>
    </row>
    <row r="889" ht="15.75" customHeight="1">
      <c r="Q889" s="11"/>
      <c r="R889" s="11"/>
      <c r="S889" s="11"/>
      <c r="T889" s="11"/>
      <c r="U889" s="11"/>
      <c r="V889" s="11"/>
    </row>
    <row r="890" ht="15.75" customHeight="1">
      <c r="Q890" s="11"/>
      <c r="R890" s="11"/>
      <c r="S890" s="11"/>
      <c r="T890" s="11"/>
      <c r="U890" s="11"/>
      <c r="V890" s="11"/>
    </row>
    <row r="891" ht="15.75" customHeight="1">
      <c r="Q891" s="11"/>
      <c r="R891" s="11"/>
      <c r="S891" s="11"/>
      <c r="T891" s="11"/>
      <c r="U891" s="11"/>
      <c r="V891" s="11"/>
    </row>
    <row r="892" ht="15.75" customHeight="1">
      <c r="Q892" s="11"/>
      <c r="R892" s="11"/>
      <c r="S892" s="11"/>
      <c r="T892" s="11"/>
      <c r="U892" s="11"/>
      <c r="V892" s="11"/>
    </row>
    <row r="893" ht="15.75" customHeight="1">
      <c r="Q893" s="11"/>
      <c r="R893" s="11"/>
      <c r="S893" s="11"/>
      <c r="T893" s="11"/>
      <c r="U893" s="11"/>
      <c r="V893" s="11"/>
    </row>
    <row r="894" ht="15.75" customHeight="1">
      <c r="Q894" s="11"/>
      <c r="R894" s="11"/>
      <c r="S894" s="11"/>
      <c r="T894" s="11"/>
      <c r="U894" s="11"/>
      <c r="V894" s="11"/>
    </row>
    <row r="895" ht="15.75" customHeight="1">
      <c r="Q895" s="11"/>
      <c r="R895" s="11"/>
      <c r="S895" s="11"/>
      <c r="T895" s="11"/>
      <c r="U895" s="11"/>
      <c r="V895" s="11"/>
    </row>
    <row r="896" ht="15.75" customHeight="1">
      <c r="Q896" s="11"/>
      <c r="R896" s="11"/>
      <c r="S896" s="11"/>
      <c r="T896" s="11"/>
      <c r="U896" s="11"/>
      <c r="V896" s="11"/>
    </row>
    <row r="897" ht="15.75" customHeight="1">
      <c r="Q897" s="11"/>
      <c r="R897" s="11"/>
      <c r="S897" s="11"/>
      <c r="T897" s="11"/>
      <c r="U897" s="11"/>
      <c r="V897" s="11"/>
    </row>
    <row r="898" ht="15.75" customHeight="1">
      <c r="Q898" s="11"/>
      <c r="R898" s="11"/>
      <c r="S898" s="11"/>
      <c r="T898" s="11"/>
      <c r="U898" s="11"/>
      <c r="V898" s="11"/>
    </row>
    <row r="899" ht="15.75" customHeight="1">
      <c r="Q899" s="11"/>
      <c r="R899" s="11"/>
      <c r="S899" s="11"/>
      <c r="T899" s="11"/>
      <c r="U899" s="11"/>
      <c r="V899" s="11"/>
    </row>
    <row r="900" ht="15.75" customHeight="1">
      <c r="Q900" s="11"/>
      <c r="R900" s="11"/>
      <c r="S900" s="11"/>
      <c r="T900" s="11"/>
      <c r="U900" s="11"/>
      <c r="V900" s="11"/>
    </row>
    <row r="901" ht="15.75" customHeight="1">
      <c r="Q901" s="11"/>
      <c r="R901" s="11"/>
      <c r="S901" s="11"/>
      <c r="T901" s="11"/>
      <c r="U901" s="11"/>
      <c r="V901" s="11"/>
    </row>
    <row r="902" ht="15.75" customHeight="1">
      <c r="Q902" s="11"/>
      <c r="R902" s="11"/>
      <c r="S902" s="11"/>
      <c r="T902" s="11"/>
      <c r="U902" s="11"/>
      <c r="V902" s="11"/>
    </row>
    <row r="903" ht="15.75" customHeight="1">
      <c r="Q903" s="11"/>
      <c r="R903" s="11"/>
      <c r="S903" s="11"/>
      <c r="T903" s="11"/>
      <c r="U903" s="11"/>
      <c r="V903" s="11"/>
    </row>
    <row r="904" ht="15.75" customHeight="1">
      <c r="Q904" s="11"/>
      <c r="R904" s="11"/>
      <c r="S904" s="11"/>
      <c r="T904" s="11"/>
      <c r="U904" s="11"/>
      <c r="V904" s="11"/>
    </row>
    <row r="905" ht="15.75" customHeight="1">
      <c r="Q905" s="11"/>
      <c r="R905" s="11"/>
      <c r="S905" s="11"/>
      <c r="T905" s="11"/>
      <c r="U905" s="11"/>
      <c r="V905" s="11"/>
    </row>
    <row r="906" ht="15.75" customHeight="1">
      <c r="Q906" s="11"/>
      <c r="R906" s="11"/>
      <c r="S906" s="11"/>
      <c r="T906" s="11"/>
      <c r="U906" s="11"/>
      <c r="V906" s="11"/>
    </row>
    <row r="907" ht="15.75" customHeight="1">
      <c r="Q907" s="11"/>
      <c r="R907" s="11"/>
      <c r="S907" s="11"/>
      <c r="T907" s="11"/>
      <c r="U907" s="11"/>
      <c r="V907" s="11"/>
    </row>
    <row r="908" ht="15.75" customHeight="1">
      <c r="Q908" s="11"/>
      <c r="R908" s="11"/>
      <c r="S908" s="11"/>
      <c r="T908" s="11"/>
      <c r="U908" s="11"/>
      <c r="V908" s="11"/>
    </row>
    <row r="909" ht="15.75" customHeight="1">
      <c r="Q909" s="11"/>
      <c r="R909" s="11"/>
      <c r="S909" s="11"/>
      <c r="T909" s="11"/>
      <c r="U909" s="11"/>
      <c r="V909" s="11"/>
    </row>
    <row r="910" ht="15.75" customHeight="1">
      <c r="Q910" s="11"/>
      <c r="R910" s="11"/>
      <c r="S910" s="11"/>
      <c r="T910" s="11"/>
      <c r="U910" s="11"/>
      <c r="V910" s="11"/>
    </row>
    <row r="911" ht="15.75" customHeight="1">
      <c r="Q911" s="11"/>
      <c r="R911" s="11"/>
      <c r="S911" s="11"/>
      <c r="T911" s="11"/>
      <c r="U911" s="11"/>
      <c r="V911" s="11"/>
    </row>
    <row r="912" ht="15.75" customHeight="1">
      <c r="Q912" s="11"/>
      <c r="R912" s="11"/>
      <c r="S912" s="11"/>
      <c r="T912" s="11"/>
      <c r="U912" s="11"/>
      <c r="V912" s="11"/>
    </row>
    <row r="913" ht="15.75" customHeight="1">
      <c r="Q913" s="11"/>
      <c r="R913" s="11"/>
      <c r="S913" s="11"/>
      <c r="T913" s="11"/>
      <c r="U913" s="11"/>
      <c r="V913" s="11"/>
    </row>
    <row r="914" ht="15.75" customHeight="1">
      <c r="Q914" s="11"/>
      <c r="R914" s="11"/>
      <c r="S914" s="11"/>
      <c r="T914" s="11"/>
      <c r="U914" s="11"/>
      <c r="V914" s="11"/>
    </row>
    <row r="915" ht="15.75" customHeight="1">
      <c r="Q915" s="11"/>
      <c r="R915" s="11"/>
      <c r="S915" s="11"/>
      <c r="T915" s="11"/>
      <c r="U915" s="11"/>
      <c r="V915" s="11"/>
    </row>
    <row r="916" ht="15.75" customHeight="1">
      <c r="Q916" s="11"/>
      <c r="R916" s="11"/>
      <c r="S916" s="11"/>
      <c r="T916" s="11"/>
      <c r="U916" s="11"/>
      <c r="V916" s="11"/>
    </row>
    <row r="917" ht="15.75" customHeight="1">
      <c r="Q917" s="11"/>
      <c r="R917" s="11"/>
      <c r="S917" s="11"/>
      <c r="T917" s="11"/>
      <c r="U917" s="11"/>
      <c r="V917" s="11"/>
    </row>
    <row r="918" ht="15.75" customHeight="1">
      <c r="Q918" s="11"/>
      <c r="R918" s="11"/>
      <c r="S918" s="11"/>
      <c r="T918" s="11"/>
      <c r="U918" s="11"/>
      <c r="V918" s="11"/>
    </row>
    <row r="919" ht="15.75" customHeight="1">
      <c r="Q919" s="11"/>
      <c r="R919" s="11"/>
      <c r="S919" s="11"/>
      <c r="T919" s="11"/>
      <c r="U919" s="11"/>
      <c r="V919" s="11"/>
    </row>
    <row r="920" ht="15.75" customHeight="1">
      <c r="Q920" s="11"/>
      <c r="R920" s="11"/>
      <c r="S920" s="11"/>
      <c r="T920" s="11"/>
      <c r="U920" s="11"/>
      <c r="V920" s="11"/>
    </row>
    <row r="921" ht="15.75" customHeight="1">
      <c r="Q921" s="11"/>
      <c r="R921" s="11"/>
      <c r="S921" s="11"/>
      <c r="T921" s="11"/>
      <c r="U921" s="11"/>
      <c r="V921" s="11"/>
    </row>
    <row r="922" ht="15.75" customHeight="1">
      <c r="Q922" s="11"/>
      <c r="R922" s="11"/>
      <c r="S922" s="11"/>
      <c r="T922" s="11"/>
      <c r="U922" s="11"/>
      <c r="V922" s="11"/>
    </row>
    <row r="923" ht="15.75" customHeight="1">
      <c r="Q923" s="11"/>
      <c r="R923" s="11"/>
      <c r="S923" s="11"/>
      <c r="T923" s="11"/>
      <c r="U923" s="11"/>
      <c r="V923" s="11"/>
    </row>
    <row r="924" ht="15.75" customHeight="1">
      <c r="Q924" s="11"/>
      <c r="R924" s="11"/>
      <c r="S924" s="11"/>
      <c r="T924" s="11"/>
      <c r="U924" s="11"/>
      <c r="V924" s="11"/>
    </row>
    <row r="925" ht="15.75" customHeight="1">
      <c r="Q925" s="11"/>
      <c r="R925" s="11"/>
      <c r="S925" s="11"/>
      <c r="T925" s="11"/>
      <c r="U925" s="11"/>
      <c r="V925" s="11"/>
    </row>
    <row r="926" ht="15.75" customHeight="1">
      <c r="Q926" s="11"/>
      <c r="R926" s="11"/>
      <c r="S926" s="11"/>
      <c r="T926" s="11"/>
      <c r="U926" s="11"/>
      <c r="V926" s="11"/>
    </row>
    <row r="927" ht="15.75" customHeight="1">
      <c r="Q927" s="11"/>
      <c r="R927" s="11"/>
      <c r="S927" s="11"/>
      <c r="T927" s="11"/>
      <c r="U927" s="11"/>
      <c r="V927" s="11"/>
    </row>
    <row r="928" ht="15.75" customHeight="1">
      <c r="Q928" s="11"/>
      <c r="R928" s="11"/>
      <c r="S928" s="11"/>
      <c r="T928" s="11"/>
      <c r="U928" s="11"/>
      <c r="V928" s="11"/>
    </row>
    <row r="929" ht="15.75" customHeight="1">
      <c r="Q929" s="11"/>
      <c r="R929" s="11"/>
      <c r="S929" s="11"/>
      <c r="T929" s="11"/>
      <c r="U929" s="11"/>
      <c r="V929" s="11"/>
    </row>
    <row r="930" ht="15.75" customHeight="1">
      <c r="Q930" s="11"/>
      <c r="R930" s="11"/>
      <c r="S930" s="11"/>
      <c r="T930" s="11"/>
      <c r="U930" s="11"/>
      <c r="V930" s="11"/>
    </row>
    <row r="931" ht="15.75" customHeight="1">
      <c r="Q931" s="11"/>
      <c r="R931" s="11"/>
      <c r="S931" s="11"/>
      <c r="T931" s="11"/>
      <c r="U931" s="11"/>
      <c r="V931" s="11"/>
    </row>
    <row r="932" ht="15.75" customHeight="1">
      <c r="Q932" s="11"/>
      <c r="R932" s="11"/>
      <c r="S932" s="11"/>
      <c r="T932" s="11"/>
      <c r="U932" s="11"/>
      <c r="V932" s="11"/>
    </row>
    <row r="933" ht="15.75" customHeight="1">
      <c r="Q933" s="11"/>
      <c r="R933" s="11"/>
      <c r="S933" s="11"/>
      <c r="T933" s="11"/>
      <c r="U933" s="11"/>
      <c r="V933" s="11"/>
    </row>
    <row r="934" ht="15.75" customHeight="1">
      <c r="Q934" s="11"/>
      <c r="R934" s="11"/>
      <c r="S934" s="11"/>
      <c r="T934" s="11"/>
      <c r="U934" s="11"/>
      <c r="V934" s="11"/>
    </row>
    <row r="935" ht="15.75" customHeight="1">
      <c r="Q935" s="11"/>
      <c r="R935" s="11"/>
      <c r="S935" s="11"/>
      <c r="T935" s="11"/>
      <c r="U935" s="11"/>
      <c r="V935" s="11"/>
    </row>
    <row r="936" ht="15.75" customHeight="1">
      <c r="Q936" s="11"/>
      <c r="R936" s="11"/>
      <c r="S936" s="11"/>
      <c r="T936" s="11"/>
      <c r="U936" s="11"/>
      <c r="V936" s="11"/>
    </row>
    <row r="937" ht="15.75" customHeight="1">
      <c r="Q937" s="11"/>
      <c r="R937" s="11"/>
      <c r="S937" s="11"/>
      <c r="T937" s="11"/>
      <c r="U937" s="11"/>
      <c r="V937" s="11"/>
    </row>
    <row r="938" ht="15.75" customHeight="1">
      <c r="Q938" s="11"/>
      <c r="R938" s="11"/>
      <c r="S938" s="11"/>
      <c r="T938" s="11"/>
      <c r="U938" s="11"/>
      <c r="V938" s="11"/>
    </row>
    <row r="939" ht="15.75" customHeight="1">
      <c r="Q939" s="11"/>
      <c r="R939" s="11"/>
      <c r="S939" s="11"/>
      <c r="T939" s="11"/>
      <c r="U939" s="11"/>
      <c r="V939" s="11"/>
    </row>
    <row r="940" ht="15.75" customHeight="1">
      <c r="Q940" s="11"/>
      <c r="R940" s="11"/>
      <c r="S940" s="11"/>
      <c r="T940" s="11"/>
      <c r="U940" s="11"/>
      <c r="V940" s="11"/>
    </row>
    <row r="941" ht="15.75" customHeight="1">
      <c r="Q941" s="11"/>
      <c r="R941" s="11"/>
      <c r="S941" s="11"/>
      <c r="T941" s="11"/>
      <c r="U941" s="11"/>
      <c r="V941" s="11"/>
    </row>
    <row r="942" ht="15.75" customHeight="1">
      <c r="Q942" s="11"/>
      <c r="R942" s="11"/>
      <c r="S942" s="11"/>
      <c r="T942" s="11"/>
      <c r="U942" s="11"/>
      <c r="V942" s="11"/>
    </row>
    <row r="943" ht="15.75" customHeight="1">
      <c r="Q943" s="11"/>
      <c r="R943" s="11"/>
      <c r="S943" s="11"/>
      <c r="T943" s="11"/>
      <c r="U943" s="11"/>
      <c r="V943" s="11"/>
    </row>
    <row r="944" ht="15.75" customHeight="1">
      <c r="Q944" s="11"/>
      <c r="R944" s="11"/>
      <c r="S944" s="11"/>
      <c r="T944" s="11"/>
      <c r="U944" s="11"/>
      <c r="V944" s="11"/>
    </row>
    <row r="945" ht="15.75" customHeight="1">
      <c r="Q945" s="11"/>
      <c r="R945" s="11"/>
      <c r="S945" s="11"/>
      <c r="T945" s="11"/>
      <c r="U945" s="11"/>
      <c r="V945" s="11"/>
    </row>
    <row r="946" ht="15.75" customHeight="1">
      <c r="Q946" s="11"/>
      <c r="R946" s="11"/>
      <c r="S946" s="11"/>
      <c r="T946" s="11"/>
      <c r="U946" s="11"/>
      <c r="V946" s="11"/>
    </row>
    <row r="947" ht="15.75" customHeight="1">
      <c r="Q947" s="11"/>
      <c r="R947" s="11"/>
      <c r="S947" s="11"/>
      <c r="T947" s="11"/>
      <c r="U947" s="11"/>
      <c r="V947" s="11"/>
    </row>
    <row r="948" ht="15.75" customHeight="1">
      <c r="Q948" s="11"/>
      <c r="R948" s="11"/>
      <c r="S948" s="11"/>
      <c r="T948" s="11"/>
      <c r="U948" s="11"/>
      <c r="V948" s="11"/>
    </row>
    <row r="949" ht="15.75" customHeight="1">
      <c r="Q949" s="11"/>
      <c r="R949" s="11"/>
      <c r="S949" s="11"/>
      <c r="T949" s="11"/>
      <c r="U949" s="11"/>
      <c r="V949" s="11"/>
    </row>
    <row r="950" ht="15.75" customHeight="1">
      <c r="Q950" s="11"/>
      <c r="R950" s="11"/>
      <c r="S950" s="11"/>
      <c r="T950" s="11"/>
      <c r="U950" s="11"/>
      <c r="V950" s="11"/>
    </row>
    <row r="951" ht="15.75" customHeight="1">
      <c r="Q951" s="11"/>
      <c r="R951" s="11"/>
      <c r="S951" s="11"/>
      <c r="T951" s="11"/>
      <c r="U951" s="11"/>
      <c r="V951" s="11"/>
    </row>
    <row r="952" ht="15.75" customHeight="1">
      <c r="Q952" s="11"/>
      <c r="R952" s="11"/>
      <c r="S952" s="11"/>
      <c r="T952" s="11"/>
      <c r="U952" s="11"/>
      <c r="V952" s="11"/>
    </row>
    <row r="953" ht="15.75" customHeight="1">
      <c r="Q953" s="11"/>
      <c r="R953" s="11"/>
      <c r="S953" s="11"/>
      <c r="T953" s="11"/>
      <c r="U953" s="11"/>
      <c r="V953" s="11"/>
    </row>
    <row r="954" ht="15.75" customHeight="1">
      <c r="Q954" s="11"/>
      <c r="R954" s="11"/>
      <c r="S954" s="11"/>
      <c r="T954" s="11"/>
      <c r="U954" s="11"/>
      <c r="V954" s="11"/>
    </row>
    <row r="955" ht="15.75" customHeight="1">
      <c r="Q955" s="11"/>
      <c r="R955" s="11"/>
      <c r="S955" s="11"/>
      <c r="T955" s="11"/>
      <c r="U955" s="11"/>
      <c r="V955" s="11"/>
    </row>
    <row r="956" ht="15.75" customHeight="1">
      <c r="Q956" s="11"/>
      <c r="R956" s="11"/>
      <c r="S956" s="11"/>
      <c r="T956" s="11"/>
      <c r="U956" s="11"/>
      <c r="V956" s="11"/>
    </row>
    <row r="957" ht="15.75" customHeight="1">
      <c r="Q957" s="11"/>
      <c r="R957" s="11"/>
      <c r="S957" s="11"/>
      <c r="T957" s="11"/>
      <c r="U957" s="11"/>
      <c r="V957" s="11"/>
    </row>
    <row r="958" ht="15.75" customHeight="1">
      <c r="Q958" s="11"/>
      <c r="R958" s="11"/>
      <c r="S958" s="11"/>
      <c r="T958" s="11"/>
      <c r="U958" s="11"/>
      <c r="V958" s="11"/>
    </row>
    <row r="959" ht="15.75" customHeight="1">
      <c r="Q959" s="11"/>
      <c r="R959" s="11"/>
      <c r="S959" s="11"/>
      <c r="T959" s="11"/>
      <c r="U959" s="11"/>
      <c r="V959" s="11"/>
    </row>
    <row r="960" ht="15.75" customHeight="1">
      <c r="Q960" s="11"/>
      <c r="R960" s="11"/>
      <c r="S960" s="11"/>
      <c r="T960" s="11"/>
      <c r="U960" s="11"/>
      <c r="V960" s="11"/>
    </row>
    <row r="961" ht="15.75" customHeight="1">
      <c r="Q961" s="11"/>
      <c r="R961" s="11"/>
      <c r="S961" s="11"/>
      <c r="T961" s="11"/>
      <c r="U961" s="11"/>
      <c r="V961" s="11"/>
    </row>
    <row r="962" ht="15.75" customHeight="1">
      <c r="Q962" s="11"/>
      <c r="R962" s="11"/>
      <c r="S962" s="11"/>
      <c r="T962" s="11"/>
      <c r="U962" s="11"/>
      <c r="V962" s="11"/>
    </row>
    <row r="963" ht="15.75" customHeight="1">
      <c r="Q963" s="11"/>
      <c r="R963" s="11"/>
      <c r="S963" s="11"/>
      <c r="T963" s="11"/>
      <c r="U963" s="11"/>
      <c r="V963" s="11"/>
    </row>
    <row r="964" ht="15.75" customHeight="1">
      <c r="Q964" s="11"/>
      <c r="R964" s="11"/>
      <c r="S964" s="11"/>
      <c r="T964" s="11"/>
      <c r="U964" s="11"/>
      <c r="V964" s="11"/>
    </row>
    <row r="965" ht="15.75" customHeight="1">
      <c r="Q965" s="11"/>
      <c r="R965" s="11"/>
      <c r="S965" s="11"/>
      <c r="T965" s="11"/>
      <c r="U965" s="11"/>
      <c r="V965" s="11"/>
    </row>
    <row r="966" ht="15.75" customHeight="1">
      <c r="Q966" s="11"/>
      <c r="R966" s="11"/>
      <c r="S966" s="11"/>
      <c r="T966" s="11"/>
      <c r="U966" s="11"/>
      <c r="V966" s="11"/>
    </row>
    <row r="967" ht="15.75" customHeight="1">
      <c r="Q967" s="11"/>
      <c r="R967" s="11"/>
      <c r="S967" s="11"/>
      <c r="T967" s="11"/>
      <c r="U967" s="11"/>
      <c r="V967" s="11"/>
    </row>
    <row r="968" ht="15.75" customHeight="1">
      <c r="Q968" s="11"/>
      <c r="R968" s="11"/>
      <c r="S968" s="11"/>
      <c r="T968" s="11"/>
      <c r="U968" s="11"/>
      <c r="V968" s="11"/>
    </row>
    <row r="969" ht="15.75" customHeight="1">
      <c r="Q969" s="11"/>
      <c r="R969" s="11"/>
      <c r="S969" s="11"/>
      <c r="T969" s="11"/>
      <c r="U969" s="11"/>
      <c r="V969" s="11"/>
    </row>
    <row r="970" ht="15.75" customHeight="1">
      <c r="Q970" s="11"/>
      <c r="R970" s="11"/>
      <c r="S970" s="11"/>
      <c r="T970" s="11"/>
      <c r="U970" s="11"/>
      <c r="V970" s="11"/>
    </row>
    <row r="971" ht="15.75" customHeight="1">
      <c r="Q971" s="11"/>
      <c r="R971" s="11"/>
      <c r="S971" s="11"/>
      <c r="T971" s="11"/>
      <c r="U971" s="11"/>
      <c r="V971" s="11"/>
    </row>
    <row r="972" ht="15.75" customHeight="1">
      <c r="Q972" s="11"/>
      <c r="R972" s="11"/>
      <c r="S972" s="11"/>
      <c r="T972" s="11"/>
      <c r="U972" s="11"/>
      <c r="V972" s="11"/>
    </row>
    <row r="973" ht="15.75" customHeight="1">
      <c r="Q973" s="11"/>
      <c r="R973" s="11"/>
      <c r="S973" s="11"/>
      <c r="T973" s="11"/>
      <c r="U973" s="11"/>
      <c r="V973" s="11"/>
    </row>
    <row r="974" ht="15.75" customHeight="1">
      <c r="Q974" s="11"/>
      <c r="R974" s="11"/>
      <c r="S974" s="11"/>
      <c r="T974" s="11"/>
      <c r="U974" s="11"/>
      <c r="V974" s="11"/>
    </row>
    <row r="975" ht="15.75" customHeight="1">
      <c r="Q975" s="11"/>
      <c r="R975" s="11"/>
      <c r="S975" s="11"/>
      <c r="T975" s="11"/>
      <c r="U975" s="11"/>
      <c r="V975" s="11"/>
    </row>
    <row r="976" ht="15.75" customHeight="1">
      <c r="Q976" s="11"/>
      <c r="R976" s="11"/>
      <c r="S976" s="11"/>
      <c r="T976" s="11"/>
      <c r="U976" s="11"/>
      <c r="V976" s="11"/>
    </row>
    <row r="977" ht="15.75" customHeight="1">
      <c r="Q977" s="11"/>
      <c r="R977" s="11"/>
      <c r="S977" s="11"/>
      <c r="T977" s="11"/>
      <c r="U977" s="11"/>
      <c r="V977" s="11"/>
    </row>
    <row r="978" ht="15.75" customHeight="1">
      <c r="Q978" s="11"/>
      <c r="R978" s="11"/>
      <c r="S978" s="11"/>
      <c r="T978" s="11"/>
      <c r="U978" s="11"/>
      <c r="V978" s="11"/>
    </row>
    <row r="979" ht="15.75" customHeight="1">
      <c r="Q979" s="11"/>
      <c r="R979" s="11"/>
      <c r="S979" s="11"/>
      <c r="T979" s="11"/>
      <c r="U979" s="11"/>
      <c r="V979" s="11"/>
    </row>
    <row r="980" ht="15.75" customHeight="1">
      <c r="Q980" s="11"/>
      <c r="R980" s="11"/>
      <c r="S980" s="11"/>
      <c r="T980" s="11"/>
      <c r="U980" s="11"/>
      <c r="V980" s="11"/>
    </row>
    <row r="981" ht="15.75" customHeight="1">
      <c r="Q981" s="11"/>
      <c r="R981" s="11"/>
      <c r="S981" s="11"/>
      <c r="T981" s="11"/>
      <c r="U981" s="11"/>
      <c r="V981" s="11"/>
    </row>
    <row r="982" ht="15.75" customHeight="1">
      <c r="Q982" s="11"/>
      <c r="R982" s="11"/>
      <c r="S982" s="11"/>
      <c r="T982" s="11"/>
      <c r="U982" s="11"/>
      <c r="V982" s="11"/>
    </row>
    <row r="983" ht="15.75" customHeight="1">
      <c r="Q983" s="11"/>
      <c r="R983" s="11"/>
      <c r="S983" s="11"/>
      <c r="T983" s="11"/>
      <c r="U983" s="11"/>
      <c r="V983" s="11"/>
    </row>
    <row r="984" ht="15.75" customHeight="1">
      <c r="Q984" s="11"/>
      <c r="R984" s="11"/>
      <c r="S984" s="11"/>
      <c r="T984" s="11"/>
      <c r="U984" s="11"/>
      <c r="V984" s="11"/>
    </row>
    <row r="985" ht="15.75" customHeight="1">
      <c r="Q985" s="11"/>
      <c r="R985" s="11"/>
      <c r="S985" s="11"/>
      <c r="T985" s="11"/>
      <c r="U985" s="11"/>
      <c r="V985" s="11"/>
    </row>
    <row r="986" ht="15.75" customHeight="1">
      <c r="Q986" s="11"/>
      <c r="R986" s="11"/>
      <c r="S986" s="11"/>
      <c r="T986" s="11"/>
      <c r="U986" s="11"/>
      <c r="V986" s="11"/>
    </row>
    <row r="987" ht="15.75" customHeight="1">
      <c r="Q987" s="11"/>
      <c r="R987" s="11"/>
      <c r="S987" s="11"/>
      <c r="T987" s="11"/>
      <c r="U987" s="11"/>
      <c r="V987" s="11"/>
    </row>
    <row r="988" ht="15.75" customHeight="1">
      <c r="Q988" s="11"/>
      <c r="R988" s="11"/>
      <c r="S988" s="11"/>
      <c r="T988" s="11"/>
      <c r="U988" s="11"/>
      <c r="V988" s="11"/>
    </row>
    <row r="989" ht="15.75" customHeight="1">
      <c r="Q989" s="11"/>
      <c r="R989" s="11"/>
      <c r="S989" s="11"/>
      <c r="T989" s="11"/>
      <c r="U989" s="11"/>
      <c r="V989" s="11"/>
    </row>
    <row r="990" ht="15.75" customHeight="1">
      <c r="Q990" s="11"/>
      <c r="R990" s="11"/>
      <c r="S990" s="11"/>
      <c r="T990" s="11"/>
      <c r="U990" s="11"/>
      <c r="V990" s="11"/>
    </row>
    <row r="991" ht="15.75" customHeight="1">
      <c r="Q991" s="11"/>
      <c r="R991" s="11"/>
      <c r="S991" s="11"/>
      <c r="T991" s="11"/>
      <c r="U991" s="11"/>
      <c r="V991" s="11"/>
    </row>
    <row r="992" ht="15.75" customHeight="1">
      <c r="Q992" s="11"/>
      <c r="R992" s="11"/>
      <c r="S992" s="11"/>
      <c r="T992" s="11"/>
      <c r="U992" s="11"/>
      <c r="V992" s="11"/>
    </row>
    <row r="993" ht="15.75" customHeight="1">
      <c r="Q993" s="11"/>
      <c r="R993" s="11"/>
      <c r="S993" s="11"/>
      <c r="T993" s="11"/>
      <c r="U993" s="11"/>
      <c r="V993" s="11"/>
    </row>
    <row r="994" ht="15.75" customHeight="1">
      <c r="Q994" s="11"/>
      <c r="R994" s="11"/>
      <c r="S994" s="11"/>
      <c r="T994" s="11"/>
      <c r="U994" s="11"/>
      <c r="V994" s="11"/>
    </row>
    <row r="995" ht="15.75" customHeight="1">
      <c r="Q995" s="11"/>
      <c r="R995" s="11"/>
      <c r="S995" s="11"/>
      <c r="T995" s="11"/>
      <c r="U995" s="11"/>
      <c r="V995" s="11"/>
    </row>
    <row r="996" ht="15.75" customHeight="1">
      <c r="Q996" s="11"/>
      <c r="R996" s="11"/>
      <c r="S996" s="11"/>
      <c r="T996" s="11"/>
      <c r="U996" s="11"/>
      <c r="V996" s="11"/>
    </row>
    <row r="997" ht="15.75" customHeight="1">
      <c r="Q997" s="11"/>
      <c r="R997" s="11"/>
      <c r="S997" s="11"/>
      <c r="T997" s="11"/>
      <c r="U997" s="11"/>
      <c r="V997" s="11"/>
    </row>
    <row r="998" ht="15.75" customHeight="1">
      <c r="Q998" s="11"/>
      <c r="R998" s="11"/>
      <c r="S998" s="11"/>
      <c r="T998" s="11"/>
      <c r="U998" s="11"/>
      <c r="V998" s="11"/>
    </row>
    <row r="999" ht="15.75" customHeight="1">
      <c r="Q999" s="11"/>
      <c r="R999" s="11"/>
      <c r="S999" s="11"/>
      <c r="T999" s="11"/>
      <c r="U999" s="11"/>
      <c r="V999" s="11"/>
    </row>
    <row r="1000" ht="15.75" customHeight="1">
      <c r="Q1000" s="11"/>
      <c r="R1000" s="11"/>
      <c r="S1000" s="11"/>
      <c r="T1000" s="11"/>
      <c r="U1000" s="11"/>
      <c r="V1000" s="11"/>
    </row>
  </sheetData>
  <mergeCells count="2">
    <mergeCell ref="B3:B4"/>
    <mergeCell ref="AQ3:AQ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2023-12-18T11:01:06Z</dcterms:created>
  <dc:creator>Lenovo_AIO</dc:creator>
</cp:coreProperties>
</file>