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B835030-21B6-4F4D-A5BF-9A12EDDA2D35}" xr6:coauthVersionLast="47" xr6:coauthVersionMax="47" xr10:uidLastSave="{00000000-0000-0000-0000-000000000000}"/>
  <bookViews>
    <workbookView xWindow="14295" yWindow="0" windowWidth="14610" windowHeight="15585" tabRatio="826" firstSheet="15" activeTab="15" xr2:uid="{00000000-000D-0000-FFFF-FFFF00000000}"/>
  </bookViews>
  <sheets>
    <sheet name="Assumption" sheetId="20" r:id="rId1"/>
    <sheet name="Rincian Tarif Toll" sheetId="80" r:id="rId2"/>
    <sheet name="ProjectValuation" sheetId="38" r:id="rId3"/>
    <sheet name="Variable Cost" sheetId="74" r:id="rId4"/>
    <sheet name="Ovh Cost" sheetId="75" r:id="rId5"/>
    <sheet name="Revenue" sheetId="28" r:id="rId6"/>
    <sheet name="IncomeStatement" sheetId="41" r:id="rId7"/>
    <sheet name="WorkingCapital" sheetId="60" r:id="rId8"/>
    <sheet name="CashFlow" sheetId="46" r:id="rId9"/>
    <sheet name="Revenue Thermoking" sheetId="81" state="hidden" r:id="rId10"/>
    <sheet name="Dividen" sheetId="78" r:id="rId11"/>
    <sheet name="EquityChange" sheetId="77" r:id="rId12"/>
    <sheet name="CapitalInvestment" sheetId="50" r:id="rId13"/>
    <sheet name="CostofCapital" sheetId="72" r:id="rId14"/>
    <sheet name="FreightCost" sheetId="61" state="hidden" r:id="rId15"/>
    <sheet name="SG&amp;A Truck Thermoking" sheetId="82" r:id="rId16"/>
    <sheet name="Salary" sheetId="30" r:id="rId17"/>
    <sheet name="Sensitivity" sheetId="65" r:id="rId18"/>
    <sheet name="LoanInterest" sheetId="29" r:id="rId19"/>
    <sheet name="Anuitas Loan" sheetId="84" r:id="rId20"/>
    <sheet name="Loan Flat" sheetId="85" r:id="rId21"/>
    <sheet name="Depreciation" sheetId="33" r:id="rId22"/>
    <sheet name="TransportReference" sheetId="62" state="hidden" r:id="rId23"/>
    <sheet name="Lamp P&amp;L" sheetId="51" state="hidden" r:id="rId24"/>
    <sheet name="Lamp CF" sheetId="52" state="hidden" r:id="rId25"/>
    <sheet name="Theory" sheetId="40" state="hidden" r:id="rId26"/>
    <sheet name="FullCosting" sheetId="53" state="hidden" r:id="rId27"/>
    <sheet name="Costs&amp;Expenses" sheetId="54" state="hidden" r:id="rId28"/>
    <sheet name="CostChecking" sheetId="45" state="hidden" r:id="rId29"/>
    <sheet name="Cost" sheetId="4" state="hidden" r:id="rId30"/>
    <sheet name="Supply schedule" sheetId="79" state="hidden" r:id="rId31"/>
  </sheets>
  <externalReferences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Print_Area" localSheetId="19">'Anuitas Loan'!$A$1:$J$67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78" l="1"/>
  <c r="S8" i="41"/>
  <c r="N8" i="41"/>
  <c r="C14" i="50"/>
  <c r="C8" i="50"/>
  <c r="V7" i="74"/>
  <c r="C13" i="65"/>
  <c r="L10" i="38"/>
  <c r="AG11" i="60" l="1"/>
  <c r="AG12" i="60"/>
  <c r="AG13" i="60"/>
  <c r="AG14" i="60"/>
  <c r="AG15" i="60"/>
  <c r="AG16" i="60"/>
  <c r="AG17" i="60"/>
  <c r="AG18" i="60"/>
  <c r="AG19" i="60"/>
  <c r="AG20" i="60"/>
  <c r="AG21" i="60"/>
  <c r="AG10" i="60"/>
  <c r="AH11" i="60"/>
  <c r="AH12" i="60"/>
  <c r="AH13" i="60"/>
  <c r="AH14" i="60"/>
  <c r="AH15" i="60"/>
  <c r="AH16" i="60"/>
  <c r="AH17" i="60"/>
  <c r="AH18" i="60"/>
  <c r="AH19" i="60"/>
  <c r="AH20" i="60"/>
  <c r="AH21" i="60"/>
  <c r="AH10" i="60"/>
  <c r="C13" i="82"/>
  <c r="E47" i="75"/>
  <c r="O9" i="82" l="1"/>
  <c r="W24" i="38" l="1"/>
  <c r="D11" i="29"/>
  <c r="C11" i="50"/>
  <c r="H8" i="50"/>
  <c r="E24" i="20"/>
  <c r="E27" i="20" l="1"/>
  <c r="K75" i="85" l="1"/>
  <c r="P22" i="85"/>
  <c r="P21" i="85"/>
  <c r="P23" i="85" s="1"/>
  <c r="K10" i="60"/>
  <c r="AF10" i="60"/>
  <c r="F36" i="65"/>
  <c r="J35" i="65"/>
  <c r="J34" i="65"/>
  <c r="C34" i="65"/>
  <c r="F33" i="65" s="1"/>
  <c r="J32" i="65"/>
  <c r="F32" i="65"/>
  <c r="J31" i="65"/>
  <c r="R30" i="65"/>
  <c r="Q30" i="65"/>
  <c r="P30" i="65"/>
  <c r="O30" i="65"/>
  <c r="N30" i="65"/>
  <c r="M30" i="65"/>
  <c r="L30" i="65"/>
  <c r="K30" i="65"/>
  <c r="F34" i="65" l="1"/>
  <c r="F54" i="65"/>
  <c r="F115" i="65"/>
  <c r="J114" i="65"/>
  <c r="F114" i="65"/>
  <c r="J113" i="65"/>
  <c r="C113" i="65"/>
  <c r="F112" i="65" s="1"/>
  <c r="J111" i="65"/>
  <c r="F111" i="65"/>
  <c r="J110" i="65"/>
  <c r="R109" i="65"/>
  <c r="Q109" i="65"/>
  <c r="P109" i="65"/>
  <c r="O109" i="65"/>
  <c r="N109" i="65"/>
  <c r="M109" i="65"/>
  <c r="L109" i="65"/>
  <c r="K109" i="65"/>
  <c r="F95" i="65"/>
  <c r="J94" i="65"/>
  <c r="F94" i="65"/>
  <c r="J93" i="65"/>
  <c r="C93" i="65"/>
  <c r="F92" i="65" s="1"/>
  <c r="J91" i="65"/>
  <c r="F91" i="65"/>
  <c r="J90" i="65"/>
  <c r="R89" i="65"/>
  <c r="Q89" i="65"/>
  <c r="P89" i="65"/>
  <c r="O89" i="65"/>
  <c r="N89" i="65"/>
  <c r="M89" i="65"/>
  <c r="L89" i="65"/>
  <c r="K89" i="65"/>
  <c r="F75" i="65"/>
  <c r="J74" i="65"/>
  <c r="F74" i="65"/>
  <c r="J73" i="65"/>
  <c r="C73" i="65"/>
  <c r="F72" i="65" s="1"/>
  <c r="J71" i="65"/>
  <c r="F71" i="65"/>
  <c r="J70" i="65"/>
  <c r="R69" i="65"/>
  <c r="Q69" i="65"/>
  <c r="P69" i="65"/>
  <c r="O69" i="65"/>
  <c r="N69" i="65"/>
  <c r="M69" i="65"/>
  <c r="L69" i="65"/>
  <c r="K69" i="65"/>
  <c r="F55" i="65"/>
  <c r="J54" i="65"/>
  <c r="J53" i="65"/>
  <c r="C53" i="65"/>
  <c r="F52" i="65" s="1"/>
  <c r="J51" i="65"/>
  <c r="F51" i="65"/>
  <c r="J50" i="65"/>
  <c r="R49" i="65"/>
  <c r="Q49" i="65"/>
  <c r="P49" i="65"/>
  <c r="O49" i="65"/>
  <c r="N49" i="65"/>
  <c r="M49" i="65"/>
  <c r="L49" i="65"/>
  <c r="K49" i="65"/>
  <c r="K9" i="65"/>
  <c r="L9" i="65"/>
  <c r="M9" i="65"/>
  <c r="O9" i="65"/>
  <c r="P9" i="65"/>
  <c r="Q9" i="65"/>
  <c r="R9" i="65"/>
  <c r="N9" i="65"/>
  <c r="F113" i="65" l="1"/>
  <c r="F116" i="65" s="1"/>
  <c r="F118" i="65" s="1"/>
  <c r="F119" i="65" s="1"/>
  <c r="J109" i="65" s="1"/>
  <c r="F53" i="65"/>
  <c r="F56" i="65" s="1"/>
  <c r="F58" i="65" s="1"/>
  <c r="F59" i="65" s="1"/>
  <c r="J49" i="65" s="1"/>
  <c r="F93" i="65"/>
  <c r="F96" i="65" s="1"/>
  <c r="F98" i="65" s="1"/>
  <c r="F99" i="65" s="1"/>
  <c r="J89" i="65" s="1"/>
  <c r="F73" i="65"/>
  <c r="F76" i="65" s="1"/>
  <c r="F78" i="65" s="1"/>
  <c r="F79" i="65" s="1"/>
  <c r="J69" i="65" s="1"/>
  <c r="K75" i="84" l="1"/>
  <c r="F15" i="65" l="1"/>
  <c r="C9" i="82" l="1"/>
  <c r="H7" i="82" s="1"/>
  <c r="I8" i="82"/>
  <c r="I9" i="82" s="1"/>
  <c r="I10" i="82" s="1"/>
  <c r="I11" i="82" s="1"/>
  <c r="I12" i="82" s="1"/>
  <c r="I13" i="82" s="1"/>
  <c r="I14" i="82" s="1"/>
  <c r="I15" i="82" s="1"/>
  <c r="I16" i="82" s="1"/>
  <c r="G8" i="82"/>
  <c r="G9" i="82" s="1"/>
  <c r="G10" i="82" s="1"/>
  <c r="G11" i="82" s="1"/>
  <c r="G12" i="82" s="1"/>
  <c r="G13" i="82" s="1"/>
  <c r="G14" i="82" s="1"/>
  <c r="G15" i="82" s="1"/>
  <c r="G16" i="82" s="1"/>
  <c r="L7" i="82"/>
  <c r="K7" i="82"/>
  <c r="K8" i="82" s="1"/>
  <c r="K9" i="82" s="1"/>
  <c r="K10" i="82" s="1"/>
  <c r="K11" i="82" s="1"/>
  <c r="K12" i="82" s="1"/>
  <c r="K13" i="82" s="1"/>
  <c r="K14" i="82" s="1"/>
  <c r="K15" i="82" s="1"/>
  <c r="K16" i="82" s="1"/>
  <c r="J7" i="82"/>
  <c r="J8" i="82" s="1"/>
  <c r="J9" i="82" s="1"/>
  <c r="J10" i="82" s="1"/>
  <c r="J11" i="82" s="1"/>
  <c r="J12" i="82" s="1"/>
  <c r="J13" i="82" s="1"/>
  <c r="J14" i="82" s="1"/>
  <c r="J15" i="82" s="1"/>
  <c r="J16" i="82" s="1"/>
  <c r="I7" i="82"/>
  <c r="A2" i="82"/>
  <c r="A1" i="82"/>
  <c r="O10" i="82" l="1"/>
  <c r="C37" i="65" s="1"/>
  <c r="F35" i="65" s="1"/>
  <c r="F37" i="65" s="1"/>
  <c r="F39" i="65" s="1"/>
  <c r="F40" i="65" s="1"/>
  <c r="J30" i="65" s="1"/>
  <c r="AI10" i="60"/>
  <c r="C19" i="41"/>
  <c r="AE10" i="60"/>
  <c r="H8" i="82"/>
  <c r="H9" i="82" s="1"/>
  <c r="H10" i="82" s="1"/>
  <c r="H11" i="82" s="1"/>
  <c r="M7" i="82"/>
  <c r="M10" i="82" l="1"/>
  <c r="M9" i="82"/>
  <c r="M8" i="82"/>
  <c r="N7" i="82"/>
  <c r="H12" i="82"/>
  <c r="M11" i="82"/>
  <c r="M12" i="82" l="1"/>
  <c r="H13" i="82"/>
  <c r="H14" i="82" l="1"/>
  <c r="M13" i="82"/>
  <c r="M14" i="82" l="1"/>
  <c r="H15" i="82"/>
  <c r="H16" i="82" l="1"/>
  <c r="M16" i="82" s="1"/>
  <c r="M15" i="82"/>
  <c r="M17" i="82" l="1"/>
  <c r="F9" i="81"/>
  <c r="F10" i="81" s="1"/>
  <c r="F11" i="81" s="1"/>
  <c r="F12" i="81" s="1"/>
  <c r="F13" i="81" s="1"/>
  <c r="F14" i="81" s="1"/>
  <c r="F15" i="81" s="1"/>
  <c r="F16" i="81" s="1"/>
  <c r="F17" i="81" s="1"/>
  <c r="C9" i="81"/>
  <c r="A2" i="81"/>
  <c r="A1" i="81"/>
  <c r="B19" i="41" l="1"/>
  <c r="D12" i="29"/>
  <c r="L28" i="29"/>
  <c r="L29" i="29"/>
  <c r="L30" i="29"/>
  <c r="L31" i="29"/>
  <c r="K32" i="29"/>
  <c r="L32" i="29" s="1"/>
  <c r="AI9" i="60"/>
  <c r="AI22" i="60"/>
  <c r="E59" i="75" l="1"/>
  <c r="E60" i="75" s="1"/>
  <c r="P7" i="75" s="1"/>
  <c r="E15" i="75"/>
  <c r="P33" i="75"/>
  <c r="P34" i="75"/>
  <c r="P32" i="75"/>
  <c r="P31" i="75"/>
  <c r="N32" i="75"/>
  <c r="O32" i="75" s="1"/>
  <c r="N33" i="75"/>
  <c r="O33" i="75" s="1"/>
  <c r="N34" i="75"/>
  <c r="O34" i="75" s="1"/>
  <c r="N35" i="75"/>
  <c r="O35" i="75" s="1"/>
  <c r="N31" i="75"/>
  <c r="O31" i="75" s="1"/>
  <c r="O36" i="75" s="1"/>
  <c r="M36" i="75"/>
  <c r="I27" i="74"/>
  <c r="I23" i="74"/>
  <c r="C10" i="74"/>
  <c r="C61" i="20"/>
  <c r="I17" i="74" s="1"/>
  <c r="I15" i="74"/>
  <c r="C57" i="20"/>
  <c r="I9" i="74" s="1"/>
  <c r="G13" i="80"/>
  <c r="N36" i="75" l="1"/>
  <c r="J14" i="65"/>
  <c r="J13" i="65"/>
  <c r="F14" i="65"/>
  <c r="F12" i="65"/>
  <c r="J11" i="65"/>
  <c r="J10" i="65"/>
  <c r="F11" i="65"/>
  <c r="B19" i="46"/>
  <c r="F13" i="65" l="1"/>
  <c r="F16" i="65" l="1"/>
  <c r="F18" i="65" l="1"/>
  <c r="F19" i="65" s="1"/>
  <c r="J9" i="65" s="1"/>
  <c r="E64" i="75"/>
  <c r="E65" i="75" s="1"/>
  <c r="Q7" i="75" s="1"/>
  <c r="E9" i="75"/>
  <c r="E10" i="75" s="1"/>
  <c r="E11" i="75" s="1"/>
  <c r="K7" i="75" s="1"/>
  <c r="C14" i="74"/>
  <c r="I31" i="74"/>
  <c r="I30" i="74"/>
  <c r="I26" i="74"/>
  <c r="I28" i="74" s="1"/>
  <c r="E11" i="20"/>
  <c r="E15" i="20" s="1"/>
  <c r="E16" i="20" s="1"/>
  <c r="I22" i="74"/>
  <c r="C8" i="74"/>
  <c r="C11" i="74"/>
  <c r="I24" i="74" s="1"/>
  <c r="I25" i="74" s="1"/>
  <c r="D10" i="74"/>
  <c r="D11" i="74"/>
  <c r="I7" i="74"/>
  <c r="I18" i="74"/>
  <c r="I19" i="74" s="1"/>
  <c r="I16" i="74"/>
  <c r="I8" i="74"/>
  <c r="C12" i="80"/>
  <c r="C54" i="20"/>
  <c r="I10" i="74" s="1"/>
  <c r="I11" i="74" s="1"/>
  <c r="I12" i="74" s="1"/>
  <c r="I13" i="74" l="1"/>
  <c r="I14" i="74" s="1"/>
  <c r="N7" i="74" s="1"/>
  <c r="I29" i="74"/>
  <c r="Q7" i="74" s="1"/>
  <c r="I20" i="74"/>
  <c r="C8" i="81"/>
  <c r="G8" i="81" s="1"/>
  <c r="C8" i="28"/>
  <c r="G8" i="28" s="1"/>
  <c r="I32" i="74"/>
  <c r="N8" i="74"/>
  <c r="N9" i="74" s="1"/>
  <c r="N10" i="74" s="1"/>
  <c r="N11" i="74" s="1"/>
  <c r="N12" i="74" s="1"/>
  <c r="P7" i="74"/>
  <c r="O10" i="60" s="1"/>
  <c r="Y17" i="60"/>
  <c r="Y15" i="60"/>
  <c r="Y13" i="60"/>
  <c r="Y11" i="60"/>
  <c r="Y21" i="60"/>
  <c r="Y19" i="60"/>
  <c r="Q8" i="75"/>
  <c r="Q9" i="75" s="1"/>
  <c r="Q10" i="75" s="1"/>
  <c r="Q11" i="75" s="1"/>
  <c r="Q12" i="75" s="1"/>
  <c r="Q13" i="75" s="1"/>
  <c r="Q14" i="75" s="1"/>
  <c r="Q15" i="75" s="1"/>
  <c r="Q16" i="75" s="1"/>
  <c r="X21" i="60"/>
  <c r="X15" i="60"/>
  <c r="X12" i="60"/>
  <c r="X18" i="60"/>
  <c r="P8" i="75"/>
  <c r="P9" i="75" s="1"/>
  <c r="P10" i="75" s="1"/>
  <c r="P11" i="75" s="1"/>
  <c r="P12" i="75" s="1"/>
  <c r="P13" i="75" s="1"/>
  <c r="P14" i="75" s="1"/>
  <c r="P15" i="75" s="1"/>
  <c r="P16" i="75" s="1"/>
  <c r="E54" i="75"/>
  <c r="E48" i="75"/>
  <c r="E43" i="75"/>
  <c r="E44" i="75" s="1"/>
  <c r="S7" i="75" s="1"/>
  <c r="E38" i="75"/>
  <c r="E40" i="75" s="1"/>
  <c r="R7" i="75" s="1"/>
  <c r="E33" i="75"/>
  <c r="E27" i="75"/>
  <c r="E28" i="75" s="1"/>
  <c r="E29" i="75" s="1"/>
  <c r="N7" i="75" s="1"/>
  <c r="E21" i="75"/>
  <c r="E22" i="75" s="1"/>
  <c r="M7" i="75" s="1"/>
  <c r="E16" i="75"/>
  <c r="E17" i="75" s="1"/>
  <c r="E18" i="75" s="1"/>
  <c r="L7" i="75" s="1"/>
  <c r="I33" i="74" l="1"/>
  <c r="R7" i="74" s="1"/>
  <c r="I21" i="74"/>
  <c r="O7" i="74" s="1"/>
  <c r="Q17" i="75"/>
  <c r="H8" i="81"/>
  <c r="G9" i="81"/>
  <c r="G10" i="81" s="1"/>
  <c r="G11" i="81" s="1"/>
  <c r="G12" i="81" s="1"/>
  <c r="G13" i="81" s="1"/>
  <c r="G14" i="81" s="1"/>
  <c r="G15" i="81" s="1"/>
  <c r="G16" i="81" s="1"/>
  <c r="G17" i="81" s="1"/>
  <c r="E49" i="75"/>
  <c r="E34" i="75"/>
  <c r="E35" i="75" s="1"/>
  <c r="O7" i="75" s="1"/>
  <c r="Y22" i="60"/>
  <c r="E55" i="75"/>
  <c r="U7" i="75" s="1"/>
  <c r="AC10" i="60" s="1"/>
  <c r="P17" i="75"/>
  <c r="X22" i="60"/>
  <c r="U8" i="75" l="1"/>
  <c r="U9" i="75" s="1"/>
  <c r="U10" i="75" s="1"/>
  <c r="U11" i="75" s="1"/>
  <c r="U12" i="75" s="1"/>
  <c r="U13" i="75" s="1"/>
  <c r="U14" i="75" s="1"/>
  <c r="U15" i="75" s="1"/>
  <c r="U16" i="75" s="1"/>
  <c r="G19" i="81"/>
  <c r="G18" i="81"/>
  <c r="S7" i="74"/>
  <c r="C10" i="41" s="1"/>
  <c r="H9" i="81"/>
  <c r="H10" i="81" s="1"/>
  <c r="H11" i="81" s="1"/>
  <c r="H12" i="81" s="1"/>
  <c r="H13" i="81" s="1"/>
  <c r="H14" i="81" s="1"/>
  <c r="H15" i="81" s="1"/>
  <c r="H16" i="81" s="1"/>
  <c r="H17" i="81" s="1"/>
  <c r="E50" i="75"/>
  <c r="T7" i="75" s="1"/>
  <c r="AB10" i="60" s="1"/>
  <c r="T12" i="75"/>
  <c r="T13" i="75" s="1"/>
  <c r="T14" i="75" s="1"/>
  <c r="T15" i="75" s="1"/>
  <c r="T16" i="75" s="1"/>
  <c r="U17" i="75"/>
  <c r="D41" i="72"/>
  <c r="D42" i="72"/>
  <c r="H18" i="81" l="1"/>
  <c r="H19" i="81"/>
  <c r="D43" i="72"/>
  <c r="C14" i="78"/>
  <c r="C44" i="20"/>
  <c r="C15" i="78" s="1"/>
  <c r="E19" i="30" l="1"/>
  <c r="A1" i="75" l="1"/>
  <c r="A1" i="74"/>
  <c r="L25" i="46"/>
  <c r="H25" i="46"/>
  <c r="D9" i="29" l="1"/>
  <c r="N27" i="38"/>
  <c r="J22" i="60"/>
  <c r="AB22" i="60"/>
  <c r="H11" i="30"/>
  <c r="I11" i="30" s="1"/>
  <c r="I2" i="85" l="1"/>
  <c r="I2" i="84"/>
  <c r="B2" i="84" s="1"/>
  <c r="C9" i="50"/>
  <c r="D61" i="84" l="1"/>
  <c r="D58" i="84"/>
  <c r="D51" i="84"/>
  <c r="D63" i="84"/>
  <c r="D28" i="84"/>
  <c r="D9" i="84"/>
  <c r="AM17" i="60" s="1"/>
  <c r="D2" i="84"/>
  <c r="D19" i="84"/>
  <c r="D29" i="84"/>
  <c r="D59" i="84"/>
  <c r="D26" i="84"/>
  <c r="D20" i="84"/>
  <c r="D18" i="84"/>
  <c r="D12" i="84"/>
  <c r="AM20" i="60" s="1"/>
  <c r="D52" i="84"/>
  <c r="D55" i="84"/>
  <c r="D8" i="84"/>
  <c r="AM16" i="60" s="1"/>
  <c r="D25" i="84"/>
  <c r="D3" i="84"/>
  <c r="AM11" i="60" s="1"/>
  <c r="D39" i="84"/>
  <c r="D7" i="84"/>
  <c r="AM15" i="60" s="1"/>
  <c r="D33" i="84"/>
  <c r="D50" i="84"/>
  <c r="D43" i="84"/>
  <c r="C2" i="84"/>
  <c r="D10" i="84"/>
  <c r="AM18" i="60" s="1"/>
  <c r="D30" i="84"/>
  <c r="D23" i="84"/>
  <c r="D46" i="84"/>
  <c r="D56" i="84"/>
  <c r="D54" i="84"/>
  <c r="D15" i="84"/>
  <c r="D42" i="84"/>
  <c r="D11" i="84"/>
  <c r="AM19" i="60" s="1"/>
  <c r="D31" i="84"/>
  <c r="D13" i="84"/>
  <c r="AM21" i="60" s="1"/>
  <c r="D34" i="84"/>
  <c r="D57" i="84"/>
  <c r="D5" i="84"/>
  <c r="AM13" i="60" s="1"/>
  <c r="D24" i="84"/>
  <c r="D21" i="84"/>
  <c r="D49" i="84"/>
  <c r="D16" i="84"/>
  <c r="D38" i="84"/>
  <c r="D44" i="84"/>
  <c r="D17" i="84"/>
  <c r="D45" i="84"/>
  <c r="D6" i="84"/>
  <c r="AM14" i="60" s="1"/>
  <c r="D35" i="84"/>
  <c r="D32" i="84"/>
  <c r="D65" i="84"/>
  <c r="D22" i="84"/>
  <c r="D48" i="84"/>
  <c r="D4" i="84"/>
  <c r="AM12" i="60" s="1"/>
  <c r="D60" i="84"/>
  <c r="D37" i="84"/>
  <c r="D47" i="84"/>
  <c r="D64" i="84"/>
  <c r="D41" i="84"/>
  <c r="D53" i="84" s="1"/>
  <c r="D62" i="84"/>
  <c r="D36" i="84"/>
  <c r="F2" i="84"/>
  <c r="B3" i="84" s="1"/>
  <c r="D2" i="85"/>
  <c r="B2" i="85"/>
  <c r="D13" i="85"/>
  <c r="D26" i="85"/>
  <c r="D39" i="85"/>
  <c r="D52" i="85"/>
  <c r="D65" i="85"/>
  <c r="D15" i="85"/>
  <c r="D28" i="85"/>
  <c r="D41" i="85"/>
  <c r="D54" i="85"/>
  <c r="D3" i="85"/>
  <c r="D14" i="85" s="1"/>
  <c r="D16" i="85"/>
  <c r="D29" i="85"/>
  <c r="D42" i="85"/>
  <c r="D55" i="85"/>
  <c r="D4" i="85"/>
  <c r="D17" i="85"/>
  <c r="D30" i="85"/>
  <c r="D43" i="85"/>
  <c r="D56" i="85"/>
  <c r="D5" i="85"/>
  <c r="D18" i="85"/>
  <c r="D31" i="85"/>
  <c r="D44" i="85"/>
  <c r="D57" i="85"/>
  <c r="D6" i="85"/>
  <c r="D19" i="85"/>
  <c r="D32" i="85"/>
  <c r="D45" i="85"/>
  <c r="D58" i="85"/>
  <c r="D7" i="85"/>
  <c r="D20" i="85"/>
  <c r="D33" i="85"/>
  <c r="D46" i="85"/>
  <c r="D59" i="85"/>
  <c r="D8" i="85"/>
  <c r="D34" i="85"/>
  <c r="D47" i="85"/>
  <c r="D60" i="85"/>
  <c r="D9" i="85"/>
  <c r="D22" i="85"/>
  <c r="D35" i="85"/>
  <c r="D48" i="85"/>
  <c r="D61" i="85"/>
  <c r="D21" i="85"/>
  <c r="D10" i="85"/>
  <c r="D62" i="85"/>
  <c r="D11" i="85"/>
  <c r="D63" i="85"/>
  <c r="D12" i="85"/>
  <c r="D64" i="85"/>
  <c r="D23" i="85"/>
  <c r="D24" i="85"/>
  <c r="D25" i="85"/>
  <c r="D36" i="85"/>
  <c r="D37" i="85"/>
  <c r="D38" i="85"/>
  <c r="D49" i="85"/>
  <c r="D50" i="85"/>
  <c r="D51" i="85"/>
  <c r="B20" i="46"/>
  <c r="C9" i="77"/>
  <c r="S10" i="60"/>
  <c r="K8" i="75"/>
  <c r="D13" i="74"/>
  <c r="D12" i="74"/>
  <c r="C13" i="74"/>
  <c r="C12" i="74"/>
  <c r="B12" i="74"/>
  <c r="B13" i="74" s="1"/>
  <c r="B9" i="74"/>
  <c r="M26" i="74"/>
  <c r="M25" i="74"/>
  <c r="M24" i="74"/>
  <c r="M23" i="74"/>
  <c r="M22" i="74"/>
  <c r="R6" i="74"/>
  <c r="Q6" i="74"/>
  <c r="P6" i="74"/>
  <c r="C2" i="85" l="1"/>
  <c r="E2" i="85" s="1"/>
  <c r="C16" i="85"/>
  <c r="C29" i="85"/>
  <c r="E29" i="85" s="1"/>
  <c r="C42" i="85"/>
  <c r="E42" i="85" s="1"/>
  <c r="C55" i="85"/>
  <c r="E55" i="85" s="1"/>
  <c r="C3" i="85"/>
  <c r="C4" i="85"/>
  <c r="E4" i="85" s="1"/>
  <c r="C17" i="85"/>
  <c r="E17" i="85" s="1"/>
  <c r="C30" i="85"/>
  <c r="E30" i="85" s="1"/>
  <c r="C43" i="85"/>
  <c r="E43" i="85" s="1"/>
  <c r="C56" i="85"/>
  <c r="E56" i="85" s="1"/>
  <c r="C5" i="85"/>
  <c r="E5" i="85" s="1"/>
  <c r="C18" i="85"/>
  <c r="E18" i="85" s="1"/>
  <c r="C31" i="85"/>
  <c r="E31" i="85" s="1"/>
  <c r="C44" i="85"/>
  <c r="E44" i="85" s="1"/>
  <c r="C57" i="85"/>
  <c r="C6" i="85"/>
  <c r="E6" i="85" s="1"/>
  <c r="C19" i="85"/>
  <c r="E19" i="85" s="1"/>
  <c r="C32" i="85"/>
  <c r="E32" i="85" s="1"/>
  <c r="C45" i="85"/>
  <c r="E45" i="85" s="1"/>
  <c r="C58" i="85"/>
  <c r="E58" i="85" s="1"/>
  <c r="C7" i="85"/>
  <c r="E7" i="85" s="1"/>
  <c r="C20" i="85"/>
  <c r="E20" i="85" s="1"/>
  <c r="C33" i="85"/>
  <c r="E33" i="85" s="1"/>
  <c r="C46" i="85"/>
  <c r="E46" i="85" s="1"/>
  <c r="C59" i="85"/>
  <c r="E59" i="85" s="1"/>
  <c r="C8" i="85"/>
  <c r="E8" i="85" s="1"/>
  <c r="C21" i="85"/>
  <c r="E21" i="85" s="1"/>
  <c r="C34" i="85"/>
  <c r="E34" i="85" s="1"/>
  <c r="C47" i="85"/>
  <c r="E47" i="85" s="1"/>
  <c r="C60" i="85"/>
  <c r="E60" i="85" s="1"/>
  <c r="C9" i="85"/>
  <c r="E9" i="85" s="1"/>
  <c r="C22" i="85"/>
  <c r="E22" i="85" s="1"/>
  <c r="C35" i="85"/>
  <c r="E35" i="85" s="1"/>
  <c r="C48" i="85"/>
  <c r="C61" i="85"/>
  <c r="E61" i="85" s="1"/>
  <c r="C23" i="85"/>
  <c r="E23" i="85" s="1"/>
  <c r="C36" i="85"/>
  <c r="E36" i="85" s="1"/>
  <c r="C49" i="85"/>
  <c r="E49" i="85" s="1"/>
  <c r="C62" i="85"/>
  <c r="E62" i="85" s="1"/>
  <c r="C11" i="85"/>
  <c r="E11" i="85" s="1"/>
  <c r="C10" i="85"/>
  <c r="E10" i="85" s="1"/>
  <c r="C39" i="85"/>
  <c r="E39" i="85" s="1"/>
  <c r="C41" i="85"/>
  <c r="E41" i="85" s="1"/>
  <c r="C50" i="85"/>
  <c r="E50" i="85" s="1"/>
  <c r="C12" i="85"/>
  <c r="E12" i="85" s="1"/>
  <c r="C51" i="85"/>
  <c r="E51" i="85" s="1"/>
  <c r="C13" i="85"/>
  <c r="E13" i="85" s="1"/>
  <c r="C52" i="85"/>
  <c r="E52" i="85" s="1"/>
  <c r="C15" i="85"/>
  <c r="E15" i="85" s="1"/>
  <c r="C54" i="85"/>
  <c r="E54" i="85" s="1"/>
  <c r="C24" i="85"/>
  <c r="E24" i="85" s="1"/>
  <c r="C63" i="85"/>
  <c r="E63" i="85" s="1"/>
  <c r="C25" i="85"/>
  <c r="E25" i="85" s="1"/>
  <c r="C64" i="85"/>
  <c r="E64" i="85" s="1"/>
  <c r="C26" i="85"/>
  <c r="E26" i="85" s="1"/>
  <c r="C65" i="85"/>
  <c r="E65" i="85" s="1"/>
  <c r="C28" i="85"/>
  <c r="E28" i="85" s="1"/>
  <c r="C37" i="85"/>
  <c r="E37" i="85" s="1"/>
  <c r="C38" i="85"/>
  <c r="F2" i="85"/>
  <c r="B3" i="85" s="1"/>
  <c r="F3" i="85" s="1"/>
  <c r="B4" i="85" s="1"/>
  <c r="F4" i="85" s="1"/>
  <c r="B5" i="85" s="1"/>
  <c r="F5" i="85" s="1"/>
  <c r="B6" i="85" s="1"/>
  <c r="F6" i="85" s="1"/>
  <c r="B7" i="85" s="1"/>
  <c r="F7" i="85" s="1"/>
  <c r="B8" i="85" s="1"/>
  <c r="F8" i="85" s="1"/>
  <c r="B9" i="85" s="1"/>
  <c r="F9" i="85" s="1"/>
  <c r="B10" i="85" s="1"/>
  <c r="F10" i="85" s="1"/>
  <c r="B11" i="85" s="1"/>
  <c r="F11" i="85" s="1"/>
  <c r="B12" i="85" s="1"/>
  <c r="F12" i="85" s="1"/>
  <c r="B13" i="85" s="1"/>
  <c r="F13" i="85" s="1"/>
  <c r="B15" i="85" s="1"/>
  <c r="F15" i="85" s="1"/>
  <c r="B16" i="85" s="1"/>
  <c r="F16" i="85" s="1"/>
  <c r="B17" i="85" s="1"/>
  <c r="F17" i="85" s="1"/>
  <c r="B18" i="85" s="1"/>
  <c r="F18" i="85" s="1"/>
  <c r="B19" i="85" s="1"/>
  <c r="F19" i="85" s="1"/>
  <c r="B20" i="85" s="1"/>
  <c r="F20" i="85" s="1"/>
  <c r="B21" i="85" s="1"/>
  <c r="F21" i="85" s="1"/>
  <c r="B22" i="85" s="1"/>
  <c r="F22" i="85" s="1"/>
  <c r="B23" i="85" s="1"/>
  <c r="F23" i="85" s="1"/>
  <c r="B24" i="85" s="1"/>
  <c r="F24" i="85" s="1"/>
  <c r="B25" i="85" s="1"/>
  <c r="F25" i="85" s="1"/>
  <c r="B26" i="85" s="1"/>
  <c r="F26" i="85" s="1"/>
  <c r="B28" i="85" s="1"/>
  <c r="F28" i="85" s="1"/>
  <c r="B29" i="85" s="1"/>
  <c r="F29" i="85" s="1"/>
  <c r="B30" i="85" s="1"/>
  <c r="F30" i="85" s="1"/>
  <c r="B31" i="85" s="1"/>
  <c r="F31" i="85" s="1"/>
  <c r="B32" i="85" s="1"/>
  <c r="F32" i="85" s="1"/>
  <c r="B33" i="85" s="1"/>
  <c r="F33" i="85" s="1"/>
  <c r="B34" i="85" s="1"/>
  <c r="F34" i="85" s="1"/>
  <c r="B35" i="85" s="1"/>
  <c r="F35" i="85" s="1"/>
  <c r="B36" i="85" s="1"/>
  <c r="F36" i="85" s="1"/>
  <c r="B37" i="85" s="1"/>
  <c r="F37" i="85" s="1"/>
  <c r="B38" i="85" s="1"/>
  <c r="F38" i="85" s="1"/>
  <c r="B39" i="85" s="1"/>
  <c r="F39" i="85" s="1"/>
  <c r="B41" i="85" s="1"/>
  <c r="F41" i="85" s="1"/>
  <c r="B42" i="85" s="1"/>
  <c r="F42" i="85" s="1"/>
  <c r="B43" i="85" s="1"/>
  <c r="F43" i="85" s="1"/>
  <c r="B44" i="85" s="1"/>
  <c r="F44" i="85" s="1"/>
  <c r="B45" i="85" s="1"/>
  <c r="F45" i="85" s="1"/>
  <c r="B46" i="85" s="1"/>
  <c r="F46" i="85" s="1"/>
  <c r="B47" i="85" s="1"/>
  <c r="F47" i="85" s="1"/>
  <c r="B48" i="85" s="1"/>
  <c r="F48" i="85" s="1"/>
  <c r="B49" i="85" s="1"/>
  <c r="F49" i="85" s="1"/>
  <c r="B50" i="85" s="1"/>
  <c r="F50" i="85" s="1"/>
  <c r="B51" i="85" s="1"/>
  <c r="F51" i="85" s="1"/>
  <c r="B52" i="85" s="1"/>
  <c r="F52" i="85" s="1"/>
  <c r="B54" i="85" s="1"/>
  <c r="F54" i="85" s="1"/>
  <c r="B55" i="85" s="1"/>
  <c r="F55" i="85" s="1"/>
  <c r="B56" i="85" s="1"/>
  <c r="F56" i="85" s="1"/>
  <c r="B57" i="85" s="1"/>
  <c r="F57" i="85" s="1"/>
  <c r="B58" i="85" s="1"/>
  <c r="F58" i="85" s="1"/>
  <c r="B59" i="85" s="1"/>
  <c r="F59" i="85" s="1"/>
  <c r="B60" i="85" s="1"/>
  <c r="F60" i="85" s="1"/>
  <c r="B61" i="85" s="1"/>
  <c r="F61" i="85" s="1"/>
  <c r="B62" i="85" s="1"/>
  <c r="F62" i="85" s="1"/>
  <c r="B63" i="85" s="1"/>
  <c r="F63" i="85" s="1"/>
  <c r="B64" i="85" s="1"/>
  <c r="F64" i="85" s="1"/>
  <c r="B65" i="85" s="1"/>
  <c r="F65" i="85" s="1"/>
  <c r="D27" i="85"/>
  <c r="D27" i="84"/>
  <c r="AM10" i="60"/>
  <c r="D14" i="84"/>
  <c r="AL10" i="60"/>
  <c r="AN10" i="60" s="1"/>
  <c r="E2" i="84"/>
  <c r="J12" i="29"/>
  <c r="J9" i="29"/>
  <c r="J10" i="29"/>
  <c r="J11" i="29"/>
  <c r="J8" i="29"/>
  <c r="D40" i="85"/>
  <c r="D66" i="84"/>
  <c r="D66" i="85"/>
  <c r="AM22" i="60"/>
  <c r="D53" i="85"/>
  <c r="D40" i="84"/>
  <c r="C3" i="84"/>
  <c r="F3" i="84"/>
  <c r="B4" i="84" s="1"/>
  <c r="K9" i="75"/>
  <c r="S11" i="60"/>
  <c r="C14" i="85" l="1"/>
  <c r="E3" i="85"/>
  <c r="E14" i="85" s="1"/>
  <c r="C40" i="85"/>
  <c r="E38" i="85"/>
  <c r="E40" i="85" s="1"/>
  <c r="AL11" i="60"/>
  <c r="E3" i="84"/>
  <c r="C66" i="85"/>
  <c r="E57" i="85"/>
  <c r="E66" i="85" s="1"/>
  <c r="C53" i="85"/>
  <c r="E48" i="85"/>
  <c r="E53" i="85" s="1"/>
  <c r="F4" i="84"/>
  <c r="B5" i="84" s="1"/>
  <c r="C4" i="84"/>
  <c r="C27" i="85"/>
  <c r="E16" i="85"/>
  <c r="E27" i="85" s="1"/>
  <c r="S12" i="60"/>
  <c r="K10" i="75"/>
  <c r="O6" i="74"/>
  <c r="N6" i="74"/>
  <c r="D7" i="74"/>
  <c r="D9" i="74"/>
  <c r="B7" i="74"/>
  <c r="E38" i="20"/>
  <c r="L9" i="29" l="1"/>
  <c r="L10" i="29"/>
  <c r="M10" i="29" s="1"/>
  <c r="L11" i="29"/>
  <c r="M11" i="29" s="1"/>
  <c r="L12" i="29"/>
  <c r="L8" i="29"/>
  <c r="M8" i="29" s="1"/>
  <c r="AL12" i="60"/>
  <c r="E4" i="84"/>
  <c r="F5" i="84"/>
  <c r="B6" i="84" s="1"/>
  <c r="C5" i="84"/>
  <c r="K11" i="75"/>
  <c r="O11" i="60"/>
  <c r="O12" i="60" s="1"/>
  <c r="O13" i="60" s="1"/>
  <c r="O14" i="60" s="1"/>
  <c r="O15" i="60" s="1"/>
  <c r="O16" i="60" s="1"/>
  <c r="O17" i="60" s="1"/>
  <c r="O18" i="60" s="1"/>
  <c r="O19" i="60" s="1"/>
  <c r="O20" i="60" s="1"/>
  <c r="O21" i="60" s="1"/>
  <c r="S13" i="60"/>
  <c r="E5" i="84" l="1"/>
  <c r="AL13" i="60"/>
  <c r="F6" i="84"/>
  <c r="B7" i="84" s="1"/>
  <c r="C6" i="84"/>
  <c r="O22" i="60"/>
  <c r="S14" i="60"/>
  <c r="K12" i="75"/>
  <c r="AL14" i="60" l="1"/>
  <c r="E6" i="84"/>
  <c r="F7" i="84"/>
  <c r="B8" i="84" s="1"/>
  <c r="C7" i="84"/>
  <c r="K13" i="75"/>
  <c r="S15" i="60"/>
  <c r="H10" i="30"/>
  <c r="E7" i="84" l="1"/>
  <c r="AL15" i="60"/>
  <c r="F8" i="84"/>
  <c r="B9" i="84" s="1"/>
  <c r="C8" i="84"/>
  <c r="S16" i="60"/>
  <c r="K14" i="75"/>
  <c r="J15" i="29"/>
  <c r="I25" i="46" s="1"/>
  <c r="C9" i="28"/>
  <c r="H8" i="28" s="1"/>
  <c r="C8" i="41" s="1"/>
  <c r="O37" i="79"/>
  <c r="J37" i="79"/>
  <c r="T31" i="79"/>
  <c r="T32" i="79" s="1"/>
  <c r="T33" i="79" s="1"/>
  <c r="T34" i="79" s="1"/>
  <c r="T35" i="79" s="1"/>
  <c r="T36" i="79" s="1"/>
  <c r="T37" i="79" s="1"/>
  <c r="O31" i="79"/>
  <c r="O32" i="79" s="1"/>
  <c r="O33" i="79" s="1"/>
  <c r="O34" i="79" s="1"/>
  <c r="O35" i="79" s="1"/>
  <c r="O36" i="79" s="1"/>
  <c r="J31" i="79"/>
  <c r="J32" i="79" s="1"/>
  <c r="J33" i="79" s="1"/>
  <c r="J34" i="79" s="1"/>
  <c r="J35" i="79" s="1"/>
  <c r="J36" i="79" s="1"/>
  <c r="V30" i="79"/>
  <c r="O25" i="79"/>
  <c r="O26" i="79" s="1"/>
  <c r="O27" i="79" s="1"/>
  <c r="O28" i="79" s="1"/>
  <c r="O29" i="79" s="1"/>
  <c r="O30" i="79" s="1"/>
  <c r="J25" i="79"/>
  <c r="J26" i="79" s="1"/>
  <c r="J27" i="79" s="1"/>
  <c r="J28" i="79" s="1"/>
  <c r="J29" i="79" s="1"/>
  <c r="J30" i="79" s="1"/>
  <c r="T20" i="79"/>
  <c r="T21" i="79" s="1"/>
  <c r="T22" i="79" s="1"/>
  <c r="T23" i="79" s="1"/>
  <c r="T24" i="79" s="1"/>
  <c r="T25" i="79" s="1"/>
  <c r="T26" i="79" s="1"/>
  <c r="T27" i="79" s="1"/>
  <c r="T28" i="79" s="1"/>
  <c r="T29" i="79" s="1"/>
  <c r="T30" i="79" s="1"/>
  <c r="O20" i="79"/>
  <c r="O21" i="79" s="1"/>
  <c r="O22" i="79" s="1"/>
  <c r="O23" i="79" s="1"/>
  <c r="O24" i="79" s="1"/>
  <c r="J20" i="79"/>
  <c r="J21" i="79" s="1"/>
  <c r="J22" i="79" s="1"/>
  <c r="J23" i="79" s="1"/>
  <c r="J24" i="79" s="1"/>
  <c r="O14" i="79"/>
  <c r="O15" i="79" s="1"/>
  <c r="O16" i="79" s="1"/>
  <c r="O17" i="79" s="1"/>
  <c r="O18" i="79" s="1"/>
  <c r="J14" i="79"/>
  <c r="J15" i="79" s="1"/>
  <c r="J16" i="79" s="1"/>
  <c r="J17" i="79" s="1"/>
  <c r="J18" i="79" s="1"/>
  <c r="C10" i="79"/>
  <c r="Q9" i="79"/>
  <c r="Q10" i="79" s="1"/>
  <c r="E9" i="79"/>
  <c r="E10" i="79" s="1"/>
  <c r="R8" i="79"/>
  <c r="M8" i="79"/>
  <c r="M9" i="79" s="1"/>
  <c r="M10" i="79" s="1"/>
  <c r="J8" i="79"/>
  <c r="J9" i="79" s="1"/>
  <c r="H8" i="79"/>
  <c r="H9" i="79" s="1"/>
  <c r="H10" i="79" s="1"/>
  <c r="D8" i="79"/>
  <c r="D9" i="79" s="1"/>
  <c r="A2" i="79"/>
  <c r="A1" i="79"/>
  <c r="E8" i="84" l="1"/>
  <c r="AL16" i="60"/>
  <c r="F9" i="84"/>
  <c r="B10" i="84" s="1"/>
  <c r="C9" i="84"/>
  <c r="K15" i="75"/>
  <c r="S17" i="60"/>
  <c r="R9" i="79"/>
  <c r="R10" i="79" s="1"/>
  <c r="T10" i="79" s="1"/>
  <c r="D10" i="79"/>
  <c r="O10" i="79"/>
  <c r="O11" i="79" s="1"/>
  <c r="O12" i="79" s="1"/>
  <c r="O13" i="79" s="1"/>
  <c r="M11" i="79"/>
  <c r="M12" i="79" s="1"/>
  <c r="M13" i="79" s="1"/>
  <c r="M14" i="79" s="1"/>
  <c r="M15" i="79" s="1"/>
  <c r="M16" i="79" s="1"/>
  <c r="M17" i="79" s="1"/>
  <c r="M18" i="79" s="1"/>
  <c r="M19" i="79" s="1"/>
  <c r="M20" i="79" s="1"/>
  <c r="M21" i="79" s="1"/>
  <c r="M22" i="79" s="1"/>
  <c r="M23" i="79" s="1"/>
  <c r="M24" i="79" s="1"/>
  <c r="M25" i="79" s="1"/>
  <c r="M26" i="79" s="1"/>
  <c r="M27" i="79" s="1"/>
  <c r="M28" i="79" s="1"/>
  <c r="M29" i="79" s="1"/>
  <c r="M30" i="79" s="1"/>
  <c r="M31" i="79" s="1"/>
  <c r="M32" i="79" s="1"/>
  <c r="M33" i="79" s="1"/>
  <c r="M34" i="79" s="1"/>
  <c r="M35" i="79" s="1"/>
  <c r="M36" i="79" s="1"/>
  <c r="M37" i="79" s="1"/>
  <c r="N103" i="79" s="1"/>
  <c r="H11" i="79"/>
  <c r="H12" i="79" s="1"/>
  <c r="H13" i="79" s="1"/>
  <c r="H14" i="79" s="1"/>
  <c r="H15" i="79" s="1"/>
  <c r="H16" i="79" s="1"/>
  <c r="H17" i="79" s="1"/>
  <c r="H18" i="79" s="1"/>
  <c r="H19" i="79" s="1"/>
  <c r="H20" i="79" s="1"/>
  <c r="H21" i="79" s="1"/>
  <c r="H22" i="79" s="1"/>
  <c r="H23" i="79" s="1"/>
  <c r="H24" i="79" s="1"/>
  <c r="H25" i="79" s="1"/>
  <c r="H26" i="79" s="1"/>
  <c r="H27" i="79" s="1"/>
  <c r="H28" i="79" s="1"/>
  <c r="H29" i="79" s="1"/>
  <c r="H30" i="79" s="1"/>
  <c r="H31" i="79" s="1"/>
  <c r="H32" i="79" s="1"/>
  <c r="H33" i="79" s="1"/>
  <c r="H34" i="79" s="1"/>
  <c r="H35" i="79" s="1"/>
  <c r="H36" i="79" s="1"/>
  <c r="H37" i="79" s="1"/>
  <c r="I103" i="79" s="1"/>
  <c r="J10" i="79"/>
  <c r="J11" i="79" s="1"/>
  <c r="J12" i="79" s="1"/>
  <c r="J13" i="79" s="1"/>
  <c r="Q11" i="79"/>
  <c r="C11" i="79"/>
  <c r="E9" i="84" l="1"/>
  <c r="AL17" i="60"/>
  <c r="F10" i="84"/>
  <c r="B11" i="84" s="1"/>
  <c r="C10" i="84"/>
  <c r="D11" i="79"/>
  <c r="D12" i="79" s="1"/>
  <c r="D13" i="79" s="1"/>
  <c r="D14" i="79" s="1"/>
  <c r="D15" i="79" s="1"/>
  <c r="D16" i="79" s="1"/>
  <c r="D17" i="79" s="1"/>
  <c r="D18" i="79" s="1"/>
  <c r="D19" i="79" s="1"/>
  <c r="D20" i="79" s="1"/>
  <c r="D21" i="79" s="1"/>
  <c r="D22" i="79" s="1"/>
  <c r="D23" i="79" s="1"/>
  <c r="D24" i="79" s="1"/>
  <c r="D25" i="79" s="1"/>
  <c r="D26" i="79" s="1"/>
  <c r="D27" i="79" s="1"/>
  <c r="D28" i="79" s="1"/>
  <c r="D29" i="79" s="1"/>
  <c r="D30" i="79" s="1"/>
  <c r="D31" i="79" s="1"/>
  <c r="D32" i="79" s="1"/>
  <c r="D33" i="79" s="1"/>
  <c r="D34" i="79" s="1"/>
  <c r="D35" i="79" s="1"/>
  <c r="D36" i="79" s="1"/>
  <c r="D37" i="79" s="1"/>
  <c r="D38" i="79" s="1"/>
  <c r="D39" i="79" s="1"/>
  <c r="D40" i="79" s="1"/>
  <c r="D41" i="79" s="1"/>
  <c r="D42" i="79" s="1"/>
  <c r="D43" i="79" s="1"/>
  <c r="D44" i="79" s="1"/>
  <c r="D45" i="79" s="1"/>
  <c r="D46" i="79" s="1"/>
  <c r="D47" i="79" s="1"/>
  <c r="D48" i="79" s="1"/>
  <c r="D49" i="79" s="1"/>
  <c r="D50" i="79" s="1"/>
  <c r="D51" i="79" s="1"/>
  <c r="D52" i="79" s="1"/>
  <c r="D53" i="79" s="1"/>
  <c r="D54" i="79" s="1"/>
  <c r="D55" i="79" s="1"/>
  <c r="D56" i="79" s="1"/>
  <c r="D57" i="79" s="1"/>
  <c r="D58" i="79" s="1"/>
  <c r="D59" i="79" s="1"/>
  <c r="D60" i="79" s="1"/>
  <c r="D61" i="79" s="1"/>
  <c r="D62" i="79" s="1"/>
  <c r="D63" i="79" s="1"/>
  <c r="D64" i="79" s="1"/>
  <c r="D65" i="79" s="1"/>
  <c r="D66" i="79" s="1"/>
  <c r="D67" i="79" s="1"/>
  <c r="D68" i="79" s="1"/>
  <c r="D69" i="79" s="1"/>
  <c r="D70" i="79" s="1"/>
  <c r="D71" i="79" s="1"/>
  <c r="D72" i="79" s="1"/>
  <c r="D73" i="79" s="1"/>
  <c r="D74" i="79" s="1"/>
  <c r="D75" i="79" s="1"/>
  <c r="D76" i="79" s="1"/>
  <c r="D77" i="79" s="1"/>
  <c r="D78" i="79" s="1"/>
  <c r="D79" i="79" s="1"/>
  <c r="D80" i="79" s="1"/>
  <c r="D81" i="79" s="1"/>
  <c r="D82" i="79" s="1"/>
  <c r="D83" i="79" s="1"/>
  <c r="D84" i="79" s="1"/>
  <c r="D85" i="79" s="1"/>
  <c r="D86" i="79" s="1"/>
  <c r="D87" i="79" s="1"/>
  <c r="D88" i="79" s="1"/>
  <c r="D89" i="79" s="1"/>
  <c r="D90" i="79" s="1"/>
  <c r="D91" i="79" s="1"/>
  <c r="D92" i="79" s="1"/>
  <c r="D93" i="79" s="1"/>
  <c r="D94" i="79" s="1"/>
  <c r="D95" i="79" s="1"/>
  <c r="D96" i="79" s="1"/>
  <c r="D97" i="79" s="1"/>
  <c r="D98" i="79" s="1"/>
  <c r="S18" i="60"/>
  <c r="K16" i="75"/>
  <c r="R11" i="79"/>
  <c r="R12" i="79" s="1"/>
  <c r="R13" i="79" s="1"/>
  <c r="R14" i="79" s="1"/>
  <c r="R15" i="79" s="1"/>
  <c r="R16" i="79" s="1"/>
  <c r="R17" i="79" s="1"/>
  <c r="R18" i="79" s="1"/>
  <c r="R19" i="79" s="1"/>
  <c r="R20" i="79" s="1"/>
  <c r="R21" i="79" s="1"/>
  <c r="R22" i="79" s="1"/>
  <c r="R23" i="79" s="1"/>
  <c r="R24" i="79" s="1"/>
  <c r="R25" i="79" s="1"/>
  <c r="R26" i="79" s="1"/>
  <c r="R27" i="79" s="1"/>
  <c r="R28" i="79" s="1"/>
  <c r="R29" i="79" s="1"/>
  <c r="R30" i="79" s="1"/>
  <c r="R31" i="79" s="1"/>
  <c r="R32" i="79" s="1"/>
  <c r="R33" i="79" s="1"/>
  <c r="R34" i="79" s="1"/>
  <c r="R35" i="79" s="1"/>
  <c r="R36" i="79" s="1"/>
  <c r="R37" i="79" s="1"/>
  <c r="S103" i="79" s="1"/>
  <c r="T11" i="79"/>
  <c r="T12" i="79" s="1"/>
  <c r="T13" i="79" s="1"/>
  <c r="T14" i="79" s="1"/>
  <c r="T15" i="79" s="1"/>
  <c r="T16" i="79" s="1"/>
  <c r="T17" i="79" s="1"/>
  <c r="T18" i="79" s="1"/>
  <c r="E11" i="79"/>
  <c r="E12" i="79" s="1"/>
  <c r="E13" i="79" s="1"/>
  <c r="E14" i="79" s="1"/>
  <c r="E15" i="79" s="1"/>
  <c r="E16" i="79" s="1"/>
  <c r="E17" i="79" s="1"/>
  <c r="E18" i="79" s="1"/>
  <c r="E19" i="79" s="1"/>
  <c r="E20" i="79" s="1"/>
  <c r="E21" i="79" s="1"/>
  <c r="E22" i="79" s="1"/>
  <c r="E23" i="79" s="1"/>
  <c r="E24" i="79" s="1"/>
  <c r="E25" i="79" s="1"/>
  <c r="E26" i="79" s="1"/>
  <c r="E27" i="79" s="1"/>
  <c r="E28" i="79" s="1"/>
  <c r="E29" i="79" s="1"/>
  <c r="E30" i="79" s="1"/>
  <c r="E31" i="79" s="1"/>
  <c r="E32" i="79" s="1"/>
  <c r="E33" i="79" s="1"/>
  <c r="E34" i="79" s="1"/>
  <c r="E35" i="79" s="1"/>
  <c r="E36" i="79" s="1"/>
  <c r="E37" i="79" s="1"/>
  <c r="E38" i="79" s="1"/>
  <c r="E39" i="79" s="1"/>
  <c r="E40" i="79" s="1"/>
  <c r="E41" i="79" s="1"/>
  <c r="E42" i="79" s="1"/>
  <c r="E43" i="79" s="1"/>
  <c r="E44" i="79" s="1"/>
  <c r="E45" i="79" s="1"/>
  <c r="E46" i="79" s="1"/>
  <c r="E47" i="79" s="1"/>
  <c r="E48" i="79" s="1"/>
  <c r="E49" i="79" s="1"/>
  <c r="E50" i="79" s="1"/>
  <c r="E51" i="79" s="1"/>
  <c r="E52" i="79" s="1"/>
  <c r="E53" i="79" s="1"/>
  <c r="E54" i="79" s="1"/>
  <c r="E55" i="79" s="1"/>
  <c r="E56" i="79" s="1"/>
  <c r="E57" i="79" s="1"/>
  <c r="E58" i="79" s="1"/>
  <c r="E59" i="79" s="1"/>
  <c r="E60" i="79" s="1"/>
  <c r="E61" i="79" s="1"/>
  <c r="E62" i="79" s="1"/>
  <c r="E63" i="79" s="1"/>
  <c r="E64" i="79" s="1"/>
  <c r="E65" i="79" s="1"/>
  <c r="E66" i="79" s="1"/>
  <c r="E67" i="79" s="1"/>
  <c r="E68" i="79" s="1"/>
  <c r="E69" i="79" s="1"/>
  <c r="E70" i="79" s="1"/>
  <c r="E71" i="79" s="1"/>
  <c r="E72" i="79" s="1"/>
  <c r="E73" i="79" s="1"/>
  <c r="E74" i="79" s="1"/>
  <c r="E75" i="79" s="1"/>
  <c r="E76" i="79" s="1"/>
  <c r="E77" i="79" s="1"/>
  <c r="E78" i="79" s="1"/>
  <c r="E79" i="79" s="1"/>
  <c r="E80" i="79" s="1"/>
  <c r="E81" i="79" s="1"/>
  <c r="E82" i="79" s="1"/>
  <c r="E83" i="79" s="1"/>
  <c r="E84" i="79" s="1"/>
  <c r="E85" i="79" s="1"/>
  <c r="E86" i="79" s="1"/>
  <c r="E87" i="79" s="1"/>
  <c r="E88" i="79" s="1"/>
  <c r="E89" i="79" s="1"/>
  <c r="E90" i="79" s="1"/>
  <c r="E91" i="79" s="1"/>
  <c r="E92" i="79" s="1"/>
  <c r="E93" i="79" s="1"/>
  <c r="E94" i="79" s="1"/>
  <c r="E95" i="79" s="1"/>
  <c r="E96" i="79" s="1"/>
  <c r="E97" i="79" s="1"/>
  <c r="E98" i="79" s="1"/>
  <c r="AL18" i="60" l="1"/>
  <c r="E10" i="84"/>
  <c r="F11" i="84"/>
  <c r="B12" i="84" s="1"/>
  <c r="C11" i="84"/>
  <c r="S19" i="60"/>
  <c r="E11" i="84" l="1"/>
  <c r="AL19" i="60"/>
  <c r="F12" i="84"/>
  <c r="B13" i="84" s="1"/>
  <c r="C12" i="84"/>
  <c r="S20" i="60"/>
  <c r="D7" i="77"/>
  <c r="E7" i="77" s="1"/>
  <c r="F7" i="77" s="1"/>
  <c r="G7" i="77" s="1"/>
  <c r="H7" i="77" s="1"/>
  <c r="I7" i="77" s="1"/>
  <c r="J7" i="77" s="1"/>
  <c r="K7" i="77" s="1"/>
  <c r="L7" i="77" s="1"/>
  <c r="E12" i="84" l="1"/>
  <c r="AL20" i="60"/>
  <c r="F13" i="84"/>
  <c r="B15" i="84" s="1"/>
  <c r="C13" i="84"/>
  <c r="S21" i="60"/>
  <c r="B24" i="46"/>
  <c r="AL21" i="60" l="1"/>
  <c r="AL22" i="60" s="1"/>
  <c r="E13" i="84"/>
  <c r="C14" i="84"/>
  <c r="E14" i="84" s="1"/>
  <c r="F15" i="84"/>
  <c r="B16" i="84" s="1"/>
  <c r="C15" i="84"/>
  <c r="S22" i="60"/>
  <c r="B9" i="33"/>
  <c r="B8" i="33"/>
  <c r="D14" i="29"/>
  <c r="D40" i="72"/>
  <c r="D39" i="72"/>
  <c r="D37" i="72"/>
  <c r="P17" i="72"/>
  <c r="A2" i="72"/>
  <c r="E15" i="84" l="1"/>
  <c r="F16" i="84"/>
  <c r="B17" i="84" s="1"/>
  <c r="C16" i="84"/>
  <c r="E16" i="84" s="1"/>
  <c r="AN11" i="60"/>
  <c r="T17" i="75"/>
  <c r="Q8" i="74"/>
  <c r="Q9" i="74" s="1"/>
  <c r="Q10" i="74" s="1"/>
  <c r="Q11" i="74" s="1"/>
  <c r="Q12" i="74" s="1"/>
  <c r="Q13" i="74" s="1"/>
  <c r="Q14" i="74" s="1"/>
  <c r="Q15" i="74" s="1"/>
  <c r="Q16" i="74" s="1"/>
  <c r="P10" i="60"/>
  <c r="O8" i="74"/>
  <c r="O9" i="74" s="1"/>
  <c r="O10" i="74" s="1"/>
  <c r="O11" i="74" s="1"/>
  <c r="O12" i="74" s="1"/>
  <c r="O13" i="74" s="1"/>
  <c r="O14" i="74" s="1"/>
  <c r="O15" i="74" s="1"/>
  <c r="O16" i="74" s="1"/>
  <c r="N10" i="60"/>
  <c r="R8" i="74"/>
  <c r="R9" i="74" s="1"/>
  <c r="R10" i="74" s="1"/>
  <c r="R11" i="74" s="1"/>
  <c r="R12" i="74" s="1"/>
  <c r="R13" i="74" s="1"/>
  <c r="R14" i="74" s="1"/>
  <c r="R15" i="74" s="1"/>
  <c r="R16" i="74" s="1"/>
  <c r="Q10" i="60"/>
  <c r="P8" i="74"/>
  <c r="F17" i="84" l="1"/>
  <c r="B18" i="84" s="1"/>
  <c r="C17" i="84"/>
  <c r="E17" i="84" s="1"/>
  <c r="Q11" i="60"/>
  <c r="Q12" i="60" s="1"/>
  <c r="Q13" i="60" s="1"/>
  <c r="Q14" i="60" s="1"/>
  <c r="Q15" i="60" s="1"/>
  <c r="Q16" i="60" s="1"/>
  <c r="Q17" i="60" s="1"/>
  <c r="Q18" i="60" s="1"/>
  <c r="Q19" i="60" s="1"/>
  <c r="Q20" i="60" s="1"/>
  <c r="Q21" i="60" s="1"/>
  <c r="N11" i="60"/>
  <c r="N12" i="60" s="1"/>
  <c r="N13" i="60" s="1"/>
  <c r="N14" i="60" s="1"/>
  <c r="N15" i="60" s="1"/>
  <c r="N16" i="60" s="1"/>
  <c r="N17" i="60" s="1"/>
  <c r="N18" i="60" s="1"/>
  <c r="N19" i="60" s="1"/>
  <c r="N20" i="60" s="1"/>
  <c r="N21" i="60" s="1"/>
  <c r="P11" i="60"/>
  <c r="P12" i="60" s="1"/>
  <c r="P13" i="60" s="1"/>
  <c r="P14" i="60" s="1"/>
  <c r="P15" i="60" s="1"/>
  <c r="P16" i="60" s="1"/>
  <c r="P17" i="60" s="1"/>
  <c r="P18" i="60" s="1"/>
  <c r="P19" i="60" s="1"/>
  <c r="P20" i="60" s="1"/>
  <c r="P21" i="60" s="1"/>
  <c r="P9" i="74"/>
  <c r="D13" i="29"/>
  <c r="F18" i="84" l="1"/>
  <c r="B19" i="84" s="1"/>
  <c r="C18" i="84"/>
  <c r="T7" i="74"/>
  <c r="U7" i="74" s="1"/>
  <c r="P22" i="60"/>
  <c r="N22" i="60"/>
  <c r="Q22" i="60"/>
  <c r="M10" i="60"/>
  <c r="R10" i="60" s="1"/>
  <c r="P10" i="74"/>
  <c r="C16" i="41"/>
  <c r="E18" i="84" l="1"/>
  <c r="F19" i="84"/>
  <c r="B20" i="84" s="1"/>
  <c r="C19" i="84"/>
  <c r="E19" i="84" s="1"/>
  <c r="C18" i="41"/>
  <c r="D17" i="41"/>
  <c r="C17" i="41"/>
  <c r="M11" i="60"/>
  <c r="P11" i="74"/>
  <c r="D18" i="41"/>
  <c r="E17" i="41"/>
  <c r="F20" i="84" l="1"/>
  <c r="B21" i="84" s="1"/>
  <c r="C20" i="84"/>
  <c r="E20" i="84" s="1"/>
  <c r="AJ10" i="60"/>
  <c r="D16" i="41"/>
  <c r="M12" i="60"/>
  <c r="R11" i="60"/>
  <c r="P12" i="74"/>
  <c r="F17" i="41"/>
  <c r="F21" i="84" l="1"/>
  <c r="B22" i="84" s="1"/>
  <c r="C21" i="84"/>
  <c r="F18" i="41"/>
  <c r="E18" i="41"/>
  <c r="E16" i="41"/>
  <c r="M13" i="60"/>
  <c r="R12" i="60"/>
  <c r="P13" i="74"/>
  <c r="G18" i="41"/>
  <c r="G17" i="41"/>
  <c r="E21" i="84" l="1"/>
  <c r="F22" i="84"/>
  <c r="B23" i="84" s="1"/>
  <c r="C22" i="84"/>
  <c r="E22" i="84" s="1"/>
  <c r="AF22" i="60"/>
  <c r="F16" i="41"/>
  <c r="AH22" i="60"/>
  <c r="AG22" i="60"/>
  <c r="R13" i="60"/>
  <c r="M14" i="60"/>
  <c r="P14" i="74"/>
  <c r="H18" i="41"/>
  <c r="H17" i="41"/>
  <c r="F23" i="84" l="1"/>
  <c r="B24" i="84" s="1"/>
  <c r="C23" i="84"/>
  <c r="E23" i="84" s="1"/>
  <c r="G16" i="41"/>
  <c r="R14" i="60"/>
  <c r="M15" i="60"/>
  <c r="P15" i="74"/>
  <c r="I18" i="41"/>
  <c r="I17" i="41"/>
  <c r="F24" i="84" l="1"/>
  <c r="B25" i="84" s="1"/>
  <c r="C24" i="84"/>
  <c r="E24" i="84" s="1"/>
  <c r="H16" i="41"/>
  <c r="R15" i="60"/>
  <c r="M16" i="60"/>
  <c r="P16" i="74"/>
  <c r="J18" i="41"/>
  <c r="J17" i="41"/>
  <c r="F25" i="84" l="1"/>
  <c r="B26" i="84" s="1"/>
  <c r="C25" i="84"/>
  <c r="E25" i="84" s="1"/>
  <c r="I16" i="41"/>
  <c r="M17" i="60"/>
  <c r="R16" i="60"/>
  <c r="K18" i="41"/>
  <c r="K17" i="41"/>
  <c r="F26" i="84" l="1"/>
  <c r="B28" i="84" s="1"/>
  <c r="C26" i="84"/>
  <c r="J16" i="41"/>
  <c r="M18" i="60"/>
  <c r="R17" i="60"/>
  <c r="L18" i="41"/>
  <c r="L17" i="41"/>
  <c r="E26" i="84" l="1"/>
  <c r="C27" i="84"/>
  <c r="F28" i="84"/>
  <c r="B29" i="84" s="1"/>
  <c r="C28" i="84"/>
  <c r="K16" i="41"/>
  <c r="L16" i="41"/>
  <c r="R18" i="60"/>
  <c r="M19" i="60"/>
  <c r="E28" i="84" l="1"/>
  <c r="F29" i="84"/>
  <c r="B30" i="84" s="1"/>
  <c r="C29" i="84"/>
  <c r="E29" i="84" s="1"/>
  <c r="M9" i="29"/>
  <c r="E27" i="84"/>
  <c r="M20" i="60"/>
  <c r="R19" i="60"/>
  <c r="F30" i="84" l="1"/>
  <c r="B31" i="84" s="1"/>
  <c r="C30" i="84"/>
  <c r="E30" i="84" s="1"/>
  <c r="M21" i="60"/>
  <c r="R20" i="60"/>
  <c r="F31" i="84" l="1"/>
  <c r="B32" i="84" s="1"/>
  <c r="C31" i="84"/>
  <c r="R21" i="60"/>
  <c r="R22" i="60" s="1"/>
  <c r="M22" i="60"/>
  <c r="E31" i="84" l="1"/>
  <c r="F32" i="84"/>
  <c r="B33" i="84" s="1"/>
  <c r="C32" i="84"/>
  <c r="E32" i="84" s="1"/>
  <c r="N16" i="41"/>
  <c r="F33" i="84" l="1"/>
  <c r="B34" i="84" s="1"/>
  <c r="C33" i="84"/>
  <c r="N17" i="41"/>
  <c r="N18" i="41"/>
  <c r="J8" i="75"/>
  <c r="J9" i="75" s="1"/>
  <c r="J10" i="75" s="1"/>
  <c r="J11" i="75" s="1"/>
  <c r="J12" i="75" s="1"/>
  <c r="J13" i="75" s="1"/>
  <c r="J14" i="75" s="1"/>
  <c r="J15" i="75" s="1"/>
  <c r="J16" i="75" s="1"/>
  <c r="A2" i="75"/>
  <c r="M8" i="74"/>
  <c r="M9" i="74" s="1"/>
  <c r="M10" i="74" s="1"/>
  <c r="M11" i="74" s="1"/>
  <c r="M12" i="74" s="1"/>
  <c r="M13" i="74" s="1"/>
  <c r="M14" i="74" s="1"/>
  <c r="M15" i="74" s="1"/>
  <c r="M16" i="74" s="1"/>
  <c r="C7" i="74"/>
  <c r="A2" i="74"/>
  <c r="E31" i="20"/>
  <c r="D38" i="72" s="1"/>
  <c r="D45" i="72" s="1"/>
  <c r="M6" i="38" s="1"/>
  <c r="N26" i="38" s="1"/>
  <c r="E33" i="84" l="1"/>
  <c r="F34" i="84"/>
  <c r="B35" i="84" s="1"/>
  <c r="C34" i="84"/>
  <c r="E34" i="84" s="1"/>
  <c r="U15" i="60"/>
  <c r="M8" i="75"/>
  <c r="M9" i="75" s="1"/>
  <c r="M10" i="75" s="1"/>
  <c r="M11" i="75" s="1"/>
  <c r="M12" i="75" s="1"/>
  <c r="M13" i="75" s="1"/>
  <c r="M14" i="75" s="1"/>
  <c r="M15" i="75" s="1"/>
  <c r="M16" i="75" s="1"/>
  <c r="V11" i="60"/>
  <c r="N8" i="75"/>
  <c r="N9" i="75" s="1"/>
  <c r="N10" i="75" s="1"/>
  <c r="N11" i="75" s="1"/>
  <c r="N12" i="75" s="1"/>
  <c r="N13" i="75" s="1"/>
  <c r="N14" i="75" s="1"/>
  <c r="N15" i="75" s="1"/>
  <c r="N16" i="75" s="1"/>
  <c r="T10" i="60"/>
  <c r="L8" i="75"/>
  <c r="W11" i="60"/>
  <c r="O8" i="75"/>
  <c r="O9" i="75" s="1"/>
  <c r="O10" i="75" s="1"/>
  <c r="O11" i="75" s="1"/>
  <c r="O12" i="75" s="1"/>
  <c r="O13" i="75" s="1"/>
  <c r="O14" i="75" s="1"/>
  <c r="O15" i="75" s="1"/>
  <c r="O16" i="75" s="1"/>
  <c r="Z10" i="60"/>
  <c r="R8" i="75"/>
  <c r="R9" i="75" s="1"/>
  <c r="R10" i="75" s="1"/>
  <c r="R11" i="75" s="1"/>
  <c r="R12" i="75" s="1"/>
  <c r="R13" i="75" s="1"/>
  <c r="R14" i="75" s="1"/>
  <c r="R15" i="75" s="1"/>
  <c r="R16" i="75" s="1"/>
  <c r="AA21" i="60"/>
  <c r="AA22" i="60" s="1"/>
  <c r="S8" i="75"/>
  <c r="S9" i="75" s="1"/>
  <c r="S10" i="75" s="1"/>
  <c r="S11" i="75" s="1"/>
  <c r="S12" i="75" s="1"/>
  <c r="S13" i="75" s="1"/>
  <c r="S14" i="75" s="1"/>
  <c r="S15" i="75" s="1"/>
  <c r="S16" i="75" s="1"/>
  <c r="S8" i="74"/>
  <c r="D10" i="41" s="1"/>
  <c r="F35" i="84" l="1"/>
  <c r="B36" i="84" s="1"/>
  <c r="C35" i="84"/>
  <c r="E35" i="84" s="1"/>
  <c r="AD10" i="60"/>
  <c r="G9" i="28"/>
  <c r="G10" i="28" s="1"/>
  <c r="G11" i="28" s="1"/>
  <c r="G12" i="28" s="1"/>
  <c r="G13" i="28" s="1"/>
  <c r="G14" i="28" s="1"/>
  <c r="G15" i="28" s="1"/>
  <c r="G16" i="28" s="1"/>
  <c r="G17" i="28" s="1"/>
  <c r="G18" i="28" s="1"/>
  <c r="L9" i="75"/>
  <c r="T11" i="60"/>
  <c r="AD11" i="60" s="1"/>
  <c r="Z16" i="60"/>
  <c r="Z22" i="60" s="1"/>
  <c r="W13" i="60"/>
  <c r="W15" i="60" s="1"/>
  <c r="W17" i="60" s="1"/>
  <c r="W19" i="60" s="1"/>
  <c r="W21" i="60" s="1"/>
  <c r="V13" i="60"/>
  <c r="V15" i="60" s="1"/>
  <c r="V17" i="60" s="1"/>
  <c r="V19" i="60" s="1"/>
  <c r="V21" i="60" s="1"/>
  <c r="I11" i="60"/>
  <c r="H9" i="28"/>
  <c r="U21" i="60"/>
  <c r="U22" i="60" s="1"/>
  <c r="O17" i="75"/>
  <c r="N17" i="75"/>
  <c r="S17" i="75"/>
  <c r="K17" i="75"/>
  <c r="M17" i="75"/>
  <c r="F36" i="84" l="1"/>
  <c r="B37" i="84" s="1"/>
  <c r="C36" i="84"/>
  <c r="E36" i="84" s="1"/>
  <c r="AP10" i="60"/>
  <c r="AO10" i="60"/>
  <c r="H10" i="28"/>
  <c r="D8" i="41"/>
  <c r="W22" i="60"/>
  <c r="V22" i="60"/>
  <c r="T12" i="60"/>
  <c r="I12" i="60"/>
  <c r="I13" i="60" s="1"/>
  <c r="I14" i="60" s="1"/>
  <c r="I15" i="60" s="1"/>
  <c r="I16" i="60" s="1"/>
  <c r="I17" i="60" s="1"/>
  <c r="I18" i="60" s="1"/>
  <c r="I19" i="60" s="1"/>
  <c r="I20" i="60" s="1"/>
  <c r="I21" i="60" s="1"/>
  <c r="L10" i="75"/>
  <c r="S9" i="74"/>
  <c r="E10" i="41" s="1"/>
  <c r="F37" i="84" l="1"/>
  <c r="B38" i="84" s="1"/>
  <c r="C37" i="84"/>
  <c r="E37" i="84" s="1"/>
  <c r="I22" i="60"/>
  <c r="H11" i="28"/>
  <c r="E8" i="41"/>
  <c r="L11" i="75"/>
  <c r="T13" i="60"/>
  <c r="AD12" i="60"/>
  <c r="S10" i="74"/>
  <c r="F10" i="41" s="1"/>
  <c r="F38" i="84" l="1"/>
  <c r="B39" i="84" s="1"/>
  <c r="C38" i="84"/>
  <c r="E38" i="84" s="1"/>
  <c r="H12" i="28"/>
  <c r="F8" i="41"/>
  <c r="T14" i="60"/>
  <c r="AD13" i="60"/>
  <c r="L12" i="75"/>
  <c r="S11" i="74"/>
  <c r="G10" i="41" s="1"/>
  <c r="F39" i="84" l="1"/>
  <c r="B41" i="84" s="1"/>
  <c r="C39" i="84"/>
  <c r="H13" i="28"/>
  <c r="G8" i="41"/>
  <c r="L13" i="75"/>
  <c r="T15" i="60"/>
  <c r="AD14" i="60"/>
  <c r="S12" i="74"/>
  <c r="H10" i="41" s="1"/>
  <c r="N13" i="74"/>
  <c r="E39" i="84" l="1"/>
  <c r="C40" i="84"/>
  <c r="E40" i="84" s="1"/>
  <c r="F41" i="84"/>
  <c r="B42" i="84" s="1"/>
  <c r="C41" i="84"/>
  <c r="H14" i="28"/>
  <c r="H8" i="41"/>
  <c r="C23" i="41"/>
  <c r="C26" i="46"/>
  <c r="M21" i="29"/>
  <c r="T16" i="60"/>
  <c r="AD15" i="60"/>
  <c r="L14" i="75"/>
  <c r="S13" i="74"/>
  <c r="I10" i="41" s="1"/>
  <c r="N14" i="74"/>
  <c r="F42" i="84" l="1"/>
  <c r="B43" i="84" s="1"/>
  <c r="C42" i="84"/>
  <c r="E42" i="84" s="1"/>
  <c r="E41" i="84"/>
  <c r="H15" i="28"/>
  <c r="I8" i="41"/>
  <c r="L15" i="75"/>
  <c r="T17" i="60"/>
  <c r="AD16" i="60"/>
  <c r="S14" i="74"/>
  <c r="J10" i="41" s="1"/>
  <c r="N15" i="74"/>
  <c r="G24" i="38"/>
  <c r="F43" i="84" l="1"/>
  <c r="B44" i="84" s="1"/>
  <c r="C43" i="84"/>
  <c r="H16" i="28"/>
  <c r="J8" i="41"/>
  <c r="T18" i="60"/>
  <c r="AD17" i="60"/>
  <c r="L16" i="75"/>
  <c r="S15" i="74"/>
  <c r="K10" i="41" s="1"/>
  <c r="N16" i="74"/>
  <c r="S16" i="74" s="1"/>
  <c r="E43" i="84" l="1"/>
  <c r="F44" i="84"/>
  <c r="B45" i="84" s="1"/>
  <c r="C44" i="84"/>
  <c r="E44" i="84" s="1"/>
  <c r="S17" i="74"/>
  <c r="L10" i="41"/>
  <c r="H17" i="28"/>
  <c r="K8" i="41"/>
  <c r="L17" i="75"/>
  <c r="T19" i="60"/>
  <c r="AD18" i="60"/>
  <c r="R17" i="75"/>
  <c r="F45" i="84" l="1"/>
  <c r="B46" i="84" s="1"/>
  <c r="C45" i="84"/>
  <c r="E45" i="84" s="1"/>
  <c r="L8" i="41"/>
  <c r="H19" i="28"/>
  <c r="H18" i="28"/>
  <c r="T20" i="60"/>
  <c r="AD19" i="60"/>
  <c r="F46" i="84" l="1"/>
  <c r="B47" i="84" s="1"/>
  <c r="C46" i="84"/>
  <c r="T21" i="60"/>
  <c r="AD20" i="60"/>
  <c r="H14" i="30"/>
  <c r="I14" i="30" s="1"/>
  <c r="E46" i="84" l="1"/>
  <c r="F47" i="84"/>
  <c r="B48" i="84" s="1"/>
  <c r="C47" i="84"/>
  <c r="E47" i="84" s="1"/>
  <c r="AD21" i="60"/>
  <c r="AD22" i="60" s="1"/>
  <c r="AD26" i="60" s="1"/>
  <c r="T22" i="60"/>
  <c r="F48" i="84" l="1"/>
  <c r="B49" i="84" s="1"/>
  <c r="C48" i="84"/>
  <c r="E48" i="84" s="1"/>
  <c r="H15" i="30"/>
  <c r="I15" i="30" s="1"/>
  <c r="H13" i="30"/>
  <c r="I13" i="30" s="1"/>
  <c r="H16" i="30"/>
  <c r="I16" i="30" s="1"/>
  <c r="F49" i="84" l="1"/>
  <c r="B50" i="84" s="1"/>
  <c r="C49" i="84"/>
  <c r="E49" i="84" s="1"/>
  <c r="P11" i="38"/>
  <c r="P9" i="38"/>
  <c r="F50" i="84" l="1"/>
  <c r="B51" i="84" s="1"/>
  <c r="C50" i="84"/>
  <c r="E50" i="84" s="1"/>
  <c r="L15" i="77"/>
  <c r="L16" i="77" s="1"/>
  <c r="E15" i="77"/>
  <c r="E16" i="77" s="1"/>
  <c r="D15" i="77"/>
  <c r="D16" i="77" s="1"/>
  <c r="I15" i="77"/>
  <c r="I16" i="77" s="1"/>
  <c r="H15" i="77"/>
  <c r="H16" i="77" s="1"/>
  <c r="C11" i="77"/>
  <c r="J15" i="77"/>
  <c r="J16" i="77" s="1"/>
  <c r="F15" i="77"/>
  <c r="F16" i="77" s="1"/>
  <c r="C15" i="77"/>
  <c r="C16" i="77" s="1"/>
  <c r="C22" i="77" s="1"/>
  <c r="D9" i="77" s="1"/>
  <c r="G15" i="77"/>
  <c r="G16" i="77" s="1"/>
  <c r="K15" i="77"/>
  <c r="K16" i="77" s="1"/>
  <c r="E28" i="20"/>
  <c r="E26" i="20" s="1"/>
  <c r="H9" i="50"/>
  <c r="F51" i="84" l="1"/>
  <c r="B52" i="84" s="1"/>
  <c r="C51" i="84"/>
  <c r="E51" i="84" s="1"/>
  <c r="I9" i="38"/>
  <c r="D22" i="77"/>
  <c r="E9" i="77" s="1"/>
  <c r="E22" i="77" s="1"/>
  <c r="F9" i="77" s="1"/>
  <c r="F22" i="77" s="1"/>
  <c r="G9" i="77" s="1"/>
  <c r="G22" i="77" s="1"/>
  <c r="H9" i="77" s="1"/>
  <c r="H22" i="77" s="1"/>
  <c r="I9" i="77" s="1"/>
  <c r="I22" i="77" s="1"/>
  <c r="J9" i="77" s="1"/>
  <c r="J22" i="77" s="1"/>
  <c r="K9" i="77" s="1"/>
  <c r="K22" i="77" s="1"/>
  <c r="L9" i="77" s="1"/>
  <c r="L22" i="77" s="1"/>
  <c r="F52" i="84" l="1"/>
  <c r="B54" i="84" s="1"/>
  <c r="C52" i="84"/>
  <c r="H8" i="29"/>
  <c r="H10" i="50"/>
  <c r="B21" i="46"/>
  <c r="C11" i="60"/>
  <c r="D40" i="41" l="1"/>
  <c r="E40" i="41"/>
  <c r="F40" i="41"/>
  <c r="G40" i="41"/>
  <c r="H40" i="41"/>
  <c r="I40" i="41"/>
  <c r="J40" i="41"/>
  <c r="K40" i="41"/>
  <c r="L40" i="41"/>
  <c r="C40" i="41"/>
  <c r="E52" i="84"/>
  <c r="C53" i="84"/>
  <c r="E53" i="84" s="1"/>
  <c r="F54" i="84"/>
  <c r="B55" i="84" s="1"/>
  <c r="C54" i="84"/>
  <c r="I8" i="29"/>
  <c r="K8" i="29" s="1"/>
  <c r="I9" i="29" s="1"/>
  <c r="C25" i="46"/>
  <c r="G25" i="38"/>
  <c r="E54" i="84" l="1"/>
  <c r="F55" i="84"/>
  <c r="B56" i="84" s="1"/>
  <c r="C55" i="84"/>
  <c r="E55" i="84" s="1"/>
  <c r="D25" i="46"/>
  <c r="H28" i="29"/>
  <c r="H29" i="29" s="1"/>
  <c r="H33" i="29" s="1"/>
  <c r="J16" i="29"/>
  <c r="J25" i="46" s="1"/>
  <c r="F56" i="84" l="1"/>
  <c r="B57" i="84" s="1"/>
  <c r="C56" i="84"/>
  <c r="E56" i="84" s="1"/>
  <c r="C12" i="50"/>
  <c r="B28" i="46"/>
  <c r="B30" i="46" s="1"/>
  <c r="B32" i="46" s="1"/>
  <c r="C31" i="46" s="1"/>
  <c r="J17" i="29"/>
  <c r="K25" i="46" s="1"/>
  <c r="F57" i="84" l="1"/>
  <c r="B58" i="84" s="1"/>
  <c r="C57" i="84"/>
  <c r="E57" i="84" s="1"/>
  <c r="E25" i="46"/>
  <c r="E29" i="20"/>
  <c r="F21" i="46"/>
  <c r="G21" i="46"/>
  <c r="H21" i="46"/>
  <c r="I21" i="46"/>
  <c r="J21" i="46"/>
  <c r="K21" i="46"/>
  <c r="L21" i="46"/>
  <c r="P10" i="38"/>
  <c r="F58" i="84" l="1"/>
  <c r="B59" i="84" s="1"/>
  <c r="C58" i="84"/>
  <c r="E58" i="84" s="1"/>
  <c r="G25" i="46"/>
  <c r="F25" i="46"/>
  <c r="K9" i="29"/>
  <c r="J20" i="29"/>
  <c r="A2" i="65"/>
  <c r="H12" i="30"/>
  <c r="I12" i="30" s="1"/>
  <c r="I10" i="30"/>
  <c r="F59" i="84" l="1"/>
  <c r="B60" i="84" s="1"/>
  <c r="C59" i="84"/>
  <c r="K23" i="29"/>
  <c r="J23" i="29" s="1"/>
  <c r="AN17" i="60"/>
  <c r="AN18" i="60"/>
  <c r="AN13" i="60"/>
  <c r="AN15" i="60"/>
  <c r="AN20" i="60"/>
  <c r="AN19" i="60"/>
  <c r="AN14" i="60"/>
  <c r="AN12" i="60"/>
  <c r="AN16" i="60"/>
  <c r="L16" i="51"/>
  <c r="M16" i="51"/>
  <c r="N16" i="51"/>
  <c r="O16" i="51"/>
  <c r="P16" i="51"/>
  <c r="G17" i="51"/>
  <c r="H17" i="51"/>
  <c r="I17" i="51"/>
  <c r="J17" i="51"/>
  <c r="K17" i="51"/>
  <c r="L17" i="51"/>
  <c r="M17" i="51"/>
  <c r="N17" i="51"/>
  <c r="O17" i="51"/>
  <c r="P17" i="51"/>
  <c r="E16" i="61"/>
  <c r="E17" i="61" s="1"/>
  <c r="E59" i="84" l="1"/>
  <c r="F60" i="84"/>
  <c r="B61" i="84" s="1"/>
  <c r="C60" i="84"/>
  <c r="E60" i="84" s="1"/>
  <c r="I10" i="46"/>
  <c r="C21" i="46"/>
  <c r="J9" i="38"/>
  <c r="E21" i="46"/>
  <c r="D21" i="46"/>
  <c r="G18" i="61"/>
  <c r="E18" i="61"/>
  <c r="G16" i="61"/>
  <c r="G17" i="61"/>
  <c r="F61" i="84" l="1"/>
  <c r="B62" i="84" s="1"/>
  <c r="C61" i="84"/>
  <c r="E61" i="84" s="1"/>
  <c r="Q9" i="38"/>
  <c r="R9" i="38" s="1"/>
  <c r="M9" i="38"/>
  <c r="D10" i="46"/>
  <c r="U9" i="38"/>
  <c r="E19" i="61"/>
  <c r="G19" i="61"/>
  <c r="F62" i="84" l="1"/>
  <c r="B63" i="84" s="1"/>
  <c r="C62" i="84"/>
  <c r="E62" i="84" s="1"/>
  <c r="D30" i="41"/>
  <c r="E10" i="46"/>
  <c r="E20" i="61"/>
  <c r="G20" i="61"/>
  <c r="F63" i="84" l="1"/>
  <c r="B64" i="84" s="1"/>
  <c r="C63" i="84"/>
  <c r="E63" i="84" s="1"/>
  <c r="E30" i="41"/>
  <c r="F10" i="46"/>
  <c r="E21" i="61"/>
  <c r="G21" i="61"/>
  <c r="F9" i="28"/>
  <c r="F10" i="28" s="1"/>
  <c r="F11" i="28" s="1"/>
  <c r="F12" i="28" s="1"/>
  <c r="F13" i="28" s="1"/>
  <c r="F14" i="28" s="1"/>
  <c r="F15" i="28" s="1"/>
  <c r="F16" i="28" s="1"/>
  <c r="F17" i="28" s="1"/>
  <c r="A2" i="28"/>
  <c r="A1" i="28"/>
  <c r="C12" i="61"/>
  <c r="E12" i="61" s="1"/>
  <c r="C11" i="61"/>
  <c r="E11" i="61" s="1"/>
  <c r="C10" i="61"/>
  <c r="E10" i="61" s="1"/>
  <c r="J11" i="61"/>
  <c r="J12" i="61" s="1"/>
  <c r="J13" i="61" s="1"/>
  <c r="J14" i="61" s="1"/>
  <c r="J15" i="61" s="1"/>
  <c r="J16" i="61" s="1"/>
  <c r="J17" i="61" s="1"/>
  <c r="J18" i="61" s="1"/>
  <c r="J19" i="61" s="1"/>
  <c r="J20" i="61" s="1"/>
  <c r="J21" i="61" s="1"/>
  <c r="J22" i="61" s="1"/>
  <c r="J23" i="61" s="1"/>
  <c r="J24" i="61" s="1"/>
  <c r="F64" i="84" l="1"/>
  <c r="B65" i="84" s="1"/>
  <c r="C64" i="84"/>
  <c r="E64" i="84" s="1"/>
  <c r="F30" i="41"/>
  <c r="G10" i="46"/>
  <c r="E22" i="61"/>
  <c r="G22" i="61"/>
  <c r="F65" i="84" l="1"/>
  <c r="C65" i="84"/>
  <c r="D23" i="41"/>
  <c r="D26" i="46"/>
  <c r="G30" i="41"/>
  <c r="H10" i="46"/>
  <c r="E23" i="61"/>
  <c r="G23" i="61"/>
  <c r="E65" i="84" l="1"/>
  <c r="E66" i="84" s="1"/>
  <c r="C66" i="84"/>
  <c r="M12" i="29" s="1"/>
  <c r="H30" i="41"/>
  <c r="G8" i="51"/>
  <c r="D8" i="51"/>
  <c r="E8" i="51"/>
  <c r="C8" i="51"/>
  <c r="E24" i="61"/>
  <c r="G24" i="61"/>
  <c r="I30" i="62"/>
  <c r="G30" i="62"/>
  <c r="E30" i="62" s="1"/>
  <c r="J30" i="62" s="1"/>
  <c r="I29" i="62"/>
  <c r="G29" i="62"/>
  <c r="E29" i="62" s="1"/>
  <c r="J29" i="62" s="1"/>
  <c r="I28" i="62"/>
  <c r="G28" i="62"/>
  <c r="E28" i="62" s="1"/>
  <c r="J28" i="62" s="1"/>
  <c r="I27" i="62"/>
  <c r="G27" i="62"/>
  <c r="E27" i="62" s="1"/>
  <c r="J27" i="62" s="1"/>
  <c r="I26" i="62"/>
  <c r="G26" i="62"/>
  <c r="E26" i="62" s="1"/>
  <c r="J26" i="62" s="1"/>
  <c r="I25" i="62"/>
  <c r="G25" i="62"/>
  <c r="E25" i="62" s="1"/>
  <c r="J25" i="62" s="1"/>
  <c r="I24" i="62"/>
  <c r="G24" i="62"/>
  <c r="E24" i="62" s="1"/>
  <c r="J24" i="62" s="1"/>
  <c r="I23" i="62"/>
  <c r="G23" i="62"/>
  <c r="E23" i="62" s="1"/>
  <c r="J23" i="62" s="1"/>
  <c r="I22" i="62"/>
  <c r="G22" i="62"/>
  <c r="E22" i="62" s="1"/>
  <c r="J22" i="62" s="1"/>
  <c r="I21" i="62"/>
  <c r="G21" i="62"/>
  <c r="E21" i="62" s="1"/>
  <c r="J21" i="62" s="1"/>
  <c r="I20" i="62"/>
  <c r="G20" i="62"/>
  <c r="E20" i="62" s="1"/>
  <c r="J20" i="62" s="1"/>
  <c r="I19" i="62"/>
  <c r="G19" i="62"/>
  <c r="E19" i="62" s="1"/>
  <c r="J19" i="62" s="1"/>
  <c r="I18" i="62"/>
  <c r="G18" i="62"/>
  <c r="E18" i="62" s="1"/>
  <c r="J18" i="62" s="1"/>
  <c r="I17" i="62"/>
  <c r="G17" i="62"/>
  <c r="E17" i="62" s="1"/>
  <c r="J17" i="62" s="1"/>
  <c r="I16" i="62"/>
  <c r="G16" i="62"/>
  <c r="E16" i="62" s="1"/>
  <c r="J16" i="62" s="1"/>
  <c r="I15" i="62"/>
  <c r="G15" i="62"/>
  <c r="E15" i="62" s="1"/>
  <c r="J15" i="62" s="1"/>
  <c r="I14" i="62"/>
  <c r="G14" i="62"/>
  <c r="E14" i="62" s="1"/>
  <c r="J14" i="62" s="1"/>
  <c r="I13" i="62"/>
  <c r="G13" i="62"/>
  <c r="E13" i="62" s="1"/>
  <c r="J13" i="62" s="1"/>
  <c r="I12" i="62"/>
  <c r="G12" i="62"/>
  <c r="E12" i="62" s="1"/>
  <c r="J12" i="62" s="1"/>
  <c r="I11" i="62"/>
  <c r="G11" i="62"/>
  <c r="E11" i="62" s="1"/>
  <c r="J11" i="62" s="1"/>
  <c r="I10" i="62"/>
  <c r="G10" i="62"/>
  <c r="E10" i="62" s="1"/>
  <c r="J10" i="62" s="1"/>
  <c r="I9" i="62"/>
  <c r="G9" i="62"/>
  <c r="E9" i="62" s="1"/>
  <c r="J9" i="62" s="1"/>
  <c r="I8" i="62"/>
  <c r="G8" i="62"/>
  <c r="E8" i="62" s="1"/>
  <c r="J8" i="62" s="1"/>
  <c r="L22" i="62" l="1"/>
  <c r="N10" i="41"/>
  <c r="I30" i="41"/>
  <c r="H8" i="51"/>
  <c r="L27" i="62"/>
  <c r="N27" i="62" s="1"/>
  <c r="J10" i="46"/>
  <c r="L11" i="62"/>
  <c r="N11" i="62" s="1"/>
  <c r="L14" i="62"/>
  <c r="L9" i="62"/>
  <c r="N9" i="62" s="1"/>
  <c r="L23" i="62"/>
  <c r="N23" i="62" s="1"/>
  <c r="L15" i="62"/>
  <c r="N15" i="62" s="1"/>
  <c r="L10" i="62"/>
  <c r="M10" i="62" s="1"/>
  <c r="L16" i="62"/>
  <c r="N16" i="62" s="1"/>
  <c r="L18" i="62"/>
  <c r="M18" i="62" s="1"/>
  <c r="L30" i="62"/>
  <c r="N30" i="62" s="1"/>
  <c r="F8" i="51"/>
  <c r="E25" i="61"/>
  <c r="G25" i="61"/>
  <c r="L13" i="61"/>
  <c r="O13" i="61" s="1"/>
  <c r="M13" i="61"/>
  <c r="P13" i="61" s="1"/>
  <c r="K13" i="61"/>
  <c r="N13" i="61" s="1"/>
  <c r="L21" i="62"/>
  <c r="N21" i="62" s="1"/>
  <c r="L19" i="62"/>
  <c r="M19" i="62" s="1"/>
  <c r="L25" i="62"/>
  <c r="M25" i="62" s="1"/>
  <c r="L28" i="62"/>
  <c r="M28" i="62" s="1"/>
  <c r="L26" i="62"/>
  <c r="N26" i="62" s="1"/>
  <c r="L12" i="62"/>
  <c r="L17" i="62"/>
  <c r="L24" i="62"/>
  <c r="L8" i="62"/>
  <c r="L13" i="62"/>
  <c r="L29" i="62"/>
  <c r="L20" i="62"/>
  <c r="M22" i="62"/>
  <c r="N22" i="62"/>
  <c r="Q25" i="52"/>
  <c r="R25" i="52"/>
  <c r="Q26" i="52"/>
  <c r="R26" i="52"/>
  <c r="C23" i="52"/>
  <c r="D23" i="52"/>
  <c r="E23" i="52"/>
  <c r="F23" i="52"/>
  <c r="G23" i="52"/>
  <c r="D24" i="52"/>
  <c r="E24" i="52"/>
  <c r="F24" i="52"/>
  <c r="G24" i="52"/>
  <c r="B23" i="52"/>
  <c r="B19" i="52"/>
  <c r="N10" i="52"/>
  <c r="O10" i="52"/>
  <c r="P10" i="52"/>
  <c r="Q10" i="52"/>
  <c r="R10" i="52"/>
  <c r="N25" i="62" l="1"/>
  <c r="M30" i="62"/>
  <c r="N19" i="62"/>
  <c r="M27" i="62"/>
  <c r="O27" i="62" s="1"/>
  <c r="P27" i="62" s="1"/>
  <c r="Q27" i="62" s="1"/>
  <c r="J30" i="41"/>
  <c r="I8" i="51"/>
  <c r="M15" i="62"/>
  <c r="O15" i="62" s="1"/>
  <c r="P15" i="62" s="1"/>
  <c r="Q15" i="62" s="1"/>
  <c r="M23" i="62"/>
  <c r="O23" i="62" s="1"/>
  <c r="P23" i="62" s="1"/>
  <c r="Q23" i="62" s="1"/>
  <c r="M26" i="62"/>
  <c r="O26" i="62" s="1"/>
  <c r="P26" i="62" s="1"/>
  <c r="Q26" i="62" s="1"/>
  <c r="N18" i="62"/>
  <c r="O18" i="62" s="1"/>
  <c r="P18" i="62" s="1"/>
  <c r="Q18" i="62" s="1"/>
  <c r="M14" i="62"/>
  <c r="N14" i="62"/>
  <c r="M11" i="62"/>
  <c r="O11" i="62" s="1"/>
  <c r="P11" i="62" s="1"/>
  <c r="Q11" i="62" s="1"/>
  <c r="M9" i="62"/>
  <c r="O9" i="62" s="1"/>
  <c r="P9" i="62" s="1"/>
  <c r="Q9" i="62" s="1"/>
  <c r="L9" i="38"/>
  <c r="K10" i="46"/>
  <c r="O30" i="62"/>
  <c r="P30" i="62" s="1"/>
  <c r="Q30" i="62" s="1"/>
  <c r="M16" i="62"/>
  <c r="M21" i="62"/>
  <c r="O21" i="62" s="1"/>
  <c r="P21" i="62" s="1"/>
  <c r="Q21" i="62" s="1"/>
  <c r="N10" i="62"/>
  <c r="O10" i="62" s="1"/>
  <c r="P10" i="62" s="1"/>
  <c r="Q10" i="62" s="1"/>
  <c r="O16" i="62"/>
  <c r="P16" i="62" s="1"/>
  <c r="Q16" i="62" s="1"/>
  <c r="O19" i="62"/>
  <c r="P19" i="62" s="1"/>
  <c r="Q19" i="62" s="1"/>
  <c r="N28" i="62"/>
  <c r="O28" i="62" s="1"/>
  <c r="P28" i="62" s="1"/>
  <c r="Q28" i="62" s="1"/>
  <c r="O22" i="62"/>
  <c r="P22" i="62" s="1"/>
  <c r="Q22" i="62" s="1"/>
  <c r="E26" i="61"/>
  <c r="G26" i="61"/>
  <c r="L20" i="61"/>
  <c r="O20" i="61" s="1"/>
  <c r="K15" i="61"/>
  <c r="N15" i="61" s="1"/>
  <c r="L15" i="61"/>
  <c r="O15" i="61" s="1"/>
  <c r="M15" i="61"/>
  <c r="P15" i="61" s="1"/>
  <c r="Q13" i="61"/>
  <c r="K12" i="61"/>
  <c r="N12" i="61" s="1"/>
  <c r="L12" i="61"/>
  <c r="O12" i="61" s="1"/>
  <c r="M12" i="61"/>
  <c r="P12" i="61" s="1"/>
  <c r="K11" i="61"/>
  <c r="N11" i="61" s="1"/>
  <c r="L11" i="61"/>
  <c r="O11" i="61" s="1"/>
  <c r="M11" i="61"/>
  <c r="P11" i="61" s="1"/>
  <c r="K16" i="61"/>
  <c r="N16" i="61" s="1"/>
  <c r="L16" i="61"/>
  <c r="O16" i="61" s="1"/>
  <c r="M16" i="61"/>
  <c r="P16" i="61" s="1"/>
  <c r="M14" i="61"/>
  <c r="P14" i="61" s="1"/>
  <c r="L14" i="61"/>
  <c r="O14" i="61" s="1"/>
  <c r="K14" i="61"/>
  <c r="N14" i="61" s="1"/>
  <c r="M10" i="61"/>
  <c r="P10" i="61" s="1"/>
  <c r="L10" i="61"/>
  <c r="O10" i="61" s="1"/>
  <c r="K10" i="61"/>
  <c r="N10" i="61" s="1"/>
  <c r="O25" i="62"/>
  <c r="P25" i="62" s="1"/>
  <c r="Q25" i="62" s="1"/>
  <c r="M29" i="62"/>
  <c r="N29" i="62"/>
  <c r="M13" i="62"/>
  <c r="N13" i="62"/>
  <c r="N24" i="62"/>
  <c r="M24" i="62"/>
  <c r="N8" i="62"/>
  <c r="M8" i="62"/>
  <c r="M17" i="62"/>
  <c r="N17" i="62"/>
  <c r="N20" i="62"/>
  <c r="M20" i="62"/>
  <c r="N12" i="62"/>
  <c r="M12" i="62"/>
  <c r="C10" i="46" l="1"/>
  <c r="K30" i="41"/>
  <c r="C30" i="41"/>
  <c r="J8" i="51"/>
  <c r="O14" i="62"/>
  <c r="P14" i="62" s="1"/>
  <c r="Q14" i="62" s="1"/>
  <c r="R14" i="62" s="1"/>
  <c r="S14" i="62" s="1"/>
  <c r="U14" i="62" s="1"/>
  <c r="V14" i="62" s="1"/>
  <c r="N9" i="38"/>
  <c r="W9" i="38"/>
  <c r="X9" i="38" s="1"/>
  <c r="N24" i="38" s="1"/>
  <c r="L10" i="46"/>
  <c r="O17" i="62"/>
  <c r="P17" i="62" s="1"/>
  <c r="Q17" i="62" s="1"/>
  <c r="O12" i="62"/>
  <c r="P12" i="62" s="1"/>
  <c r="Q12" i="62" s="1"/>
  <c r="O20" i="62"/>
  <c r="P20" i="62" s="1"/>
  <c r="Q20" i="62" s="1"/>
  <c r="O24" i="62"/>
  <c r="P24" i="62" s="1"/>
  <c r="Q24" i="62" s="1"/>
  <c r="O8" i="62"/>
  <c r="P8" i="62" s="1"/>
  <c r="Q8" i="62" s="1"/>
  <c r="M20" i="61"/>
  <c r="P20" i="61" s="1"/>
  <c r="K20" i="61"/>
  <c r="N20" i="61" s="1"/>
  <c r="E27" i="61"/>
  <c r="G27" i="61"/>
  <c r="L8" i="51"/>
  <c r="M21" i="61"/>
  <c r="P21" i="61" s="1"/>
  <c r="Q15" i="61"/>
  <c r="Q16" i="61"/>
  <c r="Q11" i="61"/>
  <c r="Q12" i="61"/>
  <c r="Q14" i="61"/>
  <c r="Q10" i="61"/>
  <c r="O29" i="62"/>
  <c r="P29" i="62" s="1"/>
  <c r="Q29" i="62" s="1"/>
  <c r="O13" i="62"/>
  <c r="P13" i="62" s="1"/>
  <c r="Q13" i="62" s="1"/>
  <c r="R9" i="62"/>
  <c r="S9" i="62" s="1"/>
  <c r="U9" i="62" s="1"/>
  <c r="V9" i="62" s="1"/>
  <c r="R25" i="62"/>
  <c r="S25" i="62" s="1"/>
  <c r="U25" i="62" s="1"/>
  <c r="V25" i="62" s="1"/>
  <c r="R19" i="62"/>
  <c r="S19" i="62" s="1"/>
  <c r="U19" i="62" s="1"/>
  <c r="V19" i="62" s="1"/>
  <c r="R28" i="62"/>
  <c r="S28" i="62" s="1"/>
  <c r="U28" i="62" s="1"/>
  <c r="R11" i="62"/>
  <c r="S11" i="62" s="1"/>
  <c r="U11" i="62" s="1"/>
  <c r="V11" i="62" s="1"/>
  <c r="R21" i="62"/>
  <c r="S21" i="62" s="1"/>
  <c r="U21" i="62" s="1"/>
  <c r="V21" i="62" s="1"/>
  <c r="R15" i="62"/>
  <c r="S15" i="62" s="1"/>
  <c r="U15" i="62" s="1"/>
  <c r="V15" i="62" s="1"/>
  <c r="R16" i="62"/>
  <c r="S16" i="62" s="1"/>
  <c r="U16" i="62" s="1"/>
  <c r="V16" i="62" s="1"/>
  <c r="R23" i="62"/>
  <c r="S23" i="62" s="1"/>
  <c r="U23" i="62" s="1"/>
  <c r="V23" i="62" s="1"/>
  <c r="R10" i="62"/>
  <c r="S10" i="62" s="1"/>
  <c r="U10" i="62" s="1"/>
  <c r="V10" i="62" s="1"/>
  <c r="R22" i="62"/>
  <c r="S22" i="62" s="1"/>
  <c r="U22" i="62" s="1"/>
  <c r="V22" i="62" s="1"/>
  <c r="R30" i="62"/>
  <c r="S30" i="62" s="1"/>
  <c r="U30" i="62" s="1"/>
  <c r="V30" i="62" s="1"/>
  <c r="R26" i="62"/>
  <c r="S26" i="62" s="1"/>
  <c r="U26" i="62" s="1"/>
  <c r="V26" i="62" s="1"/>
  <c r="R27" i="62"/>
  <c r="S27" i="62" s="1"/>
  <c r="U27" i="62" s="1"/>
  <c r="R18" i="62"/>
  <c r="S18" i="62" s="1"/>
  <c r="U18" i="62" s="1"/>
  <c r="V18" i="62" s="1"/>
  <c r="L30" i="41" l="1"/>
  <c r="K8" i="51"/>
  <c r="B8" i="51"/>
  <c r="Q20" i="61"/>
  <c r="L21" i="61"/>
  <c r="O21" i="61" s="1"/>
  <c r="E28" i="61"/>
  <c r="G28" i="61"/>
  <c r="M8" i="51"/>
  <c r="M22" i="61"/>
  <c r="P22" i="61" s="1"/>
  <c r="L22" i="61"/>
  <c r="O22" i="61" s="1"/>
  <c r="K21" i="61"/>
  <c r="N21" i="61" s="1"/>
  <c r="R20" i="62"/>
  <c r="S20" i="62" s="1"/>
  <c r="U20" i="62" s="1"/>
  <c r="V20" i="62" s="1"/>
  <c r="R12" i="62"/>
  <c r="S12" i="62" s="1"/>
  <c r="U12" i="62" s="1"/>
  <c r="V12" i="62" s="1"/>
  <c r="R17" i="62"/>
  <c r="S17" i="62" s="1"/>
  <c r="U17" i="62" s="1"/>
  <c r="V17" i="62" s="1"/>
  <c r="R13" i="62"/>
  <c r="S13" i="62" s="1"/>
  <c r="U13" i="62" s="1"/>
  <c r="V13" i="62" s="1"/>
  <c r="R29" i="62"/>
  <c r="S29" i="62" s="1"/>
  <c r="U29" i="62" s="1"/>
  <c r="V29" i="62" s="1"/>
  <c r="R8" i="62"/>
  <c r="S8" i="62"/>
  <c r="U8" i="62" s="1"/>
  <c r="V8" i="62" s="1"/>
  <c r="R24" i="62"/>
  <c r="S24" i="62" s="1"/>
  <c r="U24" i="62" s="1"/>
  <c r="V24" i="62" s="1"/>
  <c r="V32" i="62" l="1"/>
  <c r="Q21" i="61"/>
  <c r="E29" i="61"/>
  <c r="G29" i="61"/>
  <c r="N8" i="51"/>
  <c r="M23" i="61"/>
  <c r="P23" i="61" s="1"/>
  <c r="K22" i="61"/>
  <c r="N22" i="61" s="1"/>
  <c r="Q22" i="61" s="1"/>
  <c r="U32" i="62"/>
  <c r="K23" i="61" l="1"/>
  <c r="N23" i="61" s="1"/>
  <c r="L23" i="61"/>
  <c r="O23" i="61" s="1"/>
  <c r="G19" i="28"/>
  <c r="E30" i="61"/>
  <c r="G30" i="61"/>
  <c r="O8" i="51"/>
  <c r="Q23" i="61" l="1"/>
  <c r="M24" i="61"/>
  <c r="P24" i="61" s="1"/>
  <c r="L24" i="61"/>
  <c r="O24" i="61" s="1"/>
  <c r="E31" i="61"/>
  <c r="G31" i="61"/>
  <c r="P8" i="51" l="1"/>
  <c r="K24" i="61"/>
  <c r="N24" i="61" s="1"/>
  <c r="Q24" i="61" s="1"/>
  <c r="E32" i="61"/>
  <c r="G32" i="61"/>
  <c r="C19" i="52"/>
  <c r="N30" i="41" l="1"/>
  <c r="E33" i="61"/>
  <c r="G33" i="61"/>
  <c r="E34" i="61" l="1"/>
  <c r="G34" i="61"/>
  <c r="E35" i="61" l="1"/>
  <c r="G35" i="61"/>
  <c r="G10" i="29"/>
  <c r="G11" i="29" s="1"/>
  <c r="G12" i="29" s="1"/>
  <c r="G13" i="29" s="1"/>
  <c r="G14" i="29" s="1"/>
  <c r="G15" i="29" s="1"/>
  <c r="G16" i="29" s="1"/>
  <c r="G17" i="29" s="1"/>
  <c r="P26" i="52"/>
  <c r="O26" i="52"/>
  <c r="P25" i="52"/>
  <c r="O25" i="52"/>
  <c r="E36" i="61" l="1"/>
  <c r="G36" i="61"/>
  <c r="E37" i="61" l="1"/>
  <c r="G37" i="61"/>
  <c r="D19" i="52"/>
  <c r="D20" i="52" s="1"/>
  <c r="E38" i="61" l="1"/>
  <c r="G38" i="61"/>
  <c r="G19" i="52"/>
  <c r="G20" i="52" s="1"/>
  <c r="A2" i="61" l="1"/>
  <c r="A2" i="62"/>
  <c r="A1" i="62"/>
  <c r="A1" i="61"/>
  <c r="B9" i="51" l="1"/>
  <c r="C9" i="51" l="1"/>
  <c r="C10" i="51" s="1"/>
  <c r="D9" i="51" l="1"/>
  <c r="D10" i="51" s="1"/>
  <c r="E7" i="52"/>
  <c r="F7" i="52" s="1"/>
  <c r="G7" i="52" s="1"/>
  <c r="H7" i="52" s="1"/>
  <c r="I7" i="52" s="1"/>
  <c r="J7" i="52" s="1"/>
  <c r="K7" i="52" s="1"/>
  <c r="L7" i="52" s="1"/>
  <c r="M7" i="52" s="1"/>
  <c r="N7" i="52" s="1"/>
  <c r="O7" i="52" s="1"/>
  <c r="P7" i="52" s="1"/>
  <c r="Q7" i="52" s="1"/>
  <c r="R7" i="52" s="1"/>
  <c r="C7" i="51"/>
  <c r="D7" i="51" s="1"/>
  <c r="E7" i="51" s="1"/>
  <c r="F7" i="51" s="1"/>
  <c r="G7" i="51" s="1"/>
  <c r="H7" i="51" s="1"/>
  <c r="I7" i="51" s="1"/>
  <c r="J7" i="51" s="1"/>
  <c r="K7" i="51" s="1"/>
  <c r="L7" i="51" s="1"/>
  <c r="M7" i="51" s="1"/>
  <c r="N7" i="51" s="1"/>
  <c r="O7" i="51" s="1"/>
  <c r="P7" i="51" s="1"/>
  <c r="E9" i="51" l="1"/>
  <c r="E10" i="51" s="1"/>
  <c r="A2" i="50"/>
  <c r="A1" i="50"/>
  <c r="F9" i="51" l="1"/>
  <c r="F10" i="51" s="1"/>
  <c r="H9" i="30"/>
  <c r="I9" i="30" l="1"/>
  <c r="I19" i="30" s="1"/>
  <c r="G9" i="51"/>
  <c r="G10" i="51" s="1"/>
  <c r="H9" i="51" l="1"/>
  <c r="H10" i="51" s="1"/>
  <c r="C15" i="41" l="1"/>
  <c r="C20" i="41" s="1"/>
  <c r="D15" i="41"/>
  <c r="D20" i="41" s="1"/>
  <c r="L9" i="51" l="1"/>
  <c r="L10" i="51" s="1"/>
  <c r="L13" i="51"/>
  <c r="D8" i="46"/>
  <c r="E8" i="46" s="1"/>
  <c r="F8" i="46" s="1"/>
  <c r="G8" i="46" s="1"/>
  <c r="H8" i="46" s="1"/>
  <c r="I8" i="46" s="1"/>
  <c r="J8" i="46" s="1"/>
  <c r="K8" i="46" s="1"/>
  <c r="L8" i="46" s="1"/>
  <c r="H9" i="78" l="1"/>
  <c r="H10" i="78" s="1"/>
  <c r="H11" i="78" s="1"/>
  <c r="H12" i="78" s="1"/>
  <c r="H13" i="78" s="1"/>
  <c r="H14" i="78" s="1"/>
  <c r="H15" i="78" s="1"/>
  <c r="H16" i="78" s="1"/>
  <c r="H17" i="78" s="1"/>
  <c r="H18" i="78" s="1"/>
  <c r="C14" i="46"/>
  <c r="D14" i="46"/>
  <c r="E15" i="41"/>
  <c r="E20" i="41" s="1"/>
  <c r="B13" i="51"/>
  <c r="M9" i="51"/>
  <c r="M10" i="51" s="1"/>
  <c r="M13" i="51"/>
  <c r="G28" i="45"/>
  <c r="G23" i="45"/>
  <c r="A2" i="45"/>
  <c r="A1" i="45"/>
  <c r="F15" i="41" l="1"/>
  <c r="F20" i="41" s="1"/>
  <c r="C13" i="51"/>
  <c r="D13" i="51"/>
  <c r="N9" i="51"/>
  <c r="N10" i="51" s="1"/>
  <c r="N13" i="51"/>
  <c r="AE11" i="60" l="1"/>
  <c r="E14" i="46"/>
  <c r="F14" i="46"/>
  <c r="G15" i="41"/>
  <c r="G20" i="41" s="1"/>
  <c r="O9" i="51"/>
  <c r="O10" i="51" s="1"/>
  <c r="P9" i="51"/>
  <c r="P10" i="51" s="1"/>
  <c r="P13" i="51"/>
  <c r="O13" i="51"/>
  <c r="E23" i="41" l="1"/>
  <c r="E26" i="46"/>
  <c r="AE12" i="60"/>
  <c r="AJ11" i="60"/>
  <c r="E13" i="51"/>
  <c r="H15" i="41"/>
  <c r="H20" i="41" s="1"/>
  <c r="D7" i="41"/>
  <c r="E7" i="41" s="1"/>
  <c r="F7" i="41" s="1"/>
  <c r="G7" i="41" s="1"/>
  <c r="H7" i="41" s="1"/>
  <c r="I7" i="41" s="1"/>
  <c r="J7" i="41" s="1"/>
  <c r="K7" i="41" s="1"/>
  <c r="L7" i="41" s="1"/>
  <c r="AO11" i="60" l="1"/>
  <c r="H11" i="60"/>
  <c r="AE13" i="60"/>
  <c r="AJ12" i="60"/>
  <c r="AO12" i="60" s="1"/>
  <c r="G14" i="46"/>
  <c r="H14" i="46"/>
  <c r="I15" i="41"/>
  <c r="I20" i="41" s="1"/>
  <c r="G13" i="51"/>
  <c r="F13" i="51"/>
  <c r="K11" i="60" l="1"/>
  <c r="AP11" i="60" s="1"/>
  <c r="H12" i="60" s="1"/>
  <c r="K12" i="60" s="1"/>
  <c r="AJ13" i="60"/>
  <c r="AE14" i="60"/>
  <c r="N25" i="52"/>
  <c r="AO13" i="60" l="1"/>
  <c r="AP12" i="60"/>
  <c r="H13" i="60" s="1"/>
  <c r="K13" i="60" s="1"/>
  <c r="AP13" i="60" s="1"/>
  <c r="H14" i="60" s="1"/>
  <c r="K14" i="60" s="1"/>
  <c r="J15" i="41"/>
  <c r="AJ14" i="60"/>
  <c r="AO14" i="60" s="1"/>
  <c r="AE15" i="60"/>
  <c r="I14" i="46"/>
  <c r="K15" i="41"/>
  <c r="K20" i="41" s="1"/>
  <c r="I13" i="51"/>
  <c r="H13" i="51"/>
  <c r="AP14" i="60" l="1"/>
  <c r="H15" i="60" s="1"/>
  <c r="J20" i="41"/>
  <c r="AJ15" i="60"/>
  <c r="AE16" i="60"/>
  <c r="B10" i="33"/>
  <c r="L15" i="41"/>
  <c r="L20" i="41" s="1"/>
  <c r="J13" i="51"/>
  <c r="AO15" i="60" l="1"/>
  <c r="J14" i="46"/>
  <c r="AJ16" i="60"/>
  <c r="AO16" i="60" s="1"/>
  <c r="AE17" i="60"/>
  <c r="K15" i="60"/>
  <c r="AP15" i="60" s="1"/>
  <c r="F8" i="33"/>
  <c r="V7" i="75" s="1"/>
  <c r="AR11" i="60" s="1"/>
  <c r="K14" i="46"/>
  <c r="L14" i="46"/>
  <c r="W7" i="75" l="1"/>
  <c r="X7" i="75" s="1"/>
  <c r="Y7" i="75" s="1"/>
  <c r="Z7" i="75" s="1"/>
  <c r="G10" i="38"/>
  <c r="C11" i="46"/>
  <c r="G10" i="78"/>
  <c r="G9" i="78"/>
  <c r="H16" i="60"/>
  <c r="K16" i="60" s="1"/>
  <c r="AP16" i="60" s="1"/>
  <c r="AE18" i="60"/>
  <c r="AJ17" i="60"/>
  <c r="AO17" i="60" s="1"/>
  <c r="K13" i="51"/>
  <c r="P13" i="38"/>
  <c r="P12" i="38"/>
  <c r="G16" i="45"/>
  <c r="L10" i="45"/>
  <c r="G14" i="45"/>
  <c r="C11" i="41" l="1"/>
  <c r="C12" i="41" s="1"/>
  <c r="C13" i="46" s="1"/>
  <c r="H17" i="60"/>
  <c r="K17" i="60" s="1"/>
  <c r="AP17" i="60" s="1"/>
  <c r="AE19" i="60"/>
  <c r="AJ18" i="60"/>
  <c r="AO18" i="60" s="1"/>
  <c r="P14" i="38"/>
  <c r="G17" i="45"/>
  <c r="G15" i="45"/>
  <c r="H15" i="45" s="1"/>
  <c r="G19" i="45"/>
  <c r="H19" i="45" s="1"/>
  <c r="H18" i="60" l="1"/>
  <c r="K18" i="60" s="1"/>
  <c r="AE20" i="60"/>
  <c r="AJ19" i="60"/>
  <c r="AO19" i="60" s="1"/>
  <c r="C13" i="41"/>
  <c r="C21" i="41" s="1"/>
  <c r="C31" i="41"/>
  <c r="C34" i="41" s="1"/>
  <c r="P15" i="38"/>
  <c r="AP18" i="60" l="1"/>
  <c r="H19" i="60" s="1"/>
  <c r="K19" i="60" s="1"/>
  <c r="AP19" i="60" s="1"/>
  <c r="D10" i="38"/>
  <c r="C24" i="41"/>
  <c r="C25" i="41" s="1"/>
  <c r="AE21" i="60"/>
  <c r="AJ20" i="60"/>
  <c r="AO20" i="60" s="1"/>
  <c r="P16" i="38"/>
  <c r="Q32" i="41" l="1"/>
  <c r="Q33" i="41" s="1"/>
  <c r="H20" i="60"/>
  <c r="K20" i="60" s="1"/>
  <c r="AP20" i="60" s="1"/>
  <c r="AJ21" i="60"/>
  <c r="AJ22" i="60" s="1"/>
  <c r="AE22" i="60"/>
  <c r="P17" i="38"/>
  <c r="H21" i="60" l="1"/>
  <c r="H22" i="60" s="1"/>
  <c r="P18" i="38"/>
  <c r="K21" i="60" l="1"/>
  <c r="Y15" i="38"/>
  <c r="Y16" i="38"/>
  <c r="Y18" i="38"/>
  <c r="Y13" i="38"/>
  <c r="Y17" i="38"/>
  <c r="Y14" i="38"/>
  <c r="Y19" i="38"/>
  <c r="Y11" i="38"/>
  <c r="Y10" i="38"/>
  <c r="Y12" i="38"/>
  <c r="P19" i="38"/>
  <c r="A2" i="38" l="1"/>
  <c r="A1" i="38"/>
  <c r="A2" i="77" l="1"/>
  <c r="A2" i="78"/>
  <c r="A1" i="78"/>
  <c r="A1" i="77"/>
  <c r="A1" i="65"/>
  <c r="A1" i="52"/>
  <c r="A1" i="51"/>
  <c r="A2" i="52"/>
  <c r="A2" i="51"/>
  <c r="A1" i="41"/>
  <c r="A1" i="46"/>
  <c r="A2" i="41"/>
  <c r="A2" i="46"/>
  <c r="N15" i="41" l="1"/>
  <c r="A1" i="60"/>
  <c r="A1" i="72" s="1"/>
  <c r="A2" i="60"/>
  <c r="G22" i="45"/>
  <c r="E9" i="33"/>
  <c r="E10" i="33" s="1"/>
  <c r="E11" i="33" s="1"/>
  <c r="E12" i="33" s="1"/>
  <c r="E13" i="33" s="1"/>
  <c r="E14" i="33" s="1"/>
  <c r="E15" i="33" s="1"/>
  <c r="E16" i="33" s="1"/>
  <c r="E17" i="33" s="1"/>
  <c r="L12" i="51" l="1"/>
  <c r="L14" i="51" s="1"/>
  <c r="L15" i="51" s="1"/>
  <c r="L18" i="51" s="1"/>
  <c r="G24" i="45"/>
  <c r="G26" i="45"/>
  <c r="H26" i="45" s="1"/>
  <c r="N20" i="41" l="1"/>
  <c r="M12" i="51"/>
  <c r="M14" i="51" s="1"/>
  <c r="M15" i="51" s="1"/>
  <c r="M18" i="51" s="1"/>
  <c r="L19" i="51"/>
  <c r="L20" i="51" s="1"/>
  <c r="N12" i="51" l="1"/>
  <c r="N14" i="51" s="1"/>
  <c r="N15" i="51" s="1"/>
  <c r="N18" i="51" s="1"/>
  <c r="M19" i="51"/>
  <c r="M20" i="51" s="1"/>
  <c r="O12" i="51" l="1"/>
  <c r="O14" i="51" s="1"/>
  <c r="O15" i="51" s="1"/>
  <c r="O18" i="51" s="1"/>
  <c r="N19" i="51"/>
  <c r="N20" i="51" s="1"/>
  <c r="P12" i="51" l="1"/>
  <c r="P14" i="51" s="1"/>
  <c r="P15" i="51" s="1"/>
  <c r="P18" i="51" s="1"/>
  <c r="O19" i="51"/>
  <c r="O20" i="51" s="1"/>
  <c r="P19" i="51" l="1"/>
  <c r="P20" i="51" s="1"/>
  <c r="L17" i="61"/>
  <c r="O17" i="61" s="1"/>
  <c r="K17" i="61"/>
  <c r="N17" i="61" s="1"/>
  <c r="M17" i="61"/>
  <c r="P17" i="61" s="1"/>
  <c r="Q17" i="61" l="1"/>
  <c r="M18" i="61"/>
  <c r="P18" i="61" s="1"/>
  <c r="L18" i="61"/>
  <c r="O18" i="61" s="1"/>
  <c r="K18" i="61"/>
  <c r="N18" i="61" s="1"/>
  <c r="Q18" i="61" l="1"/>
  <c r="K19" i="61"/>
  <c r="N19" i="61" s="1"/>
  <c r="L19" i="61"/>
  <c r="O19" i="61" s="1"/>
  <c r="M19" i="61"/>
  <c r="P19" i="61" s="1"/>
  <c r="H11" i="52"/>
  <c r="F11" i="52"/>
  <c r="J11" i="52"/>
  <c r="E11" i="52"/>
  <c r="F23" i="41" l="1"/>
  <c r="F26" i="46"/>
  <c r="I9" i="51"/>
  <c r="I10" i="51" s="1"/>
  <c r="Q19" i="61"/>
  <c r="K9" i="51"/>
  <c r="K10" i="51" s="1"/>
  <c r="I11" i="52"/>
  <c r="G11" i="52"/>
  <c r="D11" i="52"/>
  <c r="K11" i="52"/>
  <c r="G9" i="45"/>
  <c r="L11" i="52" l="1"/>
  <c r="J9" i="51" l="1"/>
  <c r="J10" i="51" s="1"/>
  <c r="M11" i="52"/>
  <c r="N11" i="52" l="1"/>
  <c r="O11" i="52" l="1"/>
  <c r="G10" i="45"/>
  <c r="P11" i="52" l="1"/>
  <c r="Q11" i="52" l="1"/>
  <c r="R11" i="52" l="1"/>
  <c r="G12" i="45" l="1"/>
  <c r="G21" i="45" l="1"/>
  <c r="G11" i="45"/>
  <c r="A2" i="33" l="1"/>
  <c r="A1" i="33"/>
  <c r="A2" i="29"/>
  <c r="A1" i="29"/>
  <c r="A2" i="30"/>
  <c r="A1" i="30"/>
  <c r="L15" i="38" l="1"/>
  <c r="L13" i="38"/>
  <c r="U13" i="38" s="1"/>
  <c r="L18" i="38"/>
  <c r="L11" i="38"/>
  <c r="U11" i="38" s="1"/>
  <c r="L16" i="38"/>
  <c r="L14" i="38"/>
  <c r="L12" i="38"/>
  <c r="U12" i="38" s="1"/>
  <c r="L19" i="38"/>
  <c r="U19" i="38" s="1"/>
  <c r="L17" i="38"/>
  <c r="U14" i="38" l="1"/>
  <c r="U16" i="38"/>
  <c r="U17" i="38"/>
  <c r="U15" i="38"/>
  <c r="U18" i="38"/>
  <c r="L9" i="45"/>
  <c r="H14" i="45" s="1"/>
  <c r="N32" i="38" l="1"/>
  <c r="H25" i="45"/>
  <c r="H27" i="45"/>
  <c r="H11" i="45"/>
  <c r="H9" i="45"/>
  <c r="H28" i="45"/>
  <c r="AA27" i="4" l="1"/>
  <c r="V22" i="4" l="1"/>
  <c r="U22" i="4"/>
  <c r="R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X21" i="4"/>
  <c r="W20" i="4"/>
  <c r="X20" i="4" s="1"/>
  <c r="X19" i="4"/>
  <c r="W18" i="4"/>
  <c r="T18" i="4"/>
  <c r="T22" i="4" s="1"/>
  <c r="S18" i="4"/>
  <c r="S22" i="4" s="1"/>
  <c r="Q18" i="4"/>
  <c r="X16" i="4"/>
  <c r="X15" i="4"/>
  <c r="X14" i="4"/>
  <c r="X13" i="4"/>
  <c r="W12" i="4"/>
  <c r="X12" i="4" s="1"/>
  <c r="X11" i="4"/>
  <c r="X10" i="4"/>
  <c r="X9" i="4"/>
  <c r="X8" i="4"/>
  <c r="X7" i="4"/>
  <c r="X6" i="4"/>
  <c r="B6" i="4"/>
  <c r="B7" i="4" s="1"/>
  <c r="B8" i="4" s="1"/>
  <c r="B9" i="4" s="1"/>
  <c r="B10" i="4" s="1"/>
  <c r="B11" i="4" s="1"/>
  <c r="B12" i="4" s="1"/>
  <c r="B13" i="4" s="1"/>
  <c r="B14" i="4" s="1"/>
  <c r="X5" i="4"/>
  <c r="X18" i="4" l="1"/>
  <c r="Q22" i="4"/>
  <c r="W22" i="4"/>
  <c r="X22" i="4" l="1"/>
  <c r="F9" i="52" l="1"/>
  <c r="P9" i="52" l="1"/>
  <c r="Q9" i="52"/>
  <c r="K9" i="52"/>
  <c r="H9" i="52"/>
  <c r="R9" i="52"/>
  <c r="G9" i="52"/>
  <c r="O9" i="52"/>
  <c r="L9" i="52"/>
  <c r="E9" i="52"/>
  <c r="N9" i="52"/>
  <c r="M9" i="52"/>
  <c r="J9" i="52"/>
  <c r="I9" i="52"/>
  <c r="R8" i="51" l="1"/>
  <c r="O27" i="52" l="1"/>
  <c r="P27" i="52" l="1"/>
  <c r="E19" i="52" l="1"/>
  <c r="E20" i="52" s="1"/>
  <c r="F19" i="52" l="1"/>
  <c r="F20" i="52" s="1"/>
  <c r="N26" i="52" l="1"/>
  <c r="N27" i="52" l="1"/>
  <c r="L8" i="45" l="1"/>
  <c r="H22" i="45" s="1"/>
  <c r="C18" i="52"/>
  <c r="B18" i="52"/>
  <c r="H16" i="45" l="1"/>
  <c r="H23" i="45"/>
  <c r="H21" i="45"/>
  <c r="H18" i="45"/>
  <c r="B20" i="52"/>
  <c r="C20" i="52"/>
  <c r="G23" i="41" l="1"/>
  <c r="G26" i="46"/>
  <c r="L39" i="29"/>
  <c r="B24" i="52"/>
  <c r="C24" i="52" l="1"/>
  <c r="C27" i="52" s="1"/>
  <c r="C29" i="52" s="1"/>
  <c r="B27" i="52"/>
  <c r="B29" i="52" s="1"/>
  <c r="B31" i="52" s="1"/>
  <c r="C30" i="52" s="1"/>
  <c r="C31" i="52" l="1"/>
  <c r="D30" i="52" s="1"/>
  <c r="H20" i="29" l="1"/>
  <c r="F9" i="33"/>
  <c r="V8" i="75" l="1"/>
  <c r="W8" i="75" s="1"/>
  <c r="D11" i="46"/>
  <c r="G11" i="38"/>
  <c r="G11" i="78"/>
  <c r="D10" i="52"/>
  <c r="B16" i="51"/>
  <c r="I25" i="52"/>
  <c r="J25" i="52"/>
  <c r="K25" i="52"/>
  <c r="L25" i="52"/>
  <c r="M25" i="52"/>
  <c r="D25" i="52"/>
  <c r="F10" i="33"/>
  <c r="D11" i="41" l="1"/>
  <c r="X8" i="75"/>
  <c r="Y8" i="75" s="1"/>
  <c r="Z8" i="75" s="1"/>
  <c r="V9" i="75"/>
  <c r="W9" i="75" s="1"/>
  <c r="G12" i="38"/>
  <c r="E11" i="46"/>
  <c r="G12" i="78"/>
  <c r="E10" i="52"/>
  <c r="C16" i="51"/>
  <c r="H25" i="52"/>
  <c r="E25" i="52"/>
  <c r="G25" i="52"/>
  <c r="F25" i="52"/>
  <c r="F11" i="33"/>
  <c r="E11" i="41" l="1"/>
  <c r="E12" i="41" s="1"/>
  <c r="E13" i="46" s="1"/>
  <c r="X9" i="75"/>
  <c r="Y9" i="75" s="1"/>
  <c r="Z9" i="75" s="1"/>
  <c r="V10" i="75"/>
  <c r="W10" i="75" s="1"/>
  <c r="F11" i="46"/>
  <c r="G13" i="38"/>
  <c r="G13" i="78"/>
  <c r="D12" i="41"/>
  <c r="V14" i="41" s="1"/>
  <c r="V15" i="41" s="1"/>
  <c r="F10" i="52"/>
  <c r="D16" i="51"/>
  <c r="F12" i="33"/>
  <c r="E31" i="41" l="1"/>
  <c r="E34" i="41" s="1"/>
  <c r="E13" i="41"/>
  <c r="E21" i="41" s="1"/>
  <c r="D12" i="38" s="1"/>
  <c r="F11" i="41"/>
  <c r="F12" i="41" s="1"/>
  <c r="F31" i="41" s="1"/>
  <c r="F34" i="41" s="1"/>
  <c r="X10" i="75"/>
  <c r="Y10" i="75" s="1"/>
  <c r="Z10" i="75" s="1"/>
  <c r="V11" i="75"/>
  <c r="W11" i="75" s="1"/>
  <c r="G11" i="46"/>
  <c r="G14" i="38"/>
  <c r="G14" i="78"/>
  <c r="I10" i="29"/>
  <c r="K10" i="29" s="1"/>
  <c r="I11" i="29" s="1"/>
  <c r="D13" i="46"/>
  <c r="F10" i="38"/>
  <c r="F13" i="33"/>
  <c r="D31" i="41"/>
  <c r="D34" i="41" s="1"/>
  <c r="D13" i="41"/>
  <c r="G10" i="52"/>
  <c r="E16" i="51"/>
  <c r="D26" i="52"/>
  <c r="F13" i="46" l="1"/>
  <c r="F13" i="41"/>
  <c r="F21" i="41" s="1"/>
  <c r="D13" i="38" s="1"/>
  <c r="G11" i="41"/>
  <c r="X11" i="75"/>
  <c r="Y11" i="75" s="1"/>
  <c r="Z11" i="75" s="1"/>
  <c r="V12" i="75"/>
  <c r="W12" i="75" s="1"/>
  <c r="H11" i="41" s="1"/>
  <c r="H11" i="46"/>
  <c r="G15" i="38"/>
  <c r="G15" i="78"/>
  <c r="D21" i="41"/>
  <c r="F14" i="33"/>
  <c r="H10" i="52"/>
  <c r="F16" i="51"/>
  <c r="B17" i="51"/>
  <c r="D27" i="52"/>
  <c r="V13" i="75" l="1"/>
  <c r="W13" i="75" s="1"/>
  <c r="I11" i="41" s="1"/>
  <c r="G16" i="38"/>
  <c r="I11" i="46"/>
  <c r="G16" i="78"/>
  <c r="AK21" i="60"/>
  <c r="AK22" i="60" s="1"/>
  <c r="D11" i="38"/>
  <c r="C15" i="46"/>
  <c r="E10" i="38"/>
  <c r="H10" i="38" s="1"/>
  <c r="J10" i="38" s="1"/>
  <c r="C26" i="41"/>
  <c r="C39" i="41" s="1"/>
  <c r="C42" i="41" s="1"/>
  <c r="G12" i="41"/>
  <c r="H12" i="41"/>
  <c r="F15" i="33"/>
  <c r="I10" i="52"/>
  <c r="G16" i="51"/>
  <c r="C16" i="46" l="1"/>
  <c r="C35" i="46" s="1"/>
  <c r="J9" i="78" s="1"/>
  <c r="V14" i="75"/>
  <c r="W14" i="75" s="1"/>
  <c r="J11" i="41" s="1"/>
  <c r="J11" i="46"/>
  <c r="G17" i="38"/>
  <c r="G17" i="78"/>
  <c r="AN21" i="60"/>
  <c r="AN22" i="60" s="1"/>
  <c r="F11" i="38"/>
  <c r="D24" i="41"/>
  <c r="D25" i="41" s="1"/>
  <c r="C32" i="41"/>
  <c r="C35" i="41" s="1"/>
  <c r="I9" i="78"/>
  <c r="L9" i="78" s="1"/>
  <c r="C18" i="77"/>
  <c r="G13" i="46"/>
  <c r="H13" i="46"/>
  <c r="H13" i="41"/>
  <c r="H21" i="41" s="1"/>
  <c r="H31" i="41"/>
  <c r="H34" i="41" s="1"/>
  <c r="G31" i="41"/>
  <c r="G34" i="41" s="1"/>
  <c r="G13" i="41"/>
  <c r="I12" i="41"/>
  <c r="F16" i="33"/>
  <c r="H16" i="51"/>
  <c r="J10" i="52"/>
  <c r="E26" i="52"/>
  <c r="K11" i="29"/>
  <c r="V15" i="75" l="1"/>
  <c r="W15" i="75" s="1"/>
  <c r="K11" i="41" s="1"/>
  <c r="K11" i="46"/>
  <c r="G18" i="38"/>
  <c r="G18" i="78"/>
  <c r="AO21" i="60"/>
  <c r="AO22" i="60" s="1"/>
  <c r="AP21" i="60"/>
  <c r="D15" i="46"/>
  <c r="C27" i="46"/>
  <c r="C28" i="46" s="1"/>
  <c r="C30" i="46" s="1"/>
  <c r="D15" i="38"/>
  <c r="R9" i="78"/>
  <c r="C19" i="77"/>
  <c r="C20" i="77" s="1"/>
  <c r="C23" i="77" s="1"/>
  <c r="D10" i="77" s="1"/>
  <c r="M9" i="78"/>
  <c r="I13" i="46"/>
  <c r="I13" i="41"/>
  <c r="I21" i="41" s="1"/>
  <c r="I31" i="41"/>
  <c r="I34" i="41" s="1"/>
  <c r="J12" i="41"/>
  <c r="G21" i="41"/>
  <c r="F17" i="33"/>
  <c r="D26" i="41"/>
  <c r="D39" i="41" s="1"/>
  <c r="D42" i="41" s="1"/>
  <c r="E11" i="38"/>
  <c r="H11" i="38" s="1"/>
  <c r="I16" i="51"/>
  <c r="C17" i="51"/>
  <c r="K10" i="52"/>
  <c r="E27" i="52"/>
  <c r="AO24" i="60" l="1"/>
  <c r="R35" i="41"/>
  <c r="V16" i="75"/>
  <c r="G19" i="38"/>
  <c r="L11" i="46"/>
  <c r="S9" i="78"/>
  <c r="T9" i="78" s="1"/>
  <c r="W16" i="75"/>
  <c r="V17" i="75"/>
  <c r="I12" i="29"/>
  <c r="K12" i="29" s="1"/>
  <c r="D16" i="38"/>
  <c r="D14" i="38"/>
  <c r="D11" i="77"/>
  <c r="C24" i="77"/>
  <c r="Q8" i="77" s="1"/>
  <c r="J13" i="46"/>
  <c r="I10" i="78"/>
  <c r="L10" i="78" s="1"/>
  <c r="D18" i="77"/>
  <c r="K12" i="41"/>
  <c r="J31" i="41"/>
  <c r="J34" i="41" s="1"/>
  <c r="J13" i="41"/>
  <c r="D32" i="41"/>
  <c r="D35" i="41" s="1"/>
  <c r="L10" i="52"/>
  <c r="J16" i="51"/>
  <c r="E24" i="41" l="1"/>
  <c r="F12" i="38"/>
  <c r="D27" i="46"/>
  <c r="D28" i="46" s="1"/>
  <c r="W17" i="75"/>
  <c r="L11" i="41"/>
  <c r="D19" i="77"/>
  <c r="D20" i="77" s="1"/>
  <c r="D23" i="77" s="1"/>
  <c r="K13" i="46"/>
  <c r="M10" i="78"/>
  <c r="R10" i="78"/>
  <c r="J21" i="41"/>
  <c r="K13" i="41"/>
  <c r="K21" i="41" s="1"/>
  <c r="K31" i="41"/>
  <c r="K34" i="41" s="1"/>
  <c r="K16" i="51"/>
  <c r="M10" i="52"/>
  <c r="D24" i="77" l="1"/>
  <c r="Q9" i="77" s="1"/>
  <c r="R9" i="77" s="1"/>
  <c r="E10" i="77"/>
  <c r="S10" i="78"/>
  <c r="T10" i="78" s="1"/>
  <c r="D18" i="38"/>
  <c r="D17" i="38"/>
  <c r="L12" i="41"/>
  <c r="E25" i="41"/>
  <c r="F24" i="41" l="1"/>
  <c r="E15" i="46"/>
  <c r="I13" i="29"/>
  <c r="K13" i="29" s="1"/>
  <c r="L13" i="46"/>
  <c r="E11" i="77"/>
  <c r="F13" i="38"/>
  <c r="L31" i="41"/>
  <c r="L34" i="41" s="1"/>
  <c r="L13" i="41"/>
  <c r="E26" i="41"/>
  <c r="E39" i="41" s="1"/>
  <c r="E42" i="41" s="1"/>
  <c r="E12" i="38"/>
  <c r="H12" i="38" s="1"/>
  <c r="D17" i="51"/>
  <c r="F26" i="52"/>
  <c r="L13" i="29" l="1"/>
  <c r="E32" i="41"/>
  <c r="E35" i="41" s="1"/>
  <c r="I11" i="78"/>
  <c r="L11" i="78" s="1"/>
  <c r="E18" i="77"/>
  <c r="L21" i="41"/>
  <c r="F27" i="52"/>
  <c r="M13" i="29" l="1"/>
  <c r="M11" i="78"/>
  <c r="E27" i="46"/>
  <c r="E28" i="46" s="1"/>
  <c r="E19" i="77"/>
  <c r="D19" i="38"/>
  <c r="R11" i="78"/>
  <c r="F25" i="41"/>
  <c r="G26" i="52"/>
  <c r="F15" i="46" l="1"/>
  <c r="G24" i="41"/>
  <c r="E20" i="77"/>
  <c r="E23" i="77" s="1"/>
  <c r="S11" i="78"/>
  <c r="T11" i="78" s="1"/>
  <c r="F26" i="41"/>
  <c r="F39" i="41" s="1"/>
  <c r="F42" i="41" s="1"/>
  <c r="E13" i="38"/>
  <c r="H13" i="38" s="1"/>
  <c r="E16" i="46"/>
  <c r="E17" i="51"/>
  <c r="G27" i="52"/>
  <c r="F10" i="77" l="1"/>
  <c r="F11" i="77" s="1"/>
  <c r="E24" i="77"/>
  <c r="Q10" i="77" s="1"/>
  <c r="R10" i="77" s="1"/>
  <c r="F18" i="77"/>
  <c r="I12" i="78"/>
  <c r="L12" i="78" s="1"/>
  <c r="F32" i="41"/>
  <c r="F35" i="41" s="1"/>
  <c r="F27" i="46" l="1"/>
  <c r="F28" i="46" s="1"/>
  <c r="F19" i="77"/>
  <c r="F20" i="77" s="1"/>
  <c r="F23" i="77" s="1"/>
  <c r="R12" i="78"/>
  <c r="M12" i="78"/>
  <c r="G25" i="41"/>
  <c r="F14" i="38"/>
  <c r="K14" i="29"/>
  <c r="L14" i="29" s="1"/>
  <c r="H26" i="52"/>
  <c r="H23" i="41" l="1"/>
  <c r="H24" i="41" s="1"/>
  <c r="G15" i="46"/>
  <c r="I23" i="41"/>
  <c r="H26" i="46"/>
  <c r="S12" i="78"/>
  <c r="T12" i="78" s="1"/>
  <c r="M14" i="29"/>
  <c r="G10" i="77"/>
  <c r="F24" i="77"/>
  <c r="Q11" i="77" s="1"/>
  <c r="R11" i="77" s="1"/>
  <c r="E14" i="38"/>
  <c r="H14" i="38" s="1"/>
  <c r="G26" i="41"/>
  <c r="F16" i="46"/>
  <c r="F17" i="51"/>
  <c r="H27" i="52"/>
  <c r="G32" i="41" l="1"/>
  <c r="G35" i="41" s="1"/>
  <c r="G39" i="41"/>
  <c r="G42" i="41" s="1"/>
  <c r="I13" i="78"/>
  <c r="L13" i="78" s="1"/>
  <c r="G18" i="77"/>
  <c r="G11" i="77"/>
  <c r="H25" i="41"/>
  <c r="F15" i="38"/>
  <c r="K15" i="29"/>
  <c r="L15" i="29" s="1"/>
  <c r="I26" i="52"/>
  <c r="G27" i="46" l="1"/>
  <c r="G28" i="46" s="1"/>
  <c r="J23" i="41"/>
  <c r="I26" i="46"/>
  <c r="G19" i="77"/>
  <c r="G20" i="77" s="1"/>
  <c r="G23" i="77" s="1"/>
  <c r="M15" i="29"/>
  <c r="I24" i="41" s="1"/>
  <c r="N11" i="41"/>
  <c r="R13" i="78"/>
  <c r="M13" i="78"/>
  <c r="H26" i="41"/>
  <c r="H15" i="46"/>
  <c r="H16" i="46" s="1"/>
  <c r="E15" i="38"/>
  <c r="H15" i="38" s="1"/>
  <c r="I27" i="52"/>
  <c r="H32" i="41" l="1"/>
  <c r="H35" i="41" s="1"/>
  <c r="H39" i="41"/>
  <c r="H42" i="41" s="1"/>
  <c r="S13" i="78"/>
  <c r="T13" i="78" s="1"/>
  <c r="H10" i="77"/>
  <c r="G24" i="77"/>
  <c r="Q12" i="77" s="1"/>
  <c r="R12" i="77" s="1"/>
  <c r="I14" i="78"/>
  <c r="L14" i="78" s="1"/>
  <c r="H18" i="77"/>
  <c r="I25" i="41"/>
  <c r="F16" i="38"/>
  <c r="N12" i="41"/>
  <c r="K16" i="29"/>
  <c r="L16" i="29" s="1"/>
  <c r="G16" i="46"/>
  <c r="J26" i="52"/>
  <c r="H27" i="46" l="1"/>
  <c r="H28" i="46" s="1"/>
  <c r="K23" i="41"/>
  <c r="J26" i="46"/>
  <c r="H19" i="77"/>
  <c r="H20" i="77" s="1"/>
  <c r="H23" i="77" s="1"/>
  <c r="M16" i="29"/>
  <c r="J24" i="41" s="1"/>
  <c r="R14" i="78"/>
  <c r="M14" i="78"/>
  <c r="H11" i="77"/>
  <c r="I26" i="41"/>
  <c r="I15" i="46"/>
  <c r="I16" i="46" s="1"/>
  <c r="N13" i="41"/>
  <c r="N31" i="41"/>
  <c r="N34" i="41" s="1"/>
  <c r="O15" i="41"/>
  <c r="O10" i="41"/>
  <c r="O18" i="41"/>
  <c r="O16" i="41"/>
  <c r="O17" i="41"/>
  <c r="O11" i="41"/>
  <c r="E16" i="38"/>
  <c r="H16" i="38" s="1"/>
  <c r="J27" i="52"/>
  <c r="I32" i="41" l="1"/>
  <c r="I35" i="41" s="1"/>
  <c r="I39" i="41"/>
  <c r="I42" i="41" s="1"/>
  <c r="T30" i="38"/>
  <c r="S14" i="78"/>
  <c r="T14" i="78" s="1"/>
  <c r="I10" i="77"/>
  <c r="H24" i="77"/>
  <c r="Q13" i="77" s="1"/>
  <c r="R13" i="77" s="1"/>
  <c r="I15" i="78"/>
  <c r="L15" i="78" s="1"/>
  <c r="I18" i="77"/>
  <c r="J25" i="41"/>
  <c r="F17" i="38"/>
  <c r="N21" i="41"/>
  <c r="K17" i="29"/>
  <c r="L17" i="29" s="1"/>
  <c r="L18" i="29" s="1"/>
  <c r="L22" i="29" s="1"/>
  <c r="K26" i="52"/>
  <c r="I27" i="46" l="1"/>
  <c r="I28" i="46" s="1"/>
  <c r="K26" i="46"/>
  <c r="L23" i="41"/>
  <c r="I19" i="77"/>
  <c r="I20" i="77" s="1"/>
  <c r="I23" i="77" s="1"/>
  <c r="R15" i="78"/>
  <c r="M15" i="78"/>
  <c r="I11" i="77"/>
  <c r="J26" i="41"/>
  <c r="J39" i="41" s="1"/>
  <c r="J42" i="41" s="1"/>
  <c r="J15" i="46"/>
  <c r="J16" i="46" s="1"/>
  <c r="E17" i="38"/>
  <c r="H17" i="38" s="1"/>
  <c r="M17" i="29"/>
  <c r="K27" i="52"/>
  <c r="M18" i="29" l="1"/>
  <c r="L21" i="29" s="1"/>
  <c r="S15" i="78"/>
  <c r="T15" i="78" s="1"/>
  <c r="J10" i="77"/>
  <c r="I24" i="77"/>
  <c r="Q14" i="77" s="1"/>
  <c r="R14" i="77" s="1"/>
  <c r="J32" i="41"/>
  <c r="J35" i="41" s="1"/>
  <c r="J18" i="77"/>
  <c r="I16" i="78"/>
  <c r="L16" i="78" s="1"/>
  <c r="K24" i="41"/>
  <c r="L26" i="52"/>
  <c r="J27" i="46" l="1"/>
  <c r="J28" i="46" s="1"/>
  <c r="J19" i="77"/>
  <c r="J20" i="77" s="1"/>
  <c r="J23" i="77" s="1"/>
  <c r="R16" i="78"/>
  <c r="M16" i="78"/>
  <c r="J11" i="77"/>
  <c r="K25" i="41"/>
  <c r="F18" i="38"/>
  <c r="L27" i="52"/>
  <c r="S16" i="78" l="1"/>
  <c r="T16" i="78" s="1"/>
  <c r="K10" i="77"/>
  <c r="J24" i="77"/>
  <c r="Q15" i="77" s="1"/>
  <c r="R15" i="77" s="1"/>
  <c r="K26" i="41"/>
  <c r="K15" i="46"/>
  <c r="K16" i="46" s="1"/>
  <c r="L24" i="41"/>
  <c r="E18" i="38"/>
  <c r="H18" i="38" s="1"/>
  <c r="M26" i="52"/>
  <c r="K32" i="41" l="1"/>
  <c r="K35" i="41" s="1"/>
  <c r="K39" i="41"/>
  <c r="K42" i="41" s="1"/>
  <c r="I17" i="78"/>
  <c r="L17" i="78" s="1"/>
  <c r="K18" i="77"/>
  <c r="K11" i="77"/>
  <c r="L25" i="41"/>
  <c r="F19" i="38"/>
  <c r="M27" i="52"/>
  <c r="K27" i="46" l="1"/>
  <c r="K28" i="46" s="1"/>
  <c r="K19" i="77"/>
  <c r="K20" i="77" s="1"/>
  <c r="K23" i="77" s="1"/>
  <c r="N24" i="41"/>
  <c r="R17" i="78"/>
  <c r="M17" i="78"/>
  <c r="L26" i="41"/>
  <c r="L39" i="41" s="1"/>
  <c r="L42" i="41" s="1"/>
  <c r="N42" i="41" s="1"/>
  <c r="T32" i="38" s="1"/>
  <c r="L15" i="46"/>
  <c r="L16" i="46" s="1"/>
  <c r="E19" i="38"/>
  <c r="H19" i="38" s="1"/>
  <c r="G26" i="38" s="1"/>
  <c r="N25" i="41"/>
  <c r="R17" i="51"/>
  <c r="L32" i="41" l="1"/>
  <c r="L35" i="41" s="1"/>
  <c r="R26" i="41"/>
  <c r="J19" i="38"/>
  <c r="M19" i="38" s="1"/>
  <c r="S17" i="78"/>
  <c r="T17" i="78" s="1"/>
  <c r="N26" i="41"/>
  <c r="N32" i="41" s="1"/>
  <c r="N35" i="41" s="1"/>
  <c r="T31" i="38" s="1"/>
  <c r="I18" i="78"/>
  <c r="L18" i="78" s="1"/>
  <c r="L18" i="77"/>
  <c r="L10" i="77"/>
  <c r="K24" i="77"/>
  <c r="Q16" i="77" s="1"/>
  <c r="R16" i="77" s="1"/>
  <c r="L12" i="45"/>
  <c r="H17" i="45" s="1"/>
  <c r="L11" i="45"/>
  <c r="H24" i="45" s="1"/>
  <c r="L27" i="46" l="1"/>
  <c r="L28" i="46" s="1"/>
  <c r="L19" i="77"/>
  <c r="L20" i="77" s="1"/>
  <c r="L23" i="77" s="1"/>
  <c r="L11" i="77"/>
  <c r="R18" i="78"/>
  <c r="M18" i="78"/>
  <c r="D12" i="52"/>
  <c r="S18" i="78" l="1"/>
  <c r="T18" i="78" s="1"/>
  <c r="L24" i="77"/>
  <c r="Q17" i="77" s="1"/>
  <c r="R17" i="77" s="1"/>
  <c r="E12" i="52"/>
  <c r="E15" i="52" s="1"/>
  <c r="E29" i="52" l="1"/>
  <c r="F12" i="52"/>
  <c r="F15" i="52" l="1"/>
  <c r="F29" i="52" s="1"/>
  <c r="E30" i="46"/>
  <c r="G12" i="52"/>
  <c r="G15" i="52" s="1"/>
  <c r="B10" i="51" l="1"/>
  <c r="G29" i="52"/>
  <c r="H12" i="52"/>
  <c r="H15" i="52" s="1"/>
  <c r="F30" i="46" l="1"/>
  <c r="H29" i="52"/>
  <c r="I12" i="52"/>
  <c r="I15" i="52" s="1"/>
  <c r="G30" i="46" l="1"/>
  <c r="J12" i="52"/>
  <c r="J15" i="52" s="1"/>
  <c r="I29" i="52"/>
  <c r="H30" i="46" l="1"/>
  <c r="K12" i="52"/>
  <c r="K15" i="52" s="1"/>
  <c r="J29" i="52"/>
  <c r="I30" i="46"/>
  <c r="L12" i="52" l="1"/>
  <c r="L15" i="52" s="1"/>
  <c r="K29" i="52"/>
  <c r="J30" i="46"/>
  <c r="M12" i="52" l="1"/>
  <c r="M15" i="52" s="1"/>
  <c r="K30" i="46"/>
  <c r="L29" i="52"/>
  <c r="N13" i="52"/>
  <c r="N12" i="52" l="1"/>
  <c r="M29" i="52"/>
  <c r="L30" i="46"/>
  <c r="O13" i="52"/>
  <c r="P13" i="52" l="1"/>
  <c r="O12" i="52"/>
  <c r="P12" i="52" l="1"/>
  <c r="Q13" i="52"/>
  <c r="R13" i="52" l="1"/>
  <c r="Q12" i="52"/>
  <c r="N14" i="52"/>
  <c r="N15" i="52" s="1"/>
  <c r="O14" i="52" l="1"/>
  <c r="O15" i="52" s="1"/>
  <c r="N29" i="52"/>
  <c r="R12" i="52"/>
  <c r="O29" i="52" l="1"/>
  <c r="P14" i="52"/>
  <c r="P15" i="52" s="1"/>
  <c r="Q14" i="52" l="1"/>
  <c r="Q15" i="52" s="1"/>
  <c r="P29" i="52"/>
  <c r="R14" i="52" l="1"/>
  <c r="R15" i="52" s="1"/>
  <c r="Q29" i="52"/>
  <c r="R29" i="52" l="1"/>
  <c r="R13" i="51" l="1"/>
  <c r="R9" i="51" l="1"/>
  <c r="R10" i="51" l="1"/>
  <c r="D9" i="52" l="1"/>
  <c r="D15" i="52" s="1"/>
  <c r="D29" i="52" s="1"/>
  <c r="D31" i="52" s="1"/>
  <c r="E30" i="52" s="1"/>
  <c r="E31" i="52" s="1"/>
  <c r="F30" i="52" s="1"/>
  <c r="F31" i="52" s="1"/>
  <c r="G30" i="52" s="1"/>
  <c r="G31" i="52" s="1"/>
  <c r="H30" i="52" s="1"/>
  <c r="H31" i="52" s="1"/>
  <c r="I30" i="52" s="1"/>
  <c r="I31" i="52" s="1"/>
  <c r="J30" i="52" s="1"/>
  <c r="J31" i="52" s="1"/>
  <c r="K30" i="52" s="1"/>
  <c r="K31" i="52" s="1"/>
  <c r="L30" i="52" s="1"/>
  <c r="L31" i="52" s="1"/>
  <c r="M30" i="52" s="1"/>
  <c r="M31" i="52" s="1"/>
  <c r="N30" i="52" s="1"/>
  <c r="N31" i="52" s="1"/>
  <c r="O30" i="52" s="1"/>
  <c r="O31" i="52" s="1"/>
  <c r="P30" i="52" s="1"/>
  <c r="P31" i="52" s="1"/>
  <c r="Q30" i="52" s="1"/>
  <c r="Q31" i="52" s="1"/>
  <c r="R30" i="52" s="1"/>
  <c r="R31" i="52" s="1"/>
  <c r="D16" i="46" l="1"/>
  <c r="D30" i="46" s="1"/>
  <c r="C12" i="51" l="1"/>
  <c r="C14" i="51" s="1"/>
  <c r="C15" i="51" s="1"/>
  <c r="C18" i="51" s="1"/>
  <c r="E13" i="52"/>
  <c r="B12" i="51"/>
  <c r="D13" i="52"/>
  <c r="F13" i="52" l="1"/>
  <c r="D12" i="51"/>
  <c r="D14" i="51" s="1"/>
  <c r="D15" i="51" s="1"/>
  <c r="D18" i="51" s="1"/>
  <c r="B14" i="51"/>
  <c r="G13" i="52" l="1"/>
  <c r="E12" i="51"/>
  <c r="R14" i="51"/>
  <c r="B15" i="51"/>
  <c r="E14" i="51" l="1"/>
  <c r="E15" i="51" s="1"/>
  <c r="E18" i="51" s="1"/>
  <c r="H13" i="52"/>
  <c r="F12" i="51"/>
  <c r="F14" i="51" s="1"/>
  <c r="F15" i="51" s="1"/>
  <c r="F18" i="51" s="1"/>
  <c r="R15" i="51"/>
  <c r="B18" i="51"/>
  <c r="D14" i="52"/>
  <c r="B19" i="51"/>
  <c r="R19" i="51" s="1"/>
  <c r="C19" i="51"/>
  <c r="C20" i="51" s="1"/>
  <c r="E14" i="52"/>
  <c r="J11" i="38" l="1"/>
  <c r="Z11" i="38"/>
  <c r="T11" i="38"/>
  <c r="G12" i="51"/>
  <c r="G14" i="51" s="1"/>
  <c r="G15" i="51" s="1"/>
  <c r="G18" i="51" s="1"/>
  <c r="I13" i="52"/>
  <c r="Z10" i="38"/>
  <c r="T10" i="38"/>
  <c r="F14" i="52"/>
  <c r="D19" i="51"/>
  <c r="D20" i="51" s="1"/>
  <c r="B20" i="51"/>
  <c r="R20" i="51" s="1"/>
  <c r="R18" i="51"/>
  <c r="J13" i="52" l="1"/>
  <c r="H12" i="51"/>
  <c r="H14" i="51" s="1"/>
  <c r="H15" i="51" s="1"/>
  <c r="H18" i="51" s="1"/>
  <c r="G14" i="52"/>
  <c r="E19" i="51"/>
  <c r="E20" i="51" s="1"/>
  <c r="T12" i="38"/>
  <c r="Z12" i="38"/>
  <c r="J12" i="38"/>
  <c r="Q11" i="38"/>
  <c r="M11" i="38"/>
  <c r="M10" i="38"/>
  <c r="Q10" i="38"/>
  <c r="R10" i="38" s="1"/>
  <c r="N10" i="38" l="1"/>
  <c r="M12" i="38"/>
  <c r="Q12" i="38"/>
  <c r="H14" i="52"/>
  <c r="F19" i="51"/>
  <c r="F20" i="51" s="1"/>
  <c r="I12" i="51"/>
  <c r="I14" i="51" s="1"/>
  <c r="I15" i="51" s="1"/>
  <c r="I18" i="51" s="1"/>
  <c r="K13" i="52"/>
  <c r="R11" i="38"/>
  <c r="Z13" i="38"/>
  <c r="T13" i="38"/>
  <c r="J13" i="38"/>
  <c r="N11" i="38" l="1"/>
  <c r="J12" i="51"/>
  <c r="J14" i="51" s="1"/>
  <c r="J15" i="51" s="1"/>
  <c r="J18" i="51" s="1"/>
  <c r="L13" i="52"/>
  <c r="M13" i="38"/>
  <c r="Q13" i="38"/>
  <c r="I14" i="52"/>
  <c r="G19" i="51"/>
  <c r="G20" i="51" s="1"/>
  <c r="J14" i="38"/>
  <c r="G28" i="38" s="1"/>
  <c r="Z14" i="38"/>
  <c r="T14" i="38"/>
  <c r="R12" i="38"/>
  <c r="N12" i="38" l="1"/>
  <c r="T15" i="38"/>
  <c r="Z15" i="38"/>
  <c r="J15" i="38"/>
  <c r="H19" i="51"/>
  <c r="H20" i="51" s="1"/>
  <c r="J14" i="52"/>
  <c r="M14" i="38"/>
  <c r="Q14" i="38"/>
  <c r="R13" i="38"/>
  <c r="N13" i="38" l="1"/>
  <c r="N14" i="38" s="1"/>
  <c r="W25" i="38" s="1"/>
  <c r="M13" i="52"/>
  <c r="K12" i="51"/>
  <c r="K14" i="51" s="1"/>
  <c r="K15" i="51" s="1"/>
  <c r="K18" i="51" s="1"/>
  <c r="R12" i="51"/>
  <c r="R14" i="38"/>
  <c r="M15" i="38"/>
  <c r="W26" i="38" s="1"/>
  <c r="Q15" i="38"/>
  <c r="I19" i="51"/>
  <c r="I20" i="51" s="1"/>
  <c r="K14" i="52"/>
  <c r="Z16" i="38"/>
  <c r="T16" i="38"/>
  <c r="J16" i="38"/>
  <c r="N15" i="38" l="1"/>
  <c r="R15" i="38"/>
  <c r="J19" i="51"/>
  <c r="J20" i="51" s="1"/>
  <c r="L14" i="52"/>
  <c r="Q16" i="38"/>
  <c r="M16" i="38"/>
  <c r="J17" i="38"/>
  <c r="T17" i="38"/>
  <c r="Z17" i="38"/>
  <c r="W27" i="38" l="1"/>
  <c r="G30" i="38" s="1"/>
  <c r="N16" i="38"/>
  <c r="R16" i="38"/>
  <c r="Q17" i="38"/>
  <c r="M17" i="38"/>
  <c r="J18" i="38"/>
  <c r="G27" i="38" s="1"/>
  <c r="Z18" i="38"/>
  <c r="T18" i="38"/>
  <c r="K19" i="51"/>
  <c r="K20" i="51" s="1"/>
  <c r="M14" i="52"/>
  <c r="N17" i="38" l="1"/>
  <c r="R17" i="38"/>
  <c r="M18" i="38"/>
  <c r="Q18" i="38"/>
  <c r="T19" i="38"/>
  <c r="N31" i="38" s="1"/>
  <c r="N33" i="38" s="1"/>
  <c r="G29" i="38" s="1"/>
  <c r="Z19" i="38"/>
  <c r="N25" i="38" s="1"/>
  <c r="N28" i="38" s="1"/>
  <c r="N18" i="38" l="1"/>
  <c r="R18" i="38"/>
  <c r="Q19" i="38"/>
  <c r="N19" i="38" l="1"/>
  <c r="R19" i="38"/>
  <c r="N9" i="78" l="1"/>
  <c r="O9" i="78" s="1"/>
  <c r="C32" i="46"/>
  <c r="D31" i="46" s="1"/>
  <c r="D35" i="46" l="1"/>
  <c r="J10" i="78" s="1"/>
  <c r="N10" i="78" s="1"/>
  <c r="O10" i="78" s="1"/>
  <c r="D32" i="46" l="1"/>
  <c r="E31" i="46" s="1"/>
  <c r="E32" i="46" s="1"/>
  <c r="F31" i="46" s="1"/>
  <c r="F35" i="46" s="1"/>
  <c r="J12" i="78" s="1"/>
  <c r="N12" i="78" s="1"/>
  <c r="O12" i="78" s="1"/>
  <c r="E35" i="46" l="1"/>
  <c r="J11" i="78" s="1"/>
  <c r="N11" i="78" s="1"/>
  <c r="O11" i="78" s="1"/>
  <c r="F32" i="46"/>
  <c r="G31" i="46" s="1"/>
  <c r="G35" i="46" s="1"/>
  <c r="J13" i="78" l="1"/>
  <c r="N13" i="78" s="1"/>
  <c r="O13" i="78" s="1"/>
  <c r="G32" i="46"/>
  <c r="H31" i="46" s="1"/>
  <c r="H35" i="46" s="1"/>
  <c r="J14" i="78" s="1"/>
  <c r="N14" i="78" s="1"/>
  <c r="O14" i="78" s="1"/>
  <c r="H32" i="46" l="1"/>
  <c r="I31" i="46" s="1"/>
  <c r="I35" i="46" s="1"/>
  <c r="J15" i="78" s="1"/>
  <c r="N15" i="78" s="1"/>
  <c r="O15" i="78" s="1"/>
  <c r="I32" i="46" l="1"/>
  <c r="J31" i="46" s="1"/>
  <c r="J35" i="46" s="1"/>
  <c r="J16" i="78" s="1"/>
  <c r="N16" i="78" s="1"/>
  <c r="O16" i="78" s="1"/>
  <c r="J32" i="46" l="1"/>
  <c r="K31" i="46" s="1"/>
  <c r="K35" i="46" s="1"/>
  <c r="J17" i="78" s="1"/>
  <c r="N17" i="78" s="1"/>
  <c r="O17" i="78" s="1"/>
  <c r="K32" i="46" l="1"/>
  <c r="L31" i="46" s="1"/>
  <c r="L32" i="46" l="1"/>
  <c r="L35" i="46"/>
  <c r="J18" i="78" s="1"/>
  <c r="N18" i="78" s="1"/>
</calcChain>
</file>

<file path=xl/sharedStrings.xml><?xml version="1.0" encoding="utf-8"?>
<sst xmlns="http://schemas.openxmlformats.org/spreadsheetml/2006/main" count="2311" uniqueCount="1256">
  <si>
    <t>Pra-operational Cost SPI (in idr)</t>
  </si>
  <si>
    <t>No</t>
  </si>
  <si>
    <t>Description</t>
  </si>
  <si>
    <t>Aug'19</t>
  </si>
  <si>
    <t>Sep'19</t>
  </si>
  <si>
    <t>Okt'19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</si>
  <si>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</si>
  <si>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</si>
  <si>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</si>
  <si>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</si>
  <si>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</si>
  <si>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</si>
  <si>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</si>
  <si>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</si>
  <si>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</si>
  <si>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</si>
  <si>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</si>
  <si>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</si>
  <si>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</si>
  <si>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</si>
  <si>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</si>
  <si>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</si>
  <si>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</si>
  <si>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Total</t>
  </si>
  <si>
    <t>Company Establishment</t>
  </si>
  <si>
    <t>Founder Tim Remuneration</t>
  </si>
  <si>
    <t>Project Tim</t>
  </si>
  <si>
    <t>Security Tim</t>
  </si>
  <si>
    <t>Technical Audit (Chematur)</t>
  </si>
  <si>
    <t>Jakarta Office Rent (Incl. utilities)</t>
  </si>
  <si>
    <t>Lhoksemauwe Office Rent (Incl. renovation, furniture)</t>
  </si>
  <si>
    <t>Down Payment (Factory Rent)</t>
  </si>
  <si>
    <t>Warranty Deposit (Cashflow)</t>
  </si>
  <si>
    <t>Goodwill (Plant Rent, Raw Mat. Supply Agree., Product Offtake Agree., Setup Tim)</t>
  </si>
  <si>
    <t>Office Equipment</t>
  </si>
  <si>
    <t>Operational Cost (Business Trip,  Survey etc)</t>
  </si>
  <si>
    <t>DCS</t>
  </si>
  <si>
    <t>Working Capital (raw mat., chemical,  etc)</t>
  </si>
  <si>
    <t>Project Cost</t>
  </si>
  <si>
    <t>Exchange Rate</t>
  </si>
  <si>
    <t>Gas Price</t>
  </si>
  <si>
    <t>usd/mmbtu</t>
  </si>
  <si>
    <t>idr/ 1 usd</t>
  </si>
  <si>
    <t>Variabel Production Cost</t>
  </si>
  <si>
    <t>Production Volume (Concentrate 60%)</t>
  </si>
  <si>
    <t>Sales Volume</t>
  </si>
  <si>
    <t>/year</t>
  </si>
  <si>
    <t>Inflation Rate</t>
  </si>
  <si>
    <t>Discount Rate</t>
  </si>
  <si>
    <t>Sales Price</t>
  </si>
  <si>
    <t>/mton</t>
  </si>
  <si>
    <t>usd/mton</t>
  </si>
  <si>
    <t>years</t>
  </si>
  <si>
    <t>USD</t>
  </si>
  <si>
    <t>Utilities</t>
  </si>
  <si>
    <t>Discount Factor</t>
  </si>
  <si>
    <t>B</t>
  </si>
  <si>
    <t>fd</t>
  </si>
  <si>
    <t>No.</t>
  </si>
  <si>
    <t>Sources:</t>
  </si>
  <si>
    <t>%</t>
  </si>
  <si>
    <t>IDR/USD</t>
  </si>
  <si>
    <t>% per year</t>
  </si>
  <si>
    <t>Depreciation</t>
  </si>
  <si>
    <t>% of net profit/loss before tax</t>
  </si>
  <si>
    <t>Minimum Acceptable ROR (MARR)</t>
  </si>
  <si>
    <t>Note:</t>
  </si>
  <si>
    <t>Assumptions:</t>
  </si>
  <si>
    <t>Assumption:</t>
  </si>
  <si>
    <t>Position</t>
  </si>
  <si>
    <t>Number</t>
  </si>
  <si>
    <t>Monthly</t>
  </si>
  <si>
    <t>Yearly</t>
  </si>
  <si>
    <t>Packaging</t>
  </si>
  <si>
    <t>Cumulative</t>
  </si>
  <si>
    <t>Tax holiday</t>
  </si>
  <si>
    <t>Operating Expenses:</t>
  </si>
  <si>
    <t>Plant overhead</t>
  </si>
  <si>
    <t>Electricity</t>
  </si>
  <si>
    <t>Years</t>
  </si>
  <si>
    <t>Earning Before Tax (EBT)</t>
  </si>
  <si>
    <t>Net Present Value (NPV)</t>
  </si>
  <si>
    <t>Profitability Index (PI)</t>
  </si>
  <si>
    <t>Interest Rate =</t>
  </si>
  <si>
    <t>Unlevered Free Cash Flow</t>
  </si>
  <si>
    <t>Net Free Cash Flow (FCF)</t>
  </si>
  <si>
    <t>Discounted Free Cash Flow</t>
  </si>
  <si>
    <t>Cumulative Discounted Free Cash Flow</t>
  </si>
  <si>
    <t>THEORY</t>
  </si>
  <si>
    <t>Variable production costs:</t>
  </si>
  <si>
    <t>Raw materials</t>
  </si>
  <si>
    <t>Operating labor</t>
  </si>
  <si>
    <t>Operating supervision</t>
  </si>
  <si>
    <t>Utilities:</t>
  </si>
  <si>
    <t>Fuel</t>
  </si>
  <si>
    <t>Refrigeration</t>
  </si>
  <si>
    <t>Steam</t>
  </si>
  <si>
    <t>Waste treatment &amp; disposal</t>
  </si>
  <si>
    <t>Water, process</t>
  </si>
  <si>
    <t>Water, cooling</t>
  </si>
  <si>
    <t>Maintenance &amp; repairs</t>
  </si>
  <si>
    <t>Operating supplies</t>
  </si>
  <si>
    <t>Laboratory charges</t>
  </si>
  <si>
    <t>Royalties (if not on lump-sum basis)</t>
  </si>
  <si>
    <t>Catalyst and solvents</t>
  </si>
  <si>
    <t>Fixed charges:</t>
  </si>
  <si>
    <t>Medical</t>
  </si>
  <si>
    <t>Safety &amp; protection</t>
  </si>
  <si>
    <t>General plant overhead</t>
  </si>
  <si>
    <t>Payroll overhead</t>
  </si>
  <si>
    <t>Restaurant</t>
  </si>
  <si>
    <t>Recreation</t>
  </si>
  <si>
    <t>Salvage</t>
  </si>
  <si>
    <t>Control laboratories</t>
  </si>
  <si>
    <t>Plant superintendence</t>
  </si>
  <si>
    <t>Storage facilities</t>
  </si>
  <si>
    <t>Administration expenses:</t>
  </si>
  <si>
    <t>Sales offices</t>
  </si>
  <si>
    <t>Sales personnel expenses</t>
  </si>
  <si>
    <t>Shipping</t>
  </si>
  <si>
    <t>Advertising</t>
  </si>
  <si>
    <t>Technical sales service</t>
  </si>
  <si>
    <t>Variable production costs</t>
  </si>
  <si>
    <t>Fixed charges</t>
  </si>
  <si>
    <t>Taxes (property)</t>
  </si>
  <si>
    <t>Financing (interest)</t>
  </si>
  <si>
    <t>Insurance</t>
  </si>
  <si>
    <t>Rent</t>
  </si>
  <si>
    <t>Plant overhead cost:</t>
  </si>
  <si>
    <t>xxxxx</t>
  </si>
  <si>
    <t>Executive salaries</t>
  </si>
  <si>
    <t>Clerical wages</t>
  </si>
  <si>
    <t>Engineering</t>
  </si>
  <si>
    <t>Legas costs</t>
  </si>
  <si>
    <t>Office maintenance</t>
  </si>
  <si>
    <t>Communications</t>
  </si>
  <si>
    <t>Distribution &amp; Marketing expenses:</t>
  </si>
  <si>
    <t>Manufacturing, Operating or Production costs:</t>
  </si>
  <si>
    <t>Plant overhead costs</t>
  </si>
  <si>
    <t>General Expenses:</t>
  </si>
  <si>
    <t>Administration expenses</t>
  </si>
  <si>
    <t>Distribution &amp; marketing expenses</t>
  </si>
  <si>
    <t>Estimation Of Total Product Costs</t>
  </si>
  <si>
    <t>Total Product Costs</t>
  </si>
  <si>
    <t>TOTAL PRODUCT COSTS</t>
  </si>
  <si>
    <t>GENERAL EXPENSES</t>
  </si>
  <si>
    <t>MANUFACTURING COSTS (PRODUCTION OR OPERATING COSTS)</t>
  </si>
  <si>
    <t>Max S. Pieters &amp; K.D Timmerhouse</t>
  </si>
  <si>
    <t>Handbook - Plant design and Economics for Chemical Engineers</t>
  </si>
  <si>
    <t>Operating Expenses</t>
  </si>
  <si>
    <t>1).</t>
  </si>
  <si>
    <t>2).</t>
  </si>
  <si>
    <t>3).</t>
  </si>
  <si>
    <t>4).</t>
  </si>
  <si>
    <t>5).</t>
  </si>
  <si>
    <t>6).</t>
  </si>
  <si>
    <t>of FCI</t>
  </si>
  <si>
    <t>of maintenance &amp; repairs</t>
  </si>
  <si>
    <t>of operating labor</t>
  </si>
  <si>
    <t>of total product cost</t>
  </si>
  <si>
    <t>Others:</t>
  </si>
  <si>
    <t>Principal of loan will be paid in the first year of commercial production.</t>
  </si>
  <si>
    <t>The intesrest will be paid in the first year of commercial production.</t>
  </si>
  <si>
    <t>Sales Revenue</t>
  </si>
  <si>
    <t>Production years</t>
  </si>
  <si>
    <t>Cost of Goods Sold</t>
  </si>
  <si>
    <t>Gross Margin</t>
  </si>
  <si>
    <t>Operating Profit</t>
  </si>
  <si>
    <t xml:space="preserve">  Interest expense</t>
  </si>
  <si>
    <t>Earning Before Tax</t>
  </si>
  <si>
    <t xml:space="preserve">  Income tax expense</t>
  </si>
  <si>
    <t>Net Income</t>
  </si>
  <si>
    <t>Capital Investment Draw-down</t>
  </si>
  <si>
    <t>Plant overhead costs include costs for the following: general plant upkeep &amp; overhead,</t>
  </si>
  <si>
    <t>payroll overhead, packaging, medical services, safety &amp; protection, restaurants, recreation,</t>
  </si>
  <si>
    <t>Escalation per year for:</t>
  </si>
  <si>
    <t>Salary &amp; wages</t>
  </si>
  <si>
    <t>per year (inflation rate basis)</t>
  </si>
  <si>
    <t>Ʃ(H)</t>
  </si>
  <si>
    <t>Internal Rate of Return (IRR)</t>
  </si>
  <si>
    <t>Payback Period (PBT)</t>
  </si>
  <si>
    <t>Project valuation:</t>
  </si>
  <si>
    <t>10 - 20%</t>
  </si>
  <si>
    <t>of TPC</t>
  </si>
  <si>
    <t>2 - 10%</t>
  </si>
  <si>
    <t>15%</t>
  </si>
  <si>
    <t>0.5 - 1.0%</t>
  </si>
  <si>
    <t>1 - 4%</t>
  </si>
  <si>
    <t>0.4 - 1.0%</t>
  </si>
  <si>
    <t>&lt; 10%</t>
  </si>
  <si>
    <t>(1)</t>
  </si>
  <si>
    <t>50 - 70%</t>
  </si>
  <si>
    <t>of operating labor, supervision &amp; maintenance</t>
  </si>
  <si>
    <t>5 - 15%</t>
  </si>
  <si>
    <t>(2)</t>
  </si>
  <si>
    <t>15 - 25%</t>
  </si>
  <si>
    <t>2 - 5%</t>
  </si>
  <si>
    <t>(3)</t>
  </si>
  <si>
    <t>2 - 20%</t>
  </si>
  <si>
    <t>(4)</t>
  </si>
  <si>
    <t>Operating supplies: consumable items such as charts, lubricants, test chemicals, custodial supplies, and</t>
  </si>
  <si>
    <t>similar supplies cannot be considered as raw materials or maintenance &amp; repairs material.</t>
  </si>
  <si>
    <t>Laboratory charges: the cost of laboratory tests for control of operations and for product quality control.</t>
  </si>
  <si>
    <t>Financing interest: the compensation paid for the use of borrowed capital. Event though it should not be</t>
  </si>
  <si>
    <t xml:space="preserve">considered as a manufacturing cost, but that it should be listed as a separate expense under the general heading </t>
  </si>
  <si>
    <t>of management or financing cost.</t>
  </si>
  <si>
    <t>Cost Factorial Checking</t>
  </si>
  <si>
    <t xml:space="preserve">Plant overhead costs for chemical plants is about 50 to 70% of the total expenses for operating labor, supervision, and </t>
  </si>
  <si>
    <t>Administrative costs is about 15 to 25% of costs of operating labor, supervision and maintenance.</t>
  </si>
  <si>
    <t>It includes costs for executive salaries, clerical wages, computer support, legal fees, office supplies and communications.</t>
  </si>
  <si>
    <t>Distribution &amp; marketing costs is about 2 to 20% of the total product cost.</t>
  </si>
  <si>
    <t>It includes costs for sales offices, sales people, shipping and advertising.</t>
  </si>
  <si>
    <t>maintenance.</t>
  </si>
  <si>
    <t>(5)</t>
  </si>
  <si>
    <t>(6)</t>
  </si>
  <si>
    <t>Cost of Goods Manufacturing:</t>
  </si>
  <si>
    <t>Chemicals &amp; catalyst</t>
  </si>
  <si>
    <t>TPC</t>
  </si>
  <si>
    <t>FCI</t>
  </si>
  <si>
    <t>Operating labor, supervision &amp; maintenance</t>
  </si>
  <si>
    <t>Factor</t>
  </si>
  <si>
    <t>Theoritical</t>
  </si>
  <si>
    <t>Application</t>
  </si>
  <si>
    <t>10-80%</t>
  </si>
  <si>
    <t xml:space="preserve">Distribution &amp; Marketing </t>
  </si>
  <si>
    <t xml:space="preserve">Administrative </t>
  </si>
  <si>
    <t xml:space="preserve">Plant overhead </t>
  </si>
  <si>
    <t>Excl. Salary for executives</t>
  </si>
  <si>
    <t>Exclude salary for analysts</t>
  </si>
  <si>
    <t>Excl. Packaging cost</t>
  </si>
  <si>
    <t>(7)</t>
  </si>
  <si>
    <t>Excl. Salary for non-operating labor</t>
  </si>
  <si>
    <t>As local rate</t>
  </si>
  <si>
    <t>Refer to similar plant experience</t>
  </si>
  <si>
    <t>As market info</t>
  </si>
  <si>
    <t>- Project Financing</t>
  </si>
  <si>
    <t>Beginning Balance</t>
  </si>
  <si>
    <t>Ending Balance</t>
  </si>
  <si>
    <t>Projection Years</t>
  </si>
  <si>
    <t>Net cash flow from operating activities</t>
  </si>
  <si>
    <t>Cash flow from operating activities</t>
  </si>
  <si>
    <t>Cash flow from investment activities</t>
  </si>
  <si>
    <t>Cash flow from financing activities</t>
  </si>
  <si>
    <t>- Capital (equity)</t>
  </si>
  <si>
    <t>- Interest payment</t>
  </si>
  <si>
    <t>- Repayment loan</t>
  </si>
  <si>
    <t xml:space="preserve">     Income from customer</t>
  </si>
  <si>
    <t xml:space="preserve">     Less: Payment to supplier</t>
  </si>
  <si>
    <t xml:space="preserve">              Cash income tax</t>
  </si>
  <si>
    <t>Net cash change</t>
  </si>
  <si>
    <t xml:space="preserve">     Project cost (fixed capital)</t>
  </si>
  <si>
    <t>WACC =</t>
  </si>
  <si>
    <t>per month</t>
  </si>
  <si>
    <t>IDR (total)</t>
  </si>
  <si>
    <t>Formula:</t>
  </si>
  <si>
    <t>Dalam hal ini:</t>
  </si>
  <si>
    <t>Income tax rate</t>
  </si>
  <si>
    <t>Knowns:</t>
  </si>
  <si>
    <t>No preferred and common share of capital</t>
  </si>
  <si>
    <t>Debt portion</t>
  </si>
  <si>
    <t>Loan interest rate</t>
  </si>
  <si>
    <t>Then</t>
  </si>
  <si>
    <t>Profit margin:</t>
  </si>
  <si>
    <t xml:space="preserve">     Working capital</t>
  </si>
  <si>
    <t>CUMULATIVE</t>
  </si>
  <si>
    <t>Capital Investment</t>
  </si>
  <si>
    <t>Total capital investment</t>
  </si>
  <si>
    <t>Annex-Projected Income Statement</t>
  </si>
  <si>
    <t>Annex-Projected Cash Flow</t>
  </si>
  <si>
    <t>Structure of Income Statement</t>
  </si>
  <si>
    <t>Beginning inventories</t>
  </si>
  <si>
    <t>Variable production cost</t>
  </si>
  <si>
    <t>Less: Ending inventories</t>
  </si>
  <si>
    <t>Less: Cost of goods sold:</t>
  </si>
  <si>
    <t>xxxxxxx</t>
  </si>
  <si>
    <t>(xxxxxxx)</t>
  </si>
  <si>
    <t>Less: SG &amp; A:</t>
  </si>
  <si>
    <t>Selling expenses</t>
  </si>
  <si>
    <t>General &amp; Administrative expenses</t>
  </si>
  <si>
    <t>Selling, General &amp; Administrative expenses</t>
  </si>
  <si>
    <t>Less: Interest expenses</t>
  </si>
  <si>
    <t>Earning Before Taxes</t>
  </si>
  <si>
    <t>Less: Income tax expenses</t>
  </si>
  <si>
    <t>Gross Profit</t>
  </si>
  <si>
    <t>Net Sales</t>
  </si>
  <si>
    <t>Chemicals</t>
  </si>
  <si>
    <t>Plant overhead:</t>
  </si>
  <si>
    <t>Maintenance &amp; repair</t>
  </si>
  <si>
    <t>Plant depreciation</t>
  </si>
  <si>
    <t>Selling expenses:</t>
  </si>
  <si>
    <t>Typical cost - Sources PT. KKA Budget 2007</t>
  </si>
  <si>
    <t>Insurance (building, vehicles, and finished goods stock)</t>
  </si>
  <si>
    <t>Insurance (building, machine &amp; equipment, vehicles)</t>
  </si>
  <si>
    <t>Services (legal, product distribution &amp; transportation)</t>
  </si>
  <si>
    <t>General &amp; Administrative:</t>
  </si>
  <si>
    <t>Depreciation (building, office, house, vehicles)</t>
  </si>
  <si>
    <t>Insurance (site facilities, vehicles)</t>
  </si>
  <si>
    <t>Services (consultant, legal, audit, bank charge)</t>
  </si>
  <si>
    <t>Laboratorium</t>
  </si>
  <si>
    <t>See KKA budget</t>
  </si>
  <si>
    <t>Recalculate</t>
  </si>
  <si>
    <t>Need to check</t>
  </si>
  <si>
    <t>Administrative (travel, meeting, office supplies, communication, etc)</t>
  </si>
  <si>
    <t>Full or Absorption Costing</t>
  </si>
  <si>
    <t>Production Costs and Operating Expenses</t>
  </si>
  <si>
    <t>Basis:</t>
  </si>
  <si>
    <t>Production costs = Biaya produksi = Costs</t>
  </si>
  <si>
    <t>Operating expenses = Biaya operasi = Biaya non produksi = Expenses</t>
  </si>
  <si>
    <t>Variable cost</t>
  </si>
  <si>
    <t>Tipikal biaya produksi:</t>
  </si>
  <si>
    <t>Bahan baku</t>
  </si>
  <si>
    <t>Utilitas</t>
  </si>
  <si>
    <t>Bahan kemasan</t>
  </si>
  <si>
    <t>Penyusutan fasilitas pabrik</t>
  </si>
  <si>
    <t>Pemeliharaan dan perbaikan peralatan produksi</t>
  </si>
  <si>
    <t>Asuransi fasilitas pabrik</t>
  </si>
  <si>
    <t>Pajak properti pabrik</t>
  </si>
  <si>
    <t>Fixed overhead cost</t>
  </si>
  <si>
    <t>Tipikal biaya operasi:</t>
  </si>
  <si>
    <t>Beginning finished goods inventory</t>
  </si>
  <si>
    <t>Costs of goods produced:</t>
  </si>
  <si>
    <t>Fixed cost (or fixed plant overhead)</t>
  </si>
  <si>
    <t>Costs of goods available for sale</t>
  </si>
  <si>
    <t>xxxx</t>
  </si>
  <si>
    <t>Ending finished goods inventory</t>
  </si>
  <si>
    <t>(xxxx)</t>
  </si>
  <si>
    <t>Costs of goods sold (COGS)</t>
  </si>
  <si>
    <t>Cost of goods available for sale = Harga pokok produksi</t>
  </si>
  <si>
    <t>Cost of goods sold = Harga pokok penjualan</t>
  </si>
  <si>
    <t>Biaya administrasi &amp; umum:</t>
  </si>
  <si>
    <t>Gaji &amp; upah karyawan pabrik</t>
  </si>
  <si>
    <t>Gaji &amp; upah karyawan kantor</t>
  </si>
  <si>
    <t>Penyusutan peralatan &amp; kenderaan kantor</t>
  </si>
  <si>
    <t>Asuransi gedung &amp; kenderaan kantor</t>
  </si>
  <si>
    <t>Perjalanan dinas</t>
  </si>
  <si>
    <t>Office supplies</t>
  </si>
  <si>
    <t>Biaya komunikasi</t>
  </si>
  <si>
    <t>Pajak - pajak</t>
  </si>
  <si>
    <t>Sewa kenderaan &amp; biaya bahan bakar</t>
  </si>
  <si>
    <t>Biaya listrik kantor</t>
  </si>
  <si>
    <t>Biaya rapat</t>
  </si>
  <si>
    <t>Biaya penjualan &amp; pemasaran:</t>
  </si>
  <si>
    <t>Gaji eksekutif perusahaan</t>
  </si>
  <si>
    <t>Gaji &amp; upah karyawan pemasaran/penjualan</t>
  </si>
  <si>
    <t>Biaya pengiriman</t>
  </si>
  <si>
    <t>Biaya promosi</t>
  </si>
  <si>
    <t>Biaya pemasaran</t>
  </si>
  <si>
    <t>Biaya sewa gedung (kantor)</t>
  </si>
  <si>
    <t>Biaya legal</t>
  </si>
  <si>
    <t>Biaya riset &amp; pengembangan</t>
  </si>
  <si>
    <t>Selling, General &amp; Administrative (SG&amp;A):</t>
  </si>
  <si>
    <t>Cost of Goods Sold (COGS):</t>
  </si>
  <si>
    <t>General &amp; Adminstrative expenses</t>
  </si>
  <si>
    <t>Sales revenue</t>
  </si>
  <si>
    <t>Other Income</t>
  </si>
  <si>
    <t>Earning Before Interest &amp; Taxes</t>
  </si>
  <si>
    <t>Interest Expenses</t>
  </si>
  <si>
    <t>Corporate Tax</t>
  </si>
  <si>
    <t>Packaging materials</t>
  </si>
  <si>
    <t>Plant turn around</t>
  </si>
  <si>
    <t>Others (building &amp; heavy vehicles rent, promotion)</t>
  </si>
  <si>
    <t>Maintenance &amp; repair (building, office equipment, site facilities)</t>
  </si>
  <si>
    <t>as capitalized interest.</t>
  </si>
  <si>
    <t xml:space="preserve">          -----&gt; Matching?</t>
  </si>
  <si>
    <t>Selling, General &amp; Administrative</t>
  </si>
  <si>
    <t xml:space="preserve">   General &amp; Administrative</t>
  </si>
  <si>
    <t xml:space="preserve">   Selling expenses</t>
  </si>
  <si>
    <t xml:space="preserve">              Plant overhead</t>
  </si>
  <si>
    <t xml:space="preserve">              SG &amp; A</t>
  </si>
  <si>
    <t>Rp/kg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</si>
  <si>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</si>
  <si>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</si>
  <si>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</si>
  <si>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</si>
  <si>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</si>
  <si>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</si>
  <si>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</si>
  <si>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</si>
  <si>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</si>
  <si>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</si>
  <si>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</si>
  <si>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</si>
  <si>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+1</t>
  </si>
  <si>
    <t>Rp</t>
  </si>
  <si>
    <t>Overhead</t>
  </si>
  <si>
    <t>Rp, proposed as "working capital sheet"</t>
  </si>
  <si>
    <t>Rp/year</t>
  </si>
  <si>
    <t>in Rupiah (Rp)</t>
  </si>
  <si>
    <t>in Rupiah (Rp, millions)</t>
  </si>
  <si>
    <t>Perhitungan cost of equity:</t>
  </si>
  <si>
    <t>(1). Metode Capital Asset Pricing Model (CAPM)</t>
  </si>
  <si>
    <t>(2). Metode dividen saham (constant growth valuation model)</t>
  </si>
  <si>
    <t>(3). Metode Edward Bell Ohlson model</t>
  </si>
  <si>
    <t>Ada 4 metode:</t>
  </si>
  <si>
    <t>(4). Pendekatan investasi bebas risiko plus premi risiko</t>
  </si>
  <si>
    <t xml:space="preserve">Rumus metode (4): </t>
  </si>
  <si>
    <t>Cost of equity = Imbal hasil bebas risiko + premi risiko</t>
  </si>
  <si>
    <t xml:space="preserve">  Dapat diambil pertimbangan contoh SBN atau SBR yang mendapat jaminan dari</t>
  </si>
  <si>
    <t xml:space="preserve">  Pemerintah (misal 7%).</t>
  </si>
  <si>
    <t>- Imbal hasil bebas risiko (risk free rate):</t>
  </si>
  <si>
    <t>- Premi risiko (risk premium):</t>
  </si>
  <si>
    <t xml:space="preserve">  Merupakan sejumlah uang/modal yang rela dilepaskan oleh pengambil keputusan</t>
  </si>
  <si>
    <t xml:space="preserve">  untuk dapat menghindari risiko dari suatu kejadian tidak pasti yang dihadapi.</t>
  </si>
  <si>
    <t xml:space="preserve">  Angka premi risiko akan sangat berbeda tergantung terhadap risiko yang timbul dari </t>
  </si>
  <si>
    <t xml:space="preserve">  variabel yang dipertimbangkan. Sebagai contoh, dari website diperoleh  Indonesia</t>
  </si>
  <si>
    <t xml:space="preserve">  memiliki risk premium sebesar 8.03%.</t>
  </si>
  <si>
    <t>Risk free rate =</t>
  </si>
  <si>
    <t>Mature market risk premium =</t>
  </si>
  <si>
    <t>Country risk premium =</t>
  </si>
  <si>
    <t>WACC = Equity portion*Cost of equity</t>
  </si>
  <si>
    <t>Equity portion</t>
  </si>
  <si>
    <t>Risk free rate</t>
  </si>
  <si>
    <t>Risk premium</t>
  </si>
  <si>
    <t>Assume</t>
  </si>
  <si>
    <t>Cost of equity</t>
  </si>
  <si>
    <t>Rp (excluded IDP)</t>
  </si>
  <si>
    <t>Gudang Asal</t>
  </si>
  <si>
    <t>TUJUAN KIRIMAN</t>
  </si>
  <si>
    <t>VOLUME / KOLI</t>
  </si>
  <si>
    <t>Berat (Tonase)</t>
  </si>
  <si>
    <t>Berat (Kg)</t>
  </si>
  <si>
    <t>Biaya Truking</t>
  </si>
  <si>
    <t>Bongkar Muat</t>
  </si>
  <si>
    <t>Biaya Administrasi</t>
  </si>
  <si>
    <t>Biaya Lain-lain</t>
  </si>
  <si>
    <t>Jumlah Biaya Dasar</t>
  </si>
  <si>
    <t>Cost Of Fund</t>
  </si>
  <si>
    <t>Total Beban</t>
  </si>
  <si>
    <t>Margin Kotor</t>
  </si>
  <si>
    <t>Tarif Dasar</t>
  </si>
  <si>
    <t>Ppn Pos</t>
  </si>
  <si>
    <t>Penawaran</t>
  </si>
  <si>
    <t>GD. Kr. Geukueh Aceh Utara</t>
  </si>
  <si>
    <t>Banda Aceh / Aceh Besar</t>
  </si>
  <si>
    <t>Pidie</t>
  </si>
  <si>
    <t>Pidie Jaya</t>
  </si>
  <si>
    <t>Bireun</t>
  </si>
  <si>
    <t>Lhokseumawe</t>
  </si>
  <si>
    <t>Aceh Utara</t>
  </si>
  <si>
    <t>Aceh Timur / Langsa</t>
  </si>
  <si>
    <t>Aceh Tamiang</t>
  </si>
  <si>
    <t>Aceh Tengah</t>
  </si>
  <si>
    <t>Bener Meriah</t>
  </si>
  <si>
    <t>Aceh Jaya</t>
  </si>
  <si>
    <t>Aceh Barat</t>
  </si>
  <si>
    <t>Nagan Raya</t>
  </si>
  <si>
    <t>Aceh Barat Daya</t>
  </si>
  <si>
    <t>Aceh Selatan</t>
  </si>
  <si>
    <t>Subulussalam</t>
  </si>
  <si>
    <t>Singkil</t>
  </si>
  <si>
    <t>Aceh Tenggara</t>
  </si>
  <si>
    <t>Gayo Lues</t>
  </si>
  <si>
    <t>Sabang</t>
  </si>
  <si>
    <t>Simeulue</t>
  </si>
  <si>
    <t>Pekanbaru</t>
  </si>
  <si>
    <t>Padang</t>
  </si>
  <si>
    <t>Jarak Tempuh (KM)</t>
  </si>
  <si>
    <t>Selected market area</t>
  </si>
  <si>
    <t>Sales quantity, ton</t>
  </si>
  <si>
    <t>Plant site - Indrapuri</t>
  </si>
  <si>
    <t>See TransportReference sheet</t>
  </si>
  <si>
    <t>- Aceh Jaya</t>
  </si>
  <si>
    <t>- Aceh Barat</t>
  </si>
  <si>
    <t>- Nagan Raya</t>
  </si>
  <si>
    <t>- Aceh Barat (Meulaboh city)</t>
  </si>
  <si>
    <t>- Aceh Jaya (Lamno city)</t>
  </si>
  <si>
    <t>- Nagan Raya (Jeuram city)</t>
  </si>
  <si>
    <t>Original Port</t>
  </si>
  <si>
    <t>Destination Port</t>
  </si>
  <si>
    <t>Distance</t>
  </si>
  <si>
    <t>Rate (Rp/kg)</t>
  </si>
  <si>
    <t>Rate (Rp/kg/KM)</t>
  </si>
  <si>
    <t>Distance, KM</t>
  </si>
  <si>
    <t>Distance of destination:</t>
  </si>
  <si>
    <t>Original port</t>
  </si>
  <si>
    <t>Destination port:</t>
  </si>
  <si>
    <t>- Banda Aceh / Aceh Besar</t>
  </si>
  <si>
    <t>- Pidie</t>
  </si>
  <si>
    <t>- Pidie Jaya</t>
  </si>
  <si>
    <t>- Bireun</t>
  </si>
  <si>
    <t>- Lhokseumawe</t>
  </si>
  <si>
    <t>- Aceh Utara</t>
  </si>
  <si>
    <t>- Aceh Timur</t>
  </si>
  <si>
    <t>- Aceh Tamiang</t>
  </si>
  <si>
    <t>- Aceh Tengah</t>
  </si>
  <si>
    <t>- Bener Meriah</t>
  </si>
  <si>
    <t>- Aceh Barat Daya</t>
  </si>
  <si>
    <t>- Aceh Selatan</t>
  </si>
  <si>
    <t>- Subulussalam</t>
  </si>
  <si>
    <t>- Singkil</t>
  </si>
  <si>
    <t>- Aceh Tenggara</t>
  </si>
  <si>
    <t>- Gayo Lues</t>
  </si>
  <si>
    <t>- Sabang</t>
  </si>
  <si>
    <t>- Simeulue</t>
  </si>
  <si>
    <t>- Pekanbaru</t>
  </si>
  <si>
    <t>- Padang</t>
  </si>
  <si>
    <t>Year-1, Semester II</t>
  </si>
  <si>
    <t xml:space="preserve">     Add: Amortization</t>
  </si>
  <si>
    <t xml:space="preserve">  Amortization</t>
  </si>
  <si>
    <t>or</t>
  </si>
  <si>
    <t>Freight or Transportation Cost</t>
  </si>
  <si>
    <t>Freight or Transportation, Rp</t>
  </si>
  <si>
    <t>Freight cost (total)</t>
  </si>
  <si>
    <t>Kilo meter</t>
  </si>
  <si>
    <t>Rp/kg/KM</t>
  </si>
  <si>
    <t>KM</t>
  </si>
  <si>
    <t>Method (4)</t>
  </si>
  <si>
    <t>Average</t>
  </si>
  <si>
    <t>Loan interest during initial production stage is capitalized into the principal of loan and known</t>
  </si>
  <si>
    <t>Transportation Cost - Refer to POSLOG offering proposal</t>
  </si>
  <si>
    <t>Year +1</t>
  </si>
  <si>
    <t>Self-financing</t>
  </si>
  <si>
    <t>Rp (see "capital investment sheet")</t>
  </si>
  <si>
    <t>Rp (see CapitalInvestment and LoanInterest sheets")</t>
  </si>
  <si>
    <t>% (see "CapitalInvestment sheet")</t>
  </si>
  <si>
    <t>Present Value for Profitability Index Calculation</t>
  </si>
  <si>
    <t>Source of Capital</t>
  </si>
  <si>
    <t>Portion</t>
  </si>
  <si>
    <t>Total Salary</t>
  </si>
  <si>
    <t>TOTAL</t>
  </si>
  <si>
    <t>Proyeksi Perubahan Modal (ekuitas)</t>
  </si>
  <si>
    <t>Tahun</t>
  </si>
  <si>
    <t>Catatan:</t>
  </si>
  <si>
    <t>Laba Operasi</t>
  </si>
  <si>
    <t>Laba Sebelum Pajak Penghasilan Badan</t>
  </si>
  <si>
    <t>Laba Bersih</t>
  </si>
  <si>
    <t>Proyeksi Laba/(rugi)</t>
  </si>
  <si>
    <t>Proyeksi Arus Kas</t>
  </si>
  <si>
    <t>Metode langsung</t>
  </si>
  <si>
    <t>Arus kas dari aktivitas operasi:</t>
  </si>
  <si>
    <t xml:space="preserve">     Penerimaan kas dari pelanggan</t>
  </si>
  <si>
    <t xml:space="preserve">     (+): Depresiasi/amortisasiDepreciation</t>
  </si>
  <si>
    <t xml:space="preserve">      (-): Pembayaran/pelunasan untuk:</t>
  </si>
  <si>
    <t xml:space="preserve">            Pajak penghasilan badan</t>
  </si>
  <si>
    <t>Arus kas bersih dari aktivitas operasi</t>
  </si>
  <si>
    <t>Arus kas dari aktivitas investasi:</t>
  </si>
  <si>
    <t xml:space="preserve">     Penerimaan kas untuk modal investasi tetap</t>
  </si>
  <si>
    <t xml:space="preserve">     Penerimaan kas untuk modal kerja</t>
  </si>
  <si>
    <t>Arus kas bersih untuk aktivitas investasi</t>
  </si>
  <si>
    <t>Arus kas dari aktivitas pendanaan:</t>
  </si>
  <si>
    <t xml:space="preserve">     Pengeluaran untuk modal investasi tetap</t>
  </si>
  <si>
    <t xml:space="preserve">     Pelunasan pinjaman pokok</t>
  </si>
  <si>
    <t xml:space="preserve">     Pembayaran bunga pinjaman</t>
  </si>
  <si>
    <t>Arus kas bersih untuk aktivitas pendanaan</t>
  </si>
  <si>
    <t>Kenaikan/(penurunan) bersih kas</t>
  </si>
  <si>
    <t>Saldo kas awal tahun</t>
  </si>
  <si>
    <t>saldo kas akhir tahun</t>
  </si>
  <si>
    <t>Asumsi</t>
  </si>
  <si>
    <t>Financial Pre-Feasibility Study</t>
  </si>
  <si>
    <t>Umum</t>
  </si>
  <si>
    <t>bulan/tahun</t>
  </si>
  <si>
    <t>tahun</t>
  </si>
  <si>
    <t>Umur bisnis</t>
  </si>
  <si>
    <t>Finansial</t>
  </si>
  <si>
    <t>Total modal investasi (TCI)</t>
  </si>
  <si>
    <t>Modal investasi tetap (FCI)</t>
  </si>
  <si>
    <t>Modal kerja (WCI)</t>
  </si>
  <si>
    <t>Modal pinjaman</t>
  </si>
  <si>
    <t>Modal sendiri (ekuitas)</t>
  </si>
  <si>
    <t>Bunga pinjaman</t>
  </si>
  <si>
    <t>Masa pembayaran pinjaman (tenor)</t>
  </si>
  <si>
    <t>Masa tangguhan pembayaran pinjaman (grace period)</t>
  </si>
  <si>
    <t>Laju inflasi</t>
  </si>
  <si>
    <t>Depresiasi/amortisasi</t>
  </si>
  <si>
    <t>Pajak badan (corporate tax)</t>
  </si>
  <si>
    <t>Laba Operasi (Earning Before Tax &amp; Interest, EBIT)</t>
  </si>
  <si>
    <t>A</t>
  </si>
  <si>
    <t>C</t>
  </si>
  <si>
    <t>Beban Pajak Penghasilan Badan (Corporate Tax Expenses)</t>
  </si>
  <si>
    <t>Amortisasi atau Depresiasi</t>
  </si>
  <si>
    <t>I=fd*F</t>
  </si>
  <si>
    <t>Operasional</t>
  </si>
  <si>
    <t>Analisis Sensitivitas</t>
  </si>
  <si>
    <t>Modal Investasi dan Pengeluarannya (draw-down)</t>
  </si>
  <si>
    <t>Modal investasi tetap (FCI):</t>
  </si>
  <si>
    <t>Bunga pinjaman masa pra-operasional(IDC)</t>
  </si>
  <si>
    <t>Modal Investasi</t>
  </si>
  <si>
    <t>Pengeluaran Modal Investasi</t>
  </si>
  <si>
    <t>Modal Kerja</t>
  </si>
  <si>
    <t>Bulan</t>
  </si>
  <si>
    <t>Modal kerja:</t>
  </si>
  <si>
    <t>Saldo Awal</t>
  </si>
  <si>
    <t>Saldo Akhir</t>
  </si>
  <si>
    <t>Kas yang Diperoleh (cash generate)</t>
  </si>
  <si>
    <t>Kas yang Tersedia (cash available)</t>
  </si>
  <si>
    <t>Ringkasan</t>
  </si>
  <si>
    <t>Dalam satuan rupiah (Rp)</t>
  </si>
  <si>
    <t>Dalam stuan rupiah (Rp)</t>
  </si>
  <si>
    <t>Gaji &amp; Upah</t>
  </si>
  <si>
    <t>Rp/tahun</t>
  </si>
  <si>
    <t>Gaji dan Upah</t>
  </si>
  <si>
    <t>Pinjaman dan Bunga Pinjaman</t>
  </si>
  <si>
    <t>Pencairan pinjaman</t>
  </si>
  <si>
    <t>b. Masa pengembalian pinjaman</t>
  </si>
  <si>
    <t>c. Tangguhan pengembalian pinjaman</t>
  </si>
  <si>
    <t>d. Nilai tukar</t>
  </si>
  <si>
    <t>Bunga masa pra-operasional (IDC):</t>
  </si>
  <si>
    <t>Penggunaan Pinjaman (loan drawdown)</t>
  </si>
  <si>
    <t>Pembayaran Pokok Pinjaman (Loan Payment)</t>
  </si>
  <si>
    <t>Saldo pinjaman akhir tahun</t>
  </si>
  <si>
    <t>Bunga Pinjaman (Interest Owned)</t>
  </si>
  <si>
    <t>Pembayaran Bunga Pinjaman (Interest Payment)</t>
  </si>
  <si>
    <t>Amortisasi</t>
  </si>
  <si>
    <t>Amortisasi/Depresiasi</t>
  </si>
  <si>
    <t>Depresiasi/amortisasi tahunan</t>
  </si>
  <si>
    <t>Periode depresiasi/amortisasi</t>
  </si>
  <si>
    <t>COGS</t>
  </si>
  <si>
    <t>(-)</t>
  </si>
  <si>
    <t>Depreciation/amortization</t>
  </si>
  <si>
    <t>Earning Before Interest &amp; Tax (EBIT)</t>
  </si>
  <si>
    <t>Operating Profit (EBITDA)</t>
  </si>
  <si>
    <t>Cash Income Tax</t>
  </si>
  <si>
    <t>Operating Profit or EBIT</t>
  </si>
  <si>
    <t>Net Free Cash Flow = Earning Before Tax (EBT)</t>
  </si>
  <si>
    <t>Net Free Cash Flow = EBITDA - Cash Income Tax</t>
  </si>
  <si>
    <t xml:space="preserve">               + Depreciation or Amortization</t>
  </si>
  <si>
    <t xml:space="preserve">               + Interest Expenses</t>
  </si>
  <si>
    <t xml:space="preserve">               - Cash Income Tax</t>
  </si>
  <si>
    <t>Net Free Cash Flow = Earning Before Interest &amp; tax (EBIT)</t>
  </si>
  <si>
    <t xml:space="preserve">   Saldo laba ditahan</t>
  </si>
  <si>
    <t>Perubahan Saldo</t>
  </si>
  <si>
    <t>Catatan</t>
  </si>
  <si>
    <t xml:space="preserve">   Jumlah saldo awal</t>
  </si>
  <si>
    <t xml:space="preserve">   Modal disetor</t>
  </si>
  <si>
    <t xml:space="preserve">   Modal disetor:</t>
  </si>
  <si>
    <t xml:space="preserve">   - Tambahan setoran modal</t>
  </si>
  <si>
    <t xml:space="preserve">   Saldo laba ditahan:</t>
  </si>
  <si>
    <t xml:space="preserve">   Laba ditahan</t>
  </si>
  <si>
    <t xml:space="preserve">   Jumlah saldo akhir</t>
  </si>
  <si>
    <t xml:space="preserve">   - Penarikan modal yang disetor</t>
  </si>
  <si>
    <t xml:space="preserve">   - Perubahan modal disetor</t>
  </si>
  <si>
    <t xml:space="preserve">   - Laba bersih tahun berjalan</t>
  </si>
  <si>
    <t xml:space="preserve">   - Dividen kas</t>
  </si>
  <si>
    <t xml:space="preserve">   - Laba ditahan tahun berjalan</t>
  </si>
  <si>
    <t>Dalam satuan ribu rupiah (Rp, ribu)</t>
  </si>
  <si>
    <t>Keterangan</t>
  </si>
  <si>
    <t xml:space="preserve">   </t>
  </si>
  <si>
    <t>Rp, ribu</t>
  </si>
  <si>
    <t/>
  </si>
  <si>
    <t>Present Value</t>
  </si>
  <si>
    <t>Future Value</t>
  </si>
  <si>
    <t>Rp, Ribu</t>
  </si>
  <si>
    <t>Present and Future Values of Cash Flow for MIRR calculation</t>
  </si>
  <si>
    <t>Present Value Cash Outflow 
(PVCF)</t>
  </si>
  <si>
    <t>Compound Rate</t>
  </si>
  <si>
    <t>Future Value Cash Inflow 
(FVCF)</t>
  </si>
  <si>
    <t>cr</t>
  </si>
  <si>
    <t>MIRR calculations:</t>
  </si>
  <si>
    <t>Present value cash out flow, PVCF</t>
  </si>
  <si>
    <t>Future value cash inflow, FVCF</t>
  </si>
  <si>
    <t>Cost of capital</t>
  </si>
  <si>
    <t>Project life</t>
  </si>
  <si>
    <t>Cost of Capital =</t>
  </si>
  <si>
    <t>Perhitungan Waktu balik modal :</t>
  </si>
  <si>
    <t>Tahun sebelum balik modal yang di diskontokan terjadi</t>
  </si>
  <si>
    <t>Kumulatif Cash flow sebelum balik modal</t>
  </si>
  <si>
    <t>Discounted cash flow setelah balik modal</t>
  </si>
  <si>
    <t>Waktu Balik Modal (Payback Period)</t>
  </si>
  <si>
    <t>Perhitungan indeks profitabilitas :</t>
  </si>
  <si>
    <t>Cumulative discounted free cash inflow</t>
  </si>
  <si>
    <t>Cumulative discounted free cash outflow</t>
  </si>
  <si>
    <t>Cost of Capital</t>
  </si>
  <si>
    <t>Modified IRR</t>
  </si>
  <si>
    <t>Modal diterima (cash received)</t>
  </si>
  <si>
    <t>Kg/tahun</t>
  </si>
  <si>
    <t>kg/tahun</t>
  </si>
  <si>
    <t>orang</t>
  </si>
  <si>
    <t xml:space="preserve">              + Debt portion*After tax cost of debt</t>
  </si>
  <si>
    <t>Perhitungan:</t>
  </si>
  <si>
    <t>IDR/number</t>
  </si>
  <si>
    <t>Pendapatan Penjualan (Revenue)</t>
  </si>
  <si>
    <t>(akun), yaitu:</t>
  </si>
  <si>
    <t xml:space="preserve">Gaji/upah diklasifikasikan atas 2 pos pengeluaran </t>
  </si>
  <si>
    <t>2). Pos pengeluaran beban terkait umum dan</t>
  </si>
  <si>
    <t xml:space="preserve">     administrasi.</t>
  </si>
  <si>
    <t>Gaji/upah</t>
  </si>
  <si>
    <t>Pendapatan Usaha</t>
  </si>
  <si>
    <t>Beban Bunga Pinjaman</t>
  </si>
  <si>
    <t>Net Profit Margin, NPM</t>
  </si>
  <si>
    <t>Gross Profit Margin, GPM</t>
  </si>
  <si>
    <t>1. Margin laba kotor: ((pendapatan total – harga pokok penjualan) : pendapatan total) x 100.</t>
  </si>
  <si>
    <t>2. Margin Laba Bersih = ((Pendapatan – (HPP + biaya operasional + bunga + pajak + biaya lain) : Pendapatan) x 100.</t>
  </si>
  <si>
    <t>Data:</t>
  </si>
  <si>
    <t>Perhitungan Marjin Laba Kotor dan Marjin Laba Bersih:</t>
  </si>
  <si>
    <t>Cost of Services Sold</t>
  </si>
  <si>
    <t>3. Harga Pokok Penjualan Layanan = Cost of Services Sold (COSS).</t>
  </si>
  <si>
    <t>Laba Kotor</t>
  </si>
  <si>
    <t>Beban Pajak Penghasilan Badan</t>
  </si>
  <si>
    <t>Selling, General &amp; Administrative Expenses</t>
  </si>
  <si>
    <t>Beban Penjualan, Umum &amp; Administrasi</t>
  </si>
  <si>
    <t>Operating Income</t>
  </si>
  <si>
    <t>Earnings Before Tax</t>
  </si>
  <si>
    <t>Revenue</t>
  </si>
  <si>
    <t>Supply</t>
  </si>
  <si>
    <t>Akumulasi</t>
  </si>
  <si>
    <t>Delivery</t>
  </si>
  <si>
    <t>Sisa di Cool Room</t>
  </si>
  <si>
    <t>Simulasi Supply, Processing dan Delivery</t>
  </si>
  <si>
    <t>Date</t>
  </si>
  <si>
    <t>Basis Case, tons</t>
  </si>
  <si>
    <t>Maximum Case, tons</t>
  </si>
  <si>
    <t>Minimum Case, tons</t>
  </si>
  <si>
    <t>Moderate Case, tons</t>
  </si>
  <si>
    <t>Storing Q'ty</t>
  </si>
  <si>
    <t>Delivery Freq.</t>
  </si>
  <si>
    <t>Modified internal rate of return, MIRR</t>
  </si>
  <si>
    <t>Tahun (End of Year)</t>
  </si>
  <si>
    <t>a. PVCF = Cash for investment</t>
  </si>
  <si>
    <t>b. FVCF = Cash to be distributed</t>
  </si>
  <si>
    <t>SG &amp; A</t>
  </si>
  <si>
    <t>a. Gross profit margin (GPM)</t>
  </si>
  <si>
    <t>b. Net profit margin (NPM)</t>
  </si>
  <si>
    <t xml:space="preserve">            Cost of Services Sold</t>
  </si>
  <si>
    <t xml:space="preserve">            Beban Penjualan, Umum &amp; ADM</t>
  </si>
  <si>
    <t>Salary/wages</t>
  </si>
  <si>
    <t>Interest expenses</t>
  </si>
  <si>
    <t>Income tax</t>
  </si>
  <si>
    <t>Tahun 1</t>
  </si>
  <si>
    <t>See "WorkingCapital sheets"</t>
  </si>
  <si>
    <t>Tahun operasi</t>
  </si>
  <si>
    <t>Operating Years</t>
  </si>
  <si>
    <t>Tahun Operasi</t>
  </si>
  <si>
    <t>Tngkat diskonto (discount rate)</t>
  </si>
  <si>
    <t>Beban Overhead</t>
  </si>
  <si>
    <t>See "OVHExpenses sheet".</t>
  </si>
  <si>
    <t>Biaya Penjualan, Umum &amp; Administrasi</t>
  </si>
  <si>
    <t>See "SG&amp;A sheet".</t>
  </si>
  <si>
    <t>Variable Cost</t>
  </si>
  <si>
    <t>Pendapatan Penjualan Total, Rp</t>
  </si>
  <si>
    <t>Overhead Expenses</t>
  </si>
  <si>
    <t>Harga Pokok Penjualan</t>
  </si>
  <si>
    <t>Overhead Cost</t>
  </si>
  <si>
    <t>Komisaris</t>
  </si>
  <si>
    <t>Security Kantor</t>
  </si>
  <si>
    <t>OB</t>
  </si>
  <si>
    <t>Staff Keuangan</t>
  </si>
  <si>
    <t>Staff Operasional</t>
  </si>
  <si>
    <t>Sewa Kantor</t>
  </si>
  <si>
    <t>Perlengkapan Kantor</t>
  </si>
  <si>
    <t>Mobilisasi Direksi</t>
  </si>
  <si>
    <t>Depresiasi</t>
  </si>
  <si>
    <t>Porsi pinjaman</t>
  </si>
  <si>
    <t>tahun (during initial production stage)</t>
  </si>
  <si>
    <t>% per tahun (WACC method) ----&gt; See formula</t>
  </si>
  <si>
    <t xml:space="preserve">% per tahun </t>
  </si>
  <si>
    <t xml:space="preserve">Perhitungan </t>
  </si>
  <si>
    <t>Country Default Spreads and Risk Premiums</t>
  </si>
  <si>
    <t>Last update:</t>
  </si>
  <si>
    <t>July 2023</t>
  </si>
  <si>
    <t>Country</t>
  </si>
  <si>
    <t>Moody's rating</t>
  </si>
  <si>
    <t>Default Spread</t>
  </si>
  <si>
    <t>Country Risk Premium</t>
  </si>
  <si>
    <t>Equity Risk Premium</t>
  </si>
  <si>
    <t>Corporate Tax Rate</t>
  </si>
  <si>
    <t>Country risk premium rate calculation:</t>
  </si>
  <si>
    <t>Abu Dhabi</t>
  </si>
  <si>
    <t>Aa2</t>
  </si>
  <si>
    <t>Albania</t>
  </si>
  <si>
    <t>B1</t>
  </si>
  <si>
    <t xml:space="preserve">   Rate = (default spread x average volatility multiplier) + risk premium for a mature market.</t>
  </si>
  <si>
    <t>Algeria</t>
  </si>
  <si>
    <t>NR</t>
  </si>
  <si>
    <t>Andorra (Principality of)</t>
  </si>
  <si>
    <t>Baa2</t>
  </si>
  <si>
    <t>Example:</t>
  </si>
  <si>
    <t>Angola</t>
  </si>
  <si>
    <t>B3</t>
  </si>
  <si>
    <t>For Angola:</t>
  </si>
  <si>
    <t>Argentina</t>
  </si>
  <si>
    <t>Ca</t>
  </si>
  <si>
    <t>- default spread =</t>
  </si>
  <si>
    <t>Armenia</t>
  </si>
  <si>
    <t>Ba3</t>
  </si>
  <si>
    <t>- average volatility multiplier =</t>
  </si>
  <si>
    <t>Aruba</t>
  </si>
  <si>
    <t>- risk premium for a mature market =</t>
  </si>
  <si>
    <t>Australia</t>
  </si>
  <si>
    <t>Aaa</t>
  </si>
  <si>
    <t>Hence, Angola risk premium rate =</t>
  </si>
  <si>
    <t>Austria</t>
  </si>
  <si>
    <t>Aa1</t>
  </si>
  <si>
    <t>Azerbaijan</t>
  </si>
  <si>
    <t>Ba1</t>
  </si>
  <si>
    <t>Bahamas</t>
  </si>
  <si>
    <t>Bahrain</t>
  </si>
  <si>
    <t>B2</t>
  </si>
  <si>
    <t>Bangladesh</t>
  </si>
  <si>
    <t>Barbados</t>
  </si>
  <si>
    <t>Caa1</t>
  </si>
  <si>
    <t>Belarus</t>
  </si>
  <si>
    <t>Belgium</t>
  </si>
  <si>
    <t>Aa3</t>
  </si>
  <si>
    <t>Belize</t>
  </si>
  <si>
    <t>Caa2</t>
  </si>
  <si>
    <t>Benin</t>
  </si>
  <si>
    <t>Bermuda</t>
  </si>
  <si>
    <t>A2</t>
  </si>
  <si>
    <t>Bolivia</t>
  </si>
  <si>
    <t>Bosnia and Herzegovina</t>
  </si>
  <si>
    <t>Indonesia data (July 2023):</t>
  </si>
  <si>
    <t>Botswana</t>
  </si>
  <si>
    <t>A3</t>
  </si>
  <si>
    <t>Brazil</t>
  </si>
  <si>
    <t>Ba2</t>
  </si>
  <si>
    <t>Brunei</t>
  </si>
  <si>
    <t>Bulgaria</t>
  </si>
  <si>
    <t>Baa1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</si>
  <si>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</si>
  <si>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</si>
  <si>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</si>
  <si>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</si>
  <si>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</si>
  <si>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</si>
  <si>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</si>
  <si>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</si>
  <si>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A1</t>
  </si>
  <si>
    <t>Colombia</t>
  </si>
  <si>
    <t>Congo (Democratic Republic of)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</si>
  <si>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</si>
  <si>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</si>
  <si>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</si>
  <si>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</si>
  <si>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</si>
  <si>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</si>
  <si>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</si>
  <si>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</si>
  <si>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</si>
  <si>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</si>
  <si>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</si>
  <si>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</si>
  <si>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Caa3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</si>
  <si>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</si>
  <si>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</si>
  <si>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</si>
  <si>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</si>
  <si>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</si>
  <si>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</si>
  <si>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</si>
  <si>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</si>
  <si>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</si>
  <si>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</si>
  <si>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</si>
  <si>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</si>
  <si>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</si>
  <si>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</si>
  <si>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Guernsey (States of)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</si>
  <si>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</si>
  <si>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</si>
  <si>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</si>
  <si>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</si>
  <si>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</si>
  <si>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</si>
  <si>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</si>
  <si>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</si>
  <si>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</si>
  <si>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Baa3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</si>
  <si>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</si>
  <si>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</si>
  <si>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</si>
  <si>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</si>
  <si>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</si>
  <si>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</si>
  <si>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</si>
  <si>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</si>
  <si>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</si>
  <si>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</si>
  <si>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</si>
  <si>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</si>
  <si>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</si>
  <si>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</si>
  <si>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Korea, D.P.R.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</si>
  <si>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</si>
  <si>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</si>
  <si>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</si>
  <si>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</si>
  <si>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</si>
  <si>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</si>
  <si>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</si>
  <si>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</si>
  <si>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</si>
  <si>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</si>
  <si>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</si>
  <si>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</si>
  <si>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</si>
  <si>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</si>
  <si>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</si>
  <si>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</si>
  <si>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</si>
  <si>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</si>
  <si>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</si>
  <si>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</si>
  <si>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</si>
  <si>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</si>
  <si>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</si>
  <si>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</si>
  <si>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</si>
  <si>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</si>
  <si>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</si>
  <si>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</si>
  <si>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</si>
  <si>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</si>
  <si>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</si>
  <si>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</si>
  <si>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</si>
  <si>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</si>
  <si>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</si>
  <si>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</si>
  <si>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</si>
  <si>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</si>
  <si>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</si>
  <si>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</si>
  <si>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</si>
  <si>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</si>
  <si>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</si>
  <si>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</si>
  <si>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</si>
  <si>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</si>
  <si>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Russia</t>
  </si>
  <si>
    <t>Rwanda</t>
  </si>
  <si>
    <t>Saudi Arabia</t>
  </si>
  <si>
    <t>Senegal</t>
  </si>
  <si>
    <t>Serbia</t>
  </si>
  <si>
    <t>Sharjah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</si>
  <si>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</si>
  <si>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</si>
  <si>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</si>
  <si>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</si>
  <si>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</si>
  <si>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</si>
  <si>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</si>
  <si>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</si>
  <si>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</si>
  <si>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Maarten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</si>
  <si>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</si>
  <si>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</si>
  <si>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</si>
  <si>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</si>
  <si>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</si>
  <si>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</si>
  <si>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</si>
  <si>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</si>
  <si>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</si>
  <si>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</si>
  <si>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</si>
  <si>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</si>
  <si>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</si>
  <si>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</si>
  <si>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</si>
  <si>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</si>
  <si>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</si>
  <si>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</si>
  <si>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</si>
  <si>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</si>
  <si>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</si>
  <si>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</si>
  <si>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</si>
  <si>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</si>
  <si>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</si>
  <si>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Yemen, Republic</t>
  </si>
  <si>
    <t>Zambia</t>
  </si>
  <si>
    <t>Zimbabwe</t>
  </si>
  <si>
    <t>Last updated: July 2023</t>
  </si>
  <si>
    <t>Nilai tukar rupiah</t>
  </si>
  <si>
    <t>Rp/USD</t>
  </si>
  <si>
    <t>Office rent</t>
  </si>
  <si>
    <t>Directors mobilization</t>
  </si>
  <si>
    <t>Jumlah trip</t>
  </si>
  <si>
    <t>Perhitungan</t>
  </si>
  <si>
    <t>Rp/liter</t>
  </si>
  <si>
    <t>Harga satuan</t>
  </si>
  <si>
    <t>Beban/biaya</t>
  </si>
  <si>
    <t>Tahun Operasional</t>
  </si>
  <si>
    <t>Hasil Perhitungan</t>
  </si>
  <si>
    <t>Unit konsumsi (kebutuhan) dan harga (biaya)</t>
  </si>
  <si>
    <t>------&gt; see "Assumption sheet)</t>
  </si>
  <si>
    <t>See depreciation sheet</t>
  </si>
  <si>
    <t>Komponen biaya overhead terdiri atas:</t>
  </si>
  <si>
    <t>Cost escalation:</t>
  </si>
  <si>
    <t>D</t>
  </si>
  <si>
    <t>E=A-B-C+D</t>
  </si>
  <si>
    <t>F</t>
  </si>
  <si>
    <t>G=E+F</t>
  </si>
  <si>
    <t>H=fd*G</t>
  </si>
  <si>
    <t>I=fd*G</t>
  </si>
  <si>
    <t>Ʃ(I)</t>
  </si>
  <si>
    <t>J=cr*E</t>
  </si>
  <si>
    <t>Perubahan Nilai Perusahaan</t>
  </si>
  <si>
    <t>Persen perubahan, %</t>
  </si>
  <si>
    <t>---&gt; See Dividen Sheet</t>
  </si>
  <si>
    <t>Penarikan modal, % dari modal disetor</t>
  </si>
  <si>
    <t>Proyeksi Dividen (Bagi hasil)</t>
  </si>
  <si>
    <t xml:space="preserve">Perhitungan Dividen </t>
  </si>
  <si>
    <t>Bagi Hasil</t>
  </si>
  <si>
    <t>Laba bersih</t>
  </si>
  <si>
    <t>Saldo akhir sebelum dividen</t>
  </si>
  <si>
    <t>Bagian laba bersih dibagi</t>
  </si>
  <si>
    <t>Besaran dividen</t>
  </si>
  <si>
    <t>Akumulasi besaran dividen</t>
  </si>
  <si>
    <t>Saldo akhir setelah dividen</t>
  </si>
  <si>
    <t>a</t>
  </si>
  <si>
    <t>b</t>
  </si>
  <si>
    <t>c</t>
  </si>
  <si>
    <t>d</t>
  </si>
  <si>
    <r>
      <t xml:space="preserve">f = </t>
    </r>
    <r>
      <rPr>
        <sz val="8"/>
        <color theme="1"/>
        <rFont val="Calibri"/>
        <family val="2"/>
      </rPr>
      <t>Σe</t>
    </r>
  </si>
  <si>
    <t>h = g-a(n+1)</t>
  </si>
  <si>
    <t>Dividen atau bagi hasil didasarkan atas laba bersih.</t>
  </si>
  <si>
    <t>Sisa laba bersih yang tidak dibagikan (laba ditahan) mampu</t>
  </si>
  <si>
    <t>membiayai operasional perusahaan bulan pertama tahun</t>
  </si>
  <si>
    <t>berikutnya.</t>
  </si>
  <si>
    <t>1). a(n+1):</t>
  </si>
  <si>
    <t>beban operasi bulan pertama tahun berikutnya.</t>
  </si>
  <si>
    <t>2). bila "h" positif berarti besaran dividen dapat diterima.</t>
  </si>
  <si>
    <t>3). Bila laba bersih dibagi semua maka berdampak negatif terhadap nilai perusahaan (ekuitas konstan).</t>
  </si>
  <si>
    <t>Beban operasi bulan pertama (incl. depr.)</t>
  </si>
  <si>
    <t>Beban operasi bulan pertama (excl. depr.)</t>
  </si>
  <si>
    <t>e = b*d</t>
  </si>
  <si>
    <t>Nilai Perusahaan (Rp, ribu)</t>
  </si>
  <si>
    <t>Manager Operasional &amp; Komersil</t>
  </si>
  <si>
    <t>ABF</t>
  </si>
  <si>
    <t>Persiapan</t>
  </si>
  <si>
    <t>Perjalanan dari Fishing Port ke Fishing Ground</t>
  </si>
  <si>
    <t>Mencari Ikan</t>
  </si>
  <si>
    <t>persiapan n p[erjalanan</t>
  </si>
  <si>
    <t>cari ikan</t>
  </si>
  <si>
    <t>plg n bongkar</t>
  </si>
  <si>
    <t>Perjalanan Pulang ke Fishing Port</t>
  </si>
  <si>
    <t>Bongkar</t>
  </si>
  <si>
    <t>Libur 2 minggu</t>
  </si>
  <si>
    <t>PEMA</t>
  </si>
  <si>
    <t>Mitra</t>
  </si>
  <si>
    <t>a. PEMA</t>
  </si>
  <si>
    <t>% dari laba dibagi</t>
  </si>
  <si>
    <t>Porsi bagi hasil:</t>
  </si>
  <si>
    <t>Periode Pengiriman</t>
  </si>
  <si>
    <t>trip/bulan</t>
  </si>
  <si>
    <t>Volume Pengiriman</t>
  </si>
  <si>
    <t>Kg/bulan</t>
  </si>
  <si>
    <t>Kg/trip</t>
  </si>
  <si>
    <t>Harga Jasa</t>
  </si>
  <si>
    <r>
      <t>% years since commercial start</t>
    </r>
    <r>
      <rPr>
        <vertAlign val="superscript"/>
        <sz val="8"/>
        <color theme="1"/>
        <rFont val="Calibri"/>
        <family val="2"/>
        <scheme val="minor"/>
      </rPr>
      <t xml:space="preserve"> (3)</t>
    </r>
  </si>
  <si>
    <t>Rp/5L</t>
  </si>
  <si>
    <t>Palet</t>
  </si>
  <si>
    <t>Rp/pc</t>
  </si>
  <si>
    <t>Gaji</t>
  </si>
  <si>
    <t>Rp/L</t>
  </si>
  <si>
    <t>Km</t>
  </si>
  <si>
    <t xml:space="preserve"> 1:2</t>
  </si>
  <si>
    <t>L/KM</t>
  </si>
  <si>
    <t>•Biaya Toll B.Aceh - Jakarta</t>
  </si>
  <si>
    <t>Muara Baru - Merak</t>
  </si>
  <si>
    <t>one way/Tol</t>
  </si>
  <si>
    <t>Bakaheuni - Palembang</t>
  </si>
  <si>
    <t>Blang Bintang -Seulimum</t>
  </si>
  <si>
    <t>Pekan Baru - Dumai</t>
  </si>
  <si>
    <t>Stabat-Tebing Tinggi</t>
  </si>
  <si>
    <t>Tebing Tinggi - Tj Morawa</t>
  </si>
  <si>
    <t>Dumai-Pekanbaru</t>
  </si>
  <si>
    <t xml:space="preserve"> </t>
  </si>
  <si>
    <t>Helvetia - Stabat</t>
  </si>
  <si>
    <t>Palembang-Bakaheuni</t>
  </si>
  <si>
    <t>Seulimum - Blang Bintang</t>
  </si>
  <si>
    <t>Merak-Muara Baru</t>
  </si>
  <si>
    <t>Total Biaya Tol</t>
  </si>
  <si>
    <t>one way</t>
  </si>
  <si>
    <t>Jarak</t>
  </si>
  <si>
    <t>Km/trip</t>
  </si>
  <si>
    <t>Biaya Tol</t>
  </si>
  <si>
    <t>•Biaya Toll JKT - MDN -BTJ</t>
  </si>
  <si>
    <t>Gaji Driver</t>
  </si>
  <si>
    <t>Waktu Perjalanan</t>
  </si>
  <si>
    <t>Solar BTJ -JKT</t>
  </si>
  <si>
    <t>Solar JKT -MDN - BTJ</t>
  </si>
  <si>
    <t>hari/trip BTJ - JKT</t>
  </si>
  <si>
    <t>hari/trip JKT - MDN - BTJ</t>
  </si>
  <si>
    <t>Jarak BTJ - JKT</t>
  </si>
  <si>
    <t>Rata rata Konsumsi BBM</t>
  </si>
  <si>
    <t>Kebutuhan BBM</t>
  </si>
  <si>
    <t>Harga Satuan</t>
  </si>
  <si>
    <t>Jarak  JKT - MDN - BTJ</t>
  </si>
  <si>
    <t>Harga BBM</t>
  </si>
  <si>
    <t>Penyebrangan</t>
  </si>
  <si>
    <t>Jumlah Penyebrangan</t>
  </si>
  <si>
    <t>Jumlah Perjalanan</t>
  </si>
  <si>
    <t>Harga total Tol</t>
  </si>
  <si>
    <t>liter/trip</t>
  </si>
  <si>
    <t xml:space="preserve">Biaya Tol </t>
  </si>
  <si>
    <t>Jumlah Truk</t>
  </si>
  <si>
    <t>Unit</t>
  </si>
  <si>
    <t>Servis Berkala</t>
  </si>
  <si>
    <t>Biaya Pelumas</t>
  </si>
  <si>
    <t>Biaya Ban</t>
  </si>
  <si>
    <t>Biaya Kampas Rem</t>
  </si>
  <si>
    <t>Biaya Freon</t>
  </si>
  <si>
    <t>Biaya KIR</t>
  </si>
  <si>
    <t>-Servis Berkala</t>
  </si>
  <si>
    <t>-Biaya Pelumas</t>
  </si>
  <si>
    <t>-Biaya Ban</t>
  </si>
  <si>
    <t>-Biaya Kampas Rem</t>
  </si>
  <si>
    <t>-Biaya Freon</t>
  </si>
  <si>
    <t>-Biaya KIR</t>
  </si>
  <si>
    <t>-Asuransi Truk</t>
  </si>
  <si>
    <t>Asuransi Truk</t>
  </si>
  <si>
    <t>Pajak Truk</t>
  </si>
  <si>
    <t xml:space="preserve">Harga Jasa </t>
  </si>
  <si>
    <t>-Harga Jasa</t>
  </si>
  <si>
    <t>Solar BTJ - JKT</t>
  </si>
  <si>
    <t>Solar JKT - MDN - BTJ</t>
  </si>
  <si>
    <t>Manager Administrasi dan Keuangan</t>
  </si>
  <si>
    <t>Fixed capital (Buy Unit)</t>
  </si>
  <si>
    <t>Bisnis Truk Thermoking</t>
  </si>
  <si>
    <t>Valuasi Investasi</t>
  </si>
  <si>
    <t>-PEMA</t>
  </si>
  <si>
    <t>-Mitra</t>
  </si>
  <si>
    <t>Rp/month</t>
  </si>
  <si>
    <t>Rp/month/truck</t>
  </si>
  <si>
    <t>Rp/month/2 trucks</t>
  </si>
  <si>
    <t>Rp/year/2 trucks</t>
  </si>
  <si>
    <t>L/bulan</t>
  </si>
  <si>
    <t>Biaya Service</t>
  </si>
  <si>
    <t>Armada</t>
  </si>
  <si>
    <t>Kebutuhan</t>
  </si>
  <si>
    <t>unit</t>
  </si>
  <si>
    <t>pcs/truck</t>
  </si>
  <si>
    <t>Biaya per bulan</t>
  </si>
  <si>
    <t>Biaya per tahun</t>
  </si>
  <si>
    <t>Biaya per Bulan</t>
  </si>
  <si>
    <t>Biaya per Tahun</t>
  </si>
  <si>
    <t>-Kampas Rem Depan</t>
  </si>
  <si>
    <t>-Kampas Rem Belakang</t>
  </si>
  <si>
    <t>pcs/month/truck</t>
  </si>
  <si>
    <t>Rp/truck/6 bulan</t>
  </si>
  <si>
    <t>Frequency</t>
  </si>
  <si>
    <t>times/year</t>
  </si>
  <si>
    <t>Rp/truck/year</t>
  </si>
  <si>
    <t>Tariff</t>
  </si>
  <si>
    <t>Assume dari tahun 1</t>
  </si>
  <si>
    <t>Harga Truck</t>
  </si>
  <si>
    <t>Rp/unit</t>
  </si>
  <si>
    <t>%/year</t>
  </si>
  <si>
    <t>pcs</t>
  </si>
  <si>
    <t>-Palet</t>
  </si>
  <si>
    <t xml:space="preserve">Harga Truck </t>
  </si>
  <si>
    <t>Operasional untuk Truk per trip BTJ - JKT: (Variable Cost)</t>
  </si>
  <si>
    <t>Jumlah Sopir</t>
  </si>
  <si>
    <t>Orang/truck</t>
  </si>
  <si>
    <t>•Gaji Driver</t>
  </si>
  <si>
    <t>•BBM</t>
  </si>
  <si>
    <t>Jarak BTJ-JKT</t>
  </si>
  <si>
    <t>Konsumsi BBM</t>
  </si>
  <si>
    <t>Jarak JKT-MDN</t>
  </si>
  <si>
    <t>Jarak MDN-BTJ</t>
  </si>
  <si>
    <t>•Biaya Penyebrangan</t>
  </si>
  <si>
    <t>Toll</t>
  </si>
  <si>
    <t>Rp/trip/truck</t>
  </si>
  <si>
    <t>L/trip/truck</t>
  </si>
  <si>
    <t>L/Trip/truck</t>
  </si>
  <si>
    <t>liter/km</t>
  </si>
  <si>
    <t>Rp/truck/tahun</t>
  </si>
  <si>
    <t>Rp/truck/trip</t>
  </si>
  <si>
    <t>Rp/truck/bulan</t>
  </si>
  <si>
    <t>Jumlah Bulan per Tahun</t>
  </si>
  <si>
    <t>-BTJ-JKT</t>
  </si>
  <si>
    <t>-JKT-MDN-BTJ</t>
  </si>
  <si>
    <t>7).</t>
  </si>
  <si>
    <t>Jumlah Armada</t>
  </si>
  <si>
    <t>Orang/Truck</t>
  </si>
  <si>
    <t>Rp/Truck/Trip</t>
  </si>
  <si>
    <t>Filter Oli</t>
  </si>
  <si>
    <t>Filter Solar</t>
  </si>
  <si>
    <t>Sensitivity Analysis</t>
  </si>
  <si>
    <t>Assumptions</t>
  </si>
  <si>
    <t>Income Statement</t>
  </si>
  <si>
    <t>Price per Trip</t>
  </si>
  <si>
    <t>Units per trip</t>
  </si>
  <si>
    <t>Price per trip</t>
  </si>
  <si>
    <t>COG</t>
  </si>
  <si>
    <t>OVH</t>
  </si>
  <si>
    <t>SG&amp;A</t>
  </si>
  <si>
    <t>Cost per trip</t>
  </si>
  <si>
    <t>Taxes</t>
  </si>
  <si>
    <t>Tax rate</t>
  </si>
  <si>
    <t>Net Income (Loss)</t>
  </si>
  <si>
    <t>Constraints</t>
  </si>
  <si>
    <t>Units sold</t>
  </si>
  <si>
    <t>Price per unit</t>
  </si>
  <si>
    <t>Bunga Pinjaman</t>
  </si>
  <si>
    <t>Harga/ Kg</t>
  </si>
  <si>
    <t>'Bunga pinjaman masa pra-operasional(IDC)</t>
  </si>
  <si>
    <t>g = c-e</t>
  </si>
  <si>
    <t>-inflasi</t>
  </si>
  <si>
    <t xml:space="preserve">     Pembayaran Dividen oleh Perusahaan</t>
  </si>
  <si>
    <t>saldo kas akhir tahun sebelum dividen</t>
  </si>
  <si>
    <t>1 truk</t>
  </si>
  <si>
    <t>2 truk</t>
  </si>
  <si>
    <t>12 truk</t>
  </si>
  <si>
    <t xml:space="preserve">persentase </t>
  </si>
  <si>
    <t>Asuransi masa leasing</t>
  </si>
  <si>
    <t>Rp/10L</t>
  </si>
  <si>
    <t>General Manajer</t>
  </si>
  <si>
    <t>Mobilisasi GM</t>
  </si>
  <si>
    <t>1). Pos pengeluaran beban terkait operasional truk</t>
  </si>
  <si>
    <t xml:space="preserve">b. MITRA </t>
  </si>
  <si>
    <t>Sub Total</t>
  </si>
  <si>
    <t>Biaya per 5 Tahun</t>
  </si>
  <si>
    <t>Corporate Income Tax</t>
  </si>
  <si>
    <t>Interest Payment</t>
  </si>
  <si>
    <t>Loan Payment</t>
  </si>
  <si>
    <t>Saldo pinjaman</t>
  </si>
  <si>
    <t>Beban Penjualan, Umum dan Administrasi</t>
  </si>
  <si>
    <t>Mobilisasi DGM</t>
  </si>
  <si>
    <t>Adm Leasing</t>
  </si>
  <si>
    <t xml:space="preserve">Grand Total </t>
  </si>
  <si>
    <t>Beban penjualan, umum dan administrasi atau Selling, General and Administrative</t>
  </si>
  <si>
    <t>(SG&amp;A) yang tidak terkait langsung dengan operasional truk. Beban ini terdiri dari:</t>
  </si>
  <si>
    <t>a.</t>
  </si>
  <si>
    <t>See salary sheet</t>
  </si>
  <si>
    <t>b.</t>
  </si>
  <si>
    <t>c.</t>
  </si>
  <si>
    <t>d.</t>
  </si>
  <si>
    <t>e.</t>
  </si>
  <si>
    <t>Besaran beban di atas untuk tahun pertama operasional.</t>
  </si>
  <si>
    <t>Yearly average, Rp =</t>
  </si>
  <si>
    <t>-Gaji/upah</t>
  </si>
  <si>
    <t>-Sewa Kantor</t>
  </si>
  <si>
    <t>-Perlengkapan Kantor</t>
  </si>
  <si>
    <t>-Mobilisasi Direksi</t>
  </si>
  <si>
    <t>Jumlah Pinjaman</t>
  </si>
  <si>
    <t>Principal Payment</t>
  </si>
  <si>
    <t>Year</t>
  </si>
  <si>
    <t>Interest Rate:</t>
  </si>
  <si>
    <t>Total Payment</t>
  </si>
  <si>
    <t>% per year (BPRS Mustaqim Rate)</t>
  </si>
  <si>
    <t>Tahun 2</t>
  </si>
  <si>
    <t>Tahun 3</t>
  </si>
  <si>
    <t>Tahun 4</t>
  </si>
  <si>
    <t>Tahun 5</t>
  </si>
  <si>
    <t>Fixed Cost</t>
  </si>
  <si>
    <t>Terburuk</t>
  </si>
  <si>
    <t>Analisa</t>
  </si>
  <si>
    <t>Kurang dari 60 trip per bulan maka perusahaan akan mengalami kerugian</t>
  </si>
  <si>
    <t>Rekomendasi</t>
  </si>
  <si>
    <t>Tahun 1 SG&amp;A Full</t>
  </si>
  <si>
    <t>Tahun 1 SG&amp;A Min</t>
  </si>
  <si>
    <t>Biaya kerugian yang diakibatkan oleh jumlah trip bisa diantisipasi dengan pengurangan biaya SGA, sehingga target trip perbulan bisa dikurangi dan tercapai dengan kepastian minimal pengiriman 48 trip dari PEMA-LAMI KSO</t>
  </si>
  <si>
    <t>Apabila trip yang dijalankan kurang dari 60 trip per bulan maka perusahaan akan mengalami kerugian</t>
  </si>
  <si>
    <t>a. Bunga pinjaman</t>
  </si>
  <si>
    <t>BPRS Flat (9%)</t>
  </si>
  <si>
    <t>Diskon Kendaraan</t>
  </si>
  <si>
    <t>Harga kendaraan setelah diskon</t>
  </si>
  <si>
    <t>Kas yang tersedia setelah pembagian Dividen</t>
  </si>
  <si>
    <t>Price &amp; Trip per Year</t>
  </si>
  <si>
    <t>ROI</t>
  </si>
  <si>
    <t>Total Investasi PT PEMA</t>
  </si>
  <si>
    <t>Return on Investment, ROI</t>
  </si>
  <si>
    <t>c. Return On Investment (ROI)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</si>
</sst>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0.0"/>
    <numFmt numFmtId="169" formatCode="_-* #,##0.0_-;\-* #,##0.0_-;_-* &quot;-&quot;??_-;_-@_-"/>
    <numFmt numFmtId="170" formatCode="_(* #,##0.0_);_(* \(#,##0.0\);_(* &quot;-&quot;??_);_(@_)"/>
    <numFmt numFmtId="171" formatCode="_(* #,##0_);_(* \(#,##0\);_(* &quot;-&quot;?_);_(@_)"/>
    <numFmt numFmtId="172" formatCode="#,##0_ ;[Red]\-#,##0\ "/>
    <numFmt numFmtId="173" formatCode="#,##0.0;[Red]\-#,##0.0"/>
    <numFmt numFmtId="174" formatCode="#,##0.0000;[Red]\-#,##0.0000"/>
    <numFmt numFmtId="175" formatCode="#,##0.000_ ;[Red]\-#,##0.000\ "/>
    <numFmt numFmtId="176" formatCode="#,##0.000"/>
    <numFmt numFmtId="177" formatCode="#,##0.0_ ;[Red]\-#,##0.0\ "/>
    <numFmt numFmtId="178" formatCode="_-* #,##0.0_-;\-* #,##0.0_-;_-* &quot;-&quot;?_-;_-@_-"/>
    <numFmt numFmtId="179" formatCode="_-* #,##0_-;\-* #,##0_-;_-* \-??_-;_-@_-"/>
    <numFmt numFmtId="180" formatCode="_(* #,##0_);_(* \(#,##0\);_(* &quot;-&quot;_);_(@_)"/>
    <numFmt numFmtId="181" formatCode="d\-mmm\-yyyy;@"/>
    <numFmt numFmtId="182" formatCode="_(&quot;Rp&quot;* #,##0_);_(&quot;Rp&quot;* \(#,##0\);_(&quot;Rp&quot;* &quot;-&quot;_);_(@_)"/>
    <numFmt numFmtId="183" formatCode="#,##0_ ;\-#,##0\ "/>
    <numFmt numFmtId="184" formatCode="_(* #,##0.000_);_(* \(#,##0.000\);_(* &quot;-&quot;??_);_(@_)"/>
    <numFmt numFmtId="185" formatCode="#,##0.00_ ;[Red]\-#,##0.00\ "/>
    <numFmt numFmtId="186" formatCode="0.000"/>
    <numFmt numFmtId="187" formatCode="_-* #,##0.00_-;\-* #,##0.00_-;_-* &quot;-&quot;?_-;_-@_-"/>
    <numFmt numFmtId="188" formatCode="_-* #,##0.00000_-;\-* #,##0.00000_-;_-* &quot;-&quot;?_-;_-@_-"/>
  </numFmts>
  <fonts count="5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Segoe UI"/>
      <family val="2"/>
    </font>
    <font>
      <sz val="8"/>
      <color rgb="FF0000FF"/>
      <name val="Segoe UI"/>
      <family val="2"/>
    </font>
    <font>
      <b/>
      <sz val="10"/>
      <color theme="1"/>
      <name val="Segoe UI"/>
      <family val="2"/>
    </font>
    <font>
      <b/>
      <sz val="8"/>
      <color theme="0"/>
      <name val="Segoe UI"/>
      <family val="2"/>
    </font>
    <font>
      <sz val="8"/>
      <color theme="0"/>
      <name val="Segoe UI"/>
      <family val="2"/>
    </font>
    <font>
      <sz val="8"/>
      <color rgb="FFFF0000"/>
      <name val="Segoe UI"/>
      <family val="2"/>
    </font>
    <font>
      <i/>
      <sz val="8"/>
      <color theme="1"/>
      <name val="Segoe UI"/>
      <family val="2"/>
    </font>
    <font>
      <sz val="8"/>
      <color rgb="FFC00000"/>
      <name val="Segoe UI"/>
      <family val="2"/>
    </font>
    <font>
      <b/>
      <sz val="10"/>
      <color theme="0"/>
      <name val="Segoe UI"/>
      <family val="2"/>
    </font>
    <font>
      <u val="singleAccounting"/>
      <sz val="8"/>
      <color theme="1"/>
      <name val="Segoe UI"/>
      <family val="2"/>
    </font>
    <font>
      <b/>
      <sz val="8"/>
      <name val="Segoe UI"/>
      <family val="2"/>
    </font>
    <font>
      <b/>
      <sz val="8"/>
      <color indexed="8"/>
      <name val="Segoe UI"/>
      <family val="2"/>
    </font>
    <font>
      <sz val="8"/>
      <name val="Segoe UI"/>
      <family val="2"/>
    </font>
    <font>
      <sz val="8"/>
      <color indexed="8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8"/>
      <color theme="7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i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432FF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29" fillId="0" borderId="0">
      <alignment vertical="center"/>
    </xf>
    <xf numFmtId="43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91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1" quotePrefix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5" fontId="12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4" borderId="0" xfId="1" applyNumberFormat="1" applyFont="1" applyFill="1"/>
    <xf numFmtId="165" fontId="0" fillId="0" borderId="0" xfId="0" applyNumberFormat="1"/>
    <xf numFmtId="165" fontId="11" fillId="0" borderId="0" xfId="1" applyNumberFormat="1" applyFont="1"/>
    <xf numFmtId="41" fontId="0" fillId="0" borderId="0" xfId="0" applyNumberFormat="1"/>
    <xf numFmtId="165" fontId="0" fillId="3" borderId="0" xfId="1" applyNumberFormat="1" applyFont="1" applyFill="1"/>
    <xf numFmtId="165" fontId="0" fillId="3" borderId="0" xfId="0" applyNumberFormat="1" applyFill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right"/>
    </xf>
    <xf numFmtId="165" fontId="0" fillId="0" borderId="2" xfId="1" applyNumberFormat="1" applyFont="1" applyBorder="1"/>
    <xf numFmtId="165" fontId="12" fillId="0" borderId="2" xfId="0" applyNumberFormat="1" applyFont="1" applyBorder="1"/>
    <xf numFmtId="0" fontId="0" fillId="0" borderId="0" xfId="0" quotePrefix="1"/>
    <xf numFmtId="9" fontId="0" fillId="0" borderId="0" xfId="2" applyFont="1"/>
    <xf numFmtId="0" fontId="14" fillId="0" borderId="0" xfId="0" applyFont="1"/>
    <xf numFmtId="0" fontId="16" fillId="0" borderId="0" xfId="0" applyFont="1"/>
    <xf numFmtId="0" fontId="10" fillId="0" borderId="0" xfId="0" applyFont="1"/>
    <xf numFmtId="164" fontId="10" fillId="0" borderId="0" xfId="1" quotePrefix="1" applyFont="1" applyAlignment="1">
      <alignment horizontal="right"/>
    </xf>
    <xf numFmtId="164" fontId="10" fillId="0" borderId="7" xfId="1" quotePrefix="1" applyFont="1" applyBorder="1" applyAlignment="1">
      <alignment horizontal="right"/>
    </xf>
    <xf numFmtId="164" fontId="10" fillId="0" borderId="8" xfId="1" quotePrefix="1" applyFont="1" applyBorder="1" applyAlignment="1">
      <alignment horizontal="right"/>
    </xf>
    <xf numFmtId="164" fontId="14" fillId="0" borderId="0" xfId="1" quotePrefix="1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9" fillId="0" borderId="1" xfId="0" applyFont="1" applyBorder="1"/>
    <xf numFmtId="0" fontId="1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0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right"/>
    </xf>
    <xf numFmtId="0" fontId="19" fillId="0" borderId="0" xfId="0" quotePrefix="1" applyFont="1" applyAlignment="1">
      <alignment horizontal="right"/>
    </xf>
    <xf numFmtId="164" fontId="8" fillId="0" borderId="0" xfId="1" applyFont="1"/>
    <xf numFmtId="0" fontId="8" fillId="0" borderId="1" xfId="0" applyFont="1" applyBorder="1"/>
    <xf numFmtId="0" fontId="22" fillId="0" borderId="0" xfId="0" applyFont="1"/>
    <xf numFmtId="0" fontId="18" fillId="0" borderId="0" xfId="9" applyFont="1"/>
    <xf numFmtId="0" fontId="18" fillId="0" borderId="0" xfId="0" applyFont="1"/>
    <xf numFmtId="164" fontId="18" fillId="0" borderId="0" xfId="1" applyFont="1" applyFill="1" applyBorder="1"/>
    <xf numFmtId="0" fontId="22" fillId="0" borderId="0" xfId="0" applyFont="1" applyAlignment="1">
      <alignment vertical="top"/>
    </xf>
    <xf numFmtId="164" fontId="18" fillId="0" borderId="0" xfId="1" applyFont="1" applyFill="1" applyBorder="1" applyAlignment="1">
      <alignment vertical="center"/>
    </xf>
    <xf numFmtId="0" fontId="18" fillId="0" borderId="0" xfId="0" applyFont="1" applyAlignment="1">
      <alignment vertical="center"/>
    </xf>
    <xf numFmtId="164" fontId="17" fillId="0" borderId="0" xfId="1" applyFont="1" applyFill="1" applyBorder="1" applyAlignment="1">
      <alignment vertical="center"/>
    </xf>
    <xf numFmtId="164" fontId="18" fillId="0" borderId="0" xfId="1" quotePrefix="1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5" fontId="18" fillId="0" borderId="0" xfId="1" applyNumberFormat="1" applyFont="1" applyFill="1" applyBorder="1" applyAlignment="1">
      <alignment vertical="center"/>
    </xf>
    <xf numFmtId="166" fontId="18" fillId="0" borderId="0" xfId="2" applyNumberFormat="1" applyFont="1" applyFill="1" applyBorder="1" applyAlignment="1">
      <alignment horizontal="center" vertical="center"/>
    </xf>
    <xf numFmtId="9" fontId="18" fillId="0" borderId="0" xfId="2" applyFont="1" applyFill="1" applyBorder="1" applyAlignment="1">
      <alignment horizontal="center" vertical="center"/>
    </xf>
    <xf numFmtId="10" fontId="18" fillId="0" borderId="0" xfId="2" applyNumberFormat="1" applyFont="1" applyFill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" fontId="18" fillId="0" borderId="0" xfId="0" quotePrefix="1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65" fontId="7" fillId="0" borderId="0" xfId="0" applyNumberFormat="1" applyFont="1"/>
    <xf numFmtId="0" fontId="7" fillId="0" borderId="0" xfId="0" applyFont="1"/>
    <xf numFmtId="2" fontId="15" fillId="0" borderId="0" xfId="0" applyNumberFormat="1" applyFont="1"/>
    <xf numFmtId="0" fontId="7" fillId="6" borderId="0" xfId="0" applyFont="1" applyFill="1"/>
    <xf numFmtId="2" fontId="14" fillId="0" borderId="0" xfId="0" applyNumberFormat="1" applyFont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7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165" fontId="7" fillId="6" borderId="0" xfId="0" applyNumberFormat="1" applyFont="1" applyFill="1"/>
    <xf numFmtId="2" fontId="7" fillId="0" borderId="0" xfId="0" applyNumberFormat="1" applyFont="1" applyAlignment="1">
      <alignment vertical="center"/>
    </xf>
    <xf numFmtId="2" fontId="15" fillId="0" borderId="0" xfId="0" applyNumberFormat="1" applyFont="1" applyAlignment="1">
      <alignment vertical="center"/>
    </xf>
    <xf numFmtId="2" fontId="7" fillId="0" borderId="0" xfId="1" applyNumberFormat="1" applyFont="1" applyAlignment="1">
      <alignment vertical="center"/>
    </xf>
    <xf numFmtId="2" fontId="7" fillId="0" borderId="0" xfId="1" quotePrefix="1" applyNumberFormat="1" applyFont="1" applyAlignment="1">
      <alignment vertical="center"/>
    </xf>
    <xf numFmtId="165" fontId="7" fillId="6" borderId="0" xfId="0" applyNumberFormat="1" applyFont="1" applyFill="1" applyAlignment="1">
      <alignment vertical="center"/>
    </xf>
    <xf numFmtId="0" fontId="7" fillId="0" borderId="0" xfId="0" quotePrefix="1" applyFont="1" applyAlignment="1">
      <alignment vertical="center"/>
    </xf>
    <xf numFmtId="0" fontId="7" fillId="6" borderId="0" xfId="0" applyFont="1" applyFill="1" applyAlignment="1">
      <alignment vertical="center"/>
    </xf>
    <xf numFmtId="2" fontId="14" fillId="0" borderId="0" xfId="0" applyNumberFormat="1" applyFont="1" applyAlignment="1">
      <alignment vertical="center"/>
    </xf>
    <xf numFmtId="0" fontId="17" fillId="9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7" fillId="8" borderId="0" xfId="0" applyFont="1" applyFill="1" applyAlignment="1">
      <alignment vertical="top"/>
    </xf>
    <xf numFmtId="165" fontId="23" fillId="0" borderId="0" xfId="0" applyNumberFormat="1" applyFont="1"/>
    <xf numFmtId="165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79" fontId="24" fillId="0" borderId="4" xfId="1" applyNumberFormat="1" applyFont="1" applyFill="1" applyBorder="1" applyAlignment="1" applyProtection="1">
      <alignment horizontal="center" vertical="center" wrapText="1"/>
    </xf>
    <xf numFmtId="1" fontId="6" fillId="0" borderId="4" xfId="0" applyNumberFormat="1" applyFont="1" applyBorder="1" applyAlignment="1">
      <alignment horizontal="center" vertical="center"/>
    </xf>
    <xf numFmtId="181" fontId="26" fillId="0" borderId="4" xfId="10" applyNumberFormat="1" applyFont="1" applyFill="1" applyBorder="1" applyAlignment="1"/>
    <xf numFmtId="179" fontId="27" fillId="0" borderId="4" xfId="1" applyNumberFormat="1" applyFont="1" applyFill="1" applyBorder="1" applyAlignment="1" applyProtection="1"/>
    <xf numFmtId="165" fontId="6" fillId="0" borderId="4" xfId="1" applyNumberFormat="1" applyFont="1" applyFill="1" applyBorder="1" applyAlignment="1" applyProtection="1">
      <alignment horizontal="center"/>
    </xf>
    <xf numFmtId="179" fontId="6" fillId="0" borderId="4" xfId="1" applyNumberFormat="1" applyFont="1" applyFill="1" applyBorder="1" applyAlignment="1" applyProtection="1"/>
    <xf numFmtId="179" fontId="6" fillId="0" borderId="15" xfId="1" applyNumberFormat="1" applyFont="1" applyFill="1" applyBorder="1" applyAlignment="1" applyProtection="1"/>
    <xf numFmtId="41" fontId="26" fillId="0" borderId="15" xfId="10" applyFont="1" applyFill="1" applyBorder="1" applyAlignment="1">
      <alignment horizontal="center" wrapText="1"/>
    </xf>
    <xf numFmtId="180" fontId="6" fillId="0" borderId="0" xfId="0" applyNumberFormat="1" applyFont="1" applyAlignment="1">
      <alignment vertical="center"/>
    </xf>
    <xf numFmtId="1" fontId="6" fillId="0" borderId="4" xfId="1" applyNumberFormat="1" applyFont="1" applyFill="1" applyBorder="1" applyAlignment="1" applyProtection="1">
      <alignment horizontal="center"/>
    </xf>
    <xf numFmtId="181" fontId="26" fillId="0" borderId="4" xfId="10" applyNumberFormat="1" applyFont="1" applyFill="1" applyBorder="1" applyAlignment="1">
      <alignment horizontal="center" vertical="center"/>
    </xf>
    <xf numFmtId="181" fontId="26" fillId="0" borderId="4" xfId="10" applyNumberFormat="1" applyFont="1" applyFill="1" applyBorder="1" applyAlignment="1">
      <alignment vertical="center"/>
    </xf>
    <xf numFmtId="165" fontId="6" fillId="0" borderId="4" xfId="1" applyNumberFormat="1" applyFont="1" applyFill="1" applyBorder="1" applyAlignment="1" applyProtection="1"/>
    <xf numFmtId="179" fontId="27" fillId="0" borderId="4" xfId="1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 wrapText="1"/>
    </xf>
    <xf numFmtId="179" fontId="25" fillId="8" borderId="4" xfId="1" applyNumberFormat="1" applyFont="1" applyFill="1" applyBorder="1" applyAlignment="1" applyProtection="1"/>
    <xf numFmtId="179" fontId="25" fillId="8" borderId="4" xfId="1" applyNumberFormat="1" applyFont="1" applyFill="1" applyBorder="1" applyAlignment="1" applyProtection="1">
      <alignment horizontal="center"/>
    </xf>
    <xf numFmtId="179" fontId="25" fillId="8" borderId="4" xfId="1" applyNumberFormat="1" applyFont="1" applyFill="1" applyBorder="1" applyAlignment="1" applyProtection="1">
      <alignment vertical="center" wrapText="1"/>
    </xf>
    <xf numFmtId="166" fontId="25" fillId="8" borderId="4" xfId="2" applyNumberFormat="1" applyFont="1" applyFill="1" applyBorder="1" applyAlignment="1" applyProtection="1"/>
    <xf numFmtId="9" fontId="24" fillId="8" borderId="4" xfId="2" applyFont="1" applyFill="1" applyBorder="1" applyAlignment="1">
      <alignment horizontal="center" vertical="center" wrapText="1"/>
    </xf>
    <xf numFmtId="166" fontId="24" fillId="8" borderId="4" xfId="10" applyNumberFormat="1" applyFont="1" applyFill="1" applyBorder="1" applyAlignment="1">
      <alignment horizontal="center" vertical="center" wrapText="1"/>
    </xf>
    <xf numFmtId="3" fontId="6" fillId="8" borderId="2" xfId="0" applyNumberFormat="1" applyFont="1" applyFill="1" applyBorder="1" applyAlignment="1">
      <alignment horizontal="center" vertical="center"/>
    </xf>
    <xf numFmtId="179" fontId="27" fillId="8" borderId="4" xfId="1" applyNumberFormat="1" applyFont="1" applyFill="1" applyBorder="1" applyAlignment="1" applyProtection="1"/>
    <xf numFmtId="165" fontId="25" fillId="8" borderId="4" xfId="1" applyNumberFormat="1" applyFont="1" applyFill="1" applyBorder="1" applyAlignment="1" applyProtection="1">
      <alignment vertical="center"/>
    </xf>
    <xf numFmtId="182" fontId="25" fillId="8" borderId="4" xfId="1" applyNumberFormat="1" applyFont="1" applyFill="1" applyBorder="1" applyAlignment="1" applyProtection="1">
      <alignment vertical="center"/>
    </xf>
    <xf numFmtId="3" fontId="6" fillId="8" borderId="2" xfId="10" applyNumberFormat="1" applyFont="1" applyFill="1" applyBorder="1" applyAlignment="1">
      <alignment horizontal="center" vertical="center"/>
    </xf>
    <xf numFmtId="179" fontId="27" fillId="3" borderId="4" xfId="1" applyNumberFormat="1" applyFont="1" applyFill="1" applyBorder="1" applyAlignment="1" applyProtection="1"/>
    <xf numFmtId="4" fontId="6" fillId="0" borderId="0" xfId="0" applyNumberFormat="1" applyFont="1" applyAlignment="1">
      <alignment horizontal="center" vertical="center"/>
    </xf>
    <xf numFmtId="4" fontId="6" fillId="8" borderId="2" xfId="1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4" fillId="8" borderId="0" xfId="0" applyFont="1" applyFill="1" applyAlignment="1">
      <alignment horizontal="right" vertical="top" wrapText="1"/>
    </xf>
    <xf numFmtId="1" fontId="6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7" fontId="6" fillId="0" borderId="0" xfId="0" applyNumberFormat="1" applyFont="1" applyAlignment="1">
      <alignment vertical="center"/>
    </xf>
    <xf numFmtId="1" fontId="6" fillId="0" borderId="0" xfId="0" applyNumberFormat="1" applyFont="1" applyAlignment="1">
      <alignment horizontal="center" vertical="center"/>
    </xf>
    <xf numFmtId="181" fontId="26" fillId="0" borderId="0" xfId="10" applyNumberFormat="1" applyFont="1" applyFill="1" applyBorder="1" applyAlignment="1"/>
    <xf numFmtId="1" fontId="6" fillId="0" borderId="0" xfId="1" applyNumberFormat="1" applyFont="1" applyFill="1" applyBorder="1" applyAlignment="1" applyProtection="1">
      <alignment horizontal="center"/>
    </xf>
    <xf numFmtId="0" fontId="4" fillId="0" borderId="0" xfId="0" quotePrefix="1" applyFont="1" applyAlignment="1">
      <alignment vertical="center"/>
    </xf>
    <xf numFmtId="179" fontId="27" fillId="0" borderId="0" xfId="1" quotePrefix="1" applyNumberFormat="1" applyFont="1" applyFill="1" applyBorder="1" applyAlignment="1" applyProtection="1"/>
    <xf numFmtId="179" fontId="27" fillId="3" borderId="0" xfId="1" quotePrefix="1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79" fontId="4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3" fillId="0" borderId="0" xfId="0" applyFont="1"/>
    <xf numFmtId="3" fontId="15" fillId="0" borderId="17" xfId="10" applyNumberFormat="1" applyFont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6" fillId="0" borderId="17" xfId="0" applyNumberFormat="1" applyFont="1" applyBorder="1" applyAlignment="1">
      <alignment vertical="center"/>
    </xf>
    <xf numFmtId="3" fontId="27" fillId="0" borderId="17" xfId="1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vertical="center"/>
    </xf>
    <xf numFmtId="3" fontId="27" fillId="0" borderId="16" xfId="1" applyNumberFormat="1" applyFont="1" applyFill="1" applyBorder="1" applyAlignment="1" applyProtection="1">
      <alignment horizontal="center"/>
    </xf>
    <xf numFmtId="4" fontId="3" fillId="0" borderId="17" xfId="1" applyNumberFormat="1" applyFont="1" applyFill="1" applyBorder="1" applyAlignment="1" applyProtection="1">
      <alignment horizontal="center"/>
    </xf>
    <xf numFmtId="4" fontId="27" fillId="0" borderId="16" xfId="1" applyNumberFormat="1" applyFont="1" applyFill="1" applyBorder="1" applyAlignment="1" applyProtection="1">
      <alignment horizontal="center"/>
    </xf>
    <xf numFmtId="2" fontId="3" fillId="0" borderId="0" xfId="1" applyNumberFormat="1" applyFont="1" applyAlignment="1">
      <alignment vertical="center"/>
    </xf>
    <xf numFmtId="3" fontId="30" fillId="0" borderId="0" xfId="0" applyNumberFormat="1" applyFont="1"/>
    <xf numFmtId="3" fontId="30" fillId="0" borderId="0" xfId="0" applyNumberFormat="1" applyFont="1" applyAlignment="1">
      <alignment horizontal="center"/>
    </xf>
    <xf numFmtId="3" fontId="30" fillId="0" borderId="0" xfId="1" applyNumberFormat="1" applyFont="1" applyFill="1" applyBorder="1"/>
    <xf numFmtId="3" fontId="31" fillId="0" borderId="0" xfId="0" applyNumberFormat="1" applyFont="1" applyAlignment="1">
      <alignment horizontal="center"/>
    </xf>
    <xf numFmtId="3" fontId="30" fillId="0" borderId="4" xfId="0" applyNumberFormat="1" applyFont="1" applyBorder="1" applyAlignment="1">
      <alignment horizontal="center"/>
    </xf>
    <xf numFmtId="3" fontId="30" fillId="9" borderId="0" xfId="0" applyNumberFormat="1" applyFont="1" applyFill="1"/>
    <xf numFmtId="3" fontId="30" fillId="6" borderId="0" xfId="0" applyNumberFormat="1" applyFont="1" applyFill="1" applyAlignment="1">
      <alignment horizontal="center"/>
    </xf>
    <xf numFmtId="3" fontId="30" fillId="6" borderId="0" xfId="0" applyNumberFormat="1" applyFont="1" applyFill="1"/>
    <xf numFmtId="3" fontId="30" fillId="0" borderId="0" xfId="0" applyNumberFormat="1" applyFont="1" applyAlignment="1">
      <alignment vertical="top"/>
    </xf>
    <xf numFmtId="3" fontId="30" fillId="0" borderId="0" xfId="0" applyNumberFormat="1" applyFont="1" applyAlignment="1">
      <alignment horizontal="right" vertical="top"/>
    </xf>
    <xf numFmtId="2" fontId="33" fillId="5" borderId="0" xfId="0" applyNumberFormat="1" applyFont="1" applyFill="1" applyAlignment="1">
      <alignment horizontal="left" vertical="center"/>
    </xf>
    <xf numFmtId="0" fontId="30" fillId="5" borderId="0" xfId="0" applyFont="1" applyFill="1"/>
    <xf numFmtId="2" fontId="34" fillId="5" borderId="0" xfId="0" applyNumberFormat="1" applyFont="1" applyFill="1" applyAlignment="1">
      <alignment horizontal="left" vertical="center"/>
    </xf>
    <xf numFmtId="0" fontId="35" fillId="5" borderId="0" xfId="0" applyFont="1" applyFill="1"/>
    <xf numFmtId="0" fontId="30" fillId="5" borderId="0" xfId="0" quotePrefix="1" applyFont="1" applyFill="1"/>
    <xf numFmtId="3" fontId="30" fillId="5" borderId="4" xfId="0" applyNumberFormat="1" applyFont="1" applyFill="1" applyBorder="1"/>
    <xf numFmtId="3" fontId="30" fillId="5" borderId="0" xfId="0" applyNumberFormat="1" applyFont="1" applyFill="1"/>
    <xf numFmtId="0" fontId="32" fillId="9" borderId="0" xfId="0" applyFont="1" applyFill="1"/>
    <xf numFmtId="0" fontId="30" fillId="9" borderId="0" xfId="0" applyFont="1" applyFill="1"/>
    <xf numFmtId="2" fontId="33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2" fontId="31" fillId="0" borderId="0" xfId="0" applyNumberFormat="1" applyFont="1" applyAlignment="1">
      <alignment vertical="center"/>
    </xf>
    <xf numFmtId="41" fontId="30" fillId="0" borderId="0" xfId="10" applyFont="1" applyAlignment="1">
      <alignment vertical="center"/>
    </xf>
    <xf numFmtId="183" fontId="30" fillId="0" borderId="0" xfId="0" applyNumberFormat="1" applyFont="1" applyAlignment="1">
      <alignment vertical="center"/>
    </xf>
    <xf numFmtId="0" fontId="30" fillId="8" borderId="0" xfId="0" applyFont="1" applyFill="1" applyAlignment="1">
      <alignment vertical="center"/>
    </xf>
    <xf numFmtId="0" fontId="32" fillId="7" borderId="0" xfId="0" applyFont="1" applyFill="1" applyAlignment="1">
      <alignment vertical="center"/>
    </xf>
    <xf numFmtId="0" fontId="32" fillId="7" borderId="0" xfId="0" applyFont="1" applyFill="1" applyAlignment="1">
      <alignment horizontal="center" vertical="center"/>
    </xf>
    <xf numFmtId="165" fontId="30" fillId="0" borderId="0" xfId="0" applyNumberFormat="1" applyFont="1" applyAlignment="1">
      <alignment vertical="center"/>
    </xf>
    <xf numFmtId="2" fontId="30" fillId="0" borderId="0" xfId="1" applyNumberFormat="1" applyFont="1" applyAlignment="1">
      <alignment vertical="center"/>
    </xf>
    <xf numFmtId="2" fontId="30" fillId="0" borderId="0" xfId="1" quotePrefix="1" applyNumberFormat="1" applyFont="1" applyAlignment="1">
      <alignment vertical="center"/>
    </xf>
    <xf numFmtId="2" fontId="30" fillId="0" borderId="0" xfId="0" applyNumberFormat="1" applyFont="1" applyAlignment="1">
      <alignment vertical="center"/>
    </xf>
    <xf numFmtId="183" fontId="30" fillId="0" borderId="1" xfId="0" applyNumberFormat="1" applyFont="1" applyBorder="1" applyAlignment="1">
      <alignment vertical="center"/>
    </xf>
    <xf numFmtId="3" fontId="30" fillId="0" borderId="0" xfId="0" applyNumberFormat="1" applyFont="1" applyAlignment="1">
      <alignment vertical="center"/>
    </xf>
    <xf numFmtId="0" fontId="30" fillId="6" borderId="0" xfId="0" applyFont="1" applyFill="1" applyAlignment="1">
      <alignment vertical="center"/>
    </xf>
    <xf numFmtId="165" fontId="30" fillId="6" borderId="0" xfId="0" applyNumberFormat="1" applyFont="1" applyFill="1" applyAlignment="1">
      <alignment vertical="center"/>
    </xf>
    <xf numFmtId="0" fontId="33" fillId="0" borderId="0" xfId="0" applyFont="1" applyAlignment="1">
      <alignment vertical="center"/>
    </xf>
    <xf numFmtId="0" fontId="30" fillId="0" borderId="0" xfId="0" quotePrefix="1" applyFont="1" applyAlignment="1">
      <alignment vertical="center"/>
    </xf>
    <xf numFmtId="3" fontId="30" fillId="0" borderId="1" xfId="0" applyNumberFormat="1" applyFont="1" applyBorder="1" applyAlignment="1">
      <alignment vertical="center"/>
    </xf>
    <xf numFmtId="3" fontId="30" fillId="6" borderId="0" xfId="0" applyNumberFormat="1" applyFont="1" applyFill="1" applyAlignment="1">
      <alignment vertical="center"/>
    </xf>
    <xf numFmtId="183" fontId="30" fillId="6" borderId="0" xfId="0" applyNumberFormat="1" applyFont="1" applyFill="1" applyAlignment="1">
      <alignment vertical="center"/>
    </xf>
    <xf numFmtId="3" fontId="30" fillId="0" borderId="0" xfId="10" applyNumberFormat="1" applyFont="1" applyFill="1" applyAlignment="1">
      <alignment vertical="center"/>
    </xf>
    <xf numFmtId="2" fontId="33" fillId="0" borderId="0" xfId="0" applyNumberFormat="1" applyFont="1"/>
    <xf numFmtId="0" fontId="30" fillId="0" borderId="0" xfId="0" applyFont="1"/>
    <xf numFmtId="2" fontId="31" fillId="0" borderId="0" xfId="0" applyNumberFormat="1" applyFont="1"/>
    <xf numFmtId="165" fontId="30" fillId="0" borderId="0" xfId="0" applyNumberFormat="1" applyFont="1"/>
    <xf numFmtId="183" fontId="30" fillId="0" borderId="0" xfId="0" applyNumberFormat="1" applyFont="1"/>
    <xf numFmtId="0" fontId="30" fillId="10" borderId="0" xfId="0" applyFont="1" applyFill="1"/>
    <xf numFmtId="41" fontId="32" fillId="14" borderId="0" xfId="10" applyFont="1" applyFill="1" applyAlignment="1">
      <alignment horizontal="right" vertical="center"/>
    </xf>
    <xf numFmtId="3" fontId="30" fillId="10" borderId="0" xfId="0" applyNumberFormat="1" applyFont="1" applyFill="1"/>
    <xf numFmtId="0" fontId="30" fillId="6" borderId="0" xfId="0" applyFont="1" applyFill="1"/>
    <xf numFmtId="0" fontId="30" fillId="0" borderId="0" xfId="0" quotePrefix="1" applyFont="1"/>
    <xf numFmtId="165" fontId="30" fillId="0" borderId="0" xfId="1" applyNumberFormat="1" applyFont="1"/>
    <xf numFmtId="2" fontId="30" fillId="0" borderId="0" xfId="1" quotePrefix="1" applyNumberFormat="1" applyFont="1"/>
    <xf numFmtId="2" fontId="30" fillId="0" borderId="0" xfId="0" applyNumberFormat="1" applyFont="1"/>
    <xf numFmtId="164" fontId="30" fillId="0" borderId="0" xfId="1" applyFont="1" applyBorder="1"/>
    <xf numFmtId="41" fontId="30" fillId="0" borderId="0" xfId="10" applyFont="1" applyAlignment="1">
      <alignment vertical="top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 wrapText="1"/>
    </xf>
    <xf numFmtId="164" fontId="30" fillId="0" borderId="0" xfId="1" applyFont="1"/>
    <xf numFmtId="178" fontId="30" fillId="0" borderId="0" xfId="0" applyNumberFormat="1" applyFont="1"/>
    <xf numFmtId="41" fontId="30" fillId="0" borderId="0" xfId="10" applyFont="1"/>
    <xf numFmtId="164" fontId="30" fillId="0" borderId="0" xfId="1" applyFont="1" applyFill="1" applyBorder="1"/>
    <xf numFmtId="0" fontId="30" fillId="0" borderId="0" xfId="0" applyFont="1" applyAlignment="1">
      <alignment horizontal="center"/>
    </xf>
    <xf numFmtId="0" fontId="30" fillId="5" borderId="0" xfId="0" quotePrefix="1" applyFont="1" applyFill="1" applyAlignment="1">
      <alignment vertical="top"/>
    </xf>
    <xf numFmtId="164" fontId="30" fillId="5" borderId="0" xfId="1" applyFont="1" applyFill="1" applyAlignment="1">
      <alignment vertical="center"/>
    </xf>
    <xf numFmtId="0" fontId="30" fillId="5" borderId="0" xfId="0" applyFont="1" applyFill="1" applyAlignment="1">
      <alignment vertical="center"/>
    </xf>
    <xf numFmtId="2" fontId="31" fillId="5" borderId="0" xfId="0" applyNumberFormat="1" applyFont="1" applyFill="1" applyAlignment="1">
      <alignment horizontal="left" vertical="center"/>
    </xf>
    <xf numFmtId="0" fontId="30" fillId="5" borderId="0" xfId="0" applyFont="1" applyFill="1" applyAlignment="1">
      <alignment horizontal="left" vertical="center"/>
    </xf>
    <xf numFmtId="172" fontId="30" fillId="5" borderId="0" xfId="0" applyNumberFormat="1" applyFont="1" applyFill="1"/>
    <xf numFmtId="0" fontId="32" fillId="9" borderId="0" xfId="0" applyFont="1" applyFill="1" applyAlignment="1">
      <alignment horizontal="right" wrapText="1"/>
    </xf>
    <xf numFmtId="166" fontId="33" fillId="6" borderId="0" xfId="2" applyNumberFormat="1" applyFont="1" applyFill="1" applyBorder="1" applyAlignment="1">
      <alignment horizontal="left" vertical="top"/>
    </xf>
    <xf numFmtId="0" fontId="32" fillId="9" borderId="0" xfId="0" applyFont="1" applyFill="1" applyAlignment="1">
      <alignment horizontal="center" vertical="top" wrapText="1"/>
    </xf>
    <xf numFmtId="0" fontId="30" fillId="8" borderId="0" xfId="0" applyFont="1" applyFill="1" applyAlignment="1">
      <alignment horizontal="center" vertical="center" wrapText="1"/>
    </xf>
    <xf numFmtId="164" fontId="30" fillId="5" borderId="0" xfId="1" applyFont="1" applyFill="1" applyAlignment="1">
      <alignment horizontal="center" vertical="center"/>
    </xf>
    <xf numFmtId="0" fontId="30" fillId="5" borderId="0" xfId="0" applyFont="1" applyFill="1" applyAlignment="1">
      <alignment horizontal="center"/>
    </xf>
    <xf numFmtId="175" fontId="30" fillId="5" borderId="0" xfId="0" applyNumberFormat="1" applyFont="1" applyFill="1"/>
    <xf numFmtId="172" fontId="30" fillId="5" borderId="0" xfId="0" applyNumberFormat="1" applyFont="1" applyFill="1" applyAlignment="1">
      <alignment horizontal="center"/>
    </xf>
    <xf numFmtId="168" fontId="30" fillId="0" borderId="0" xfId="0" applyNumberFormat="1" applyFont="1" applyAlignment="1">
      <alignment vertical="center"/>
    </xf>
    <xf numFmtId="0" fontId="30" fillId="8" borderId="0" xfId="0" applyFont="1" applyFill="1" applyAlignment="1">
      <alignment horizontal="left" vertical="center"/>
    </xf>
    <xf numFmtId="3" fontId="30" fillId="8" borderId="0" xfId="0" applyNumberFormat="1" applyFont="1" applyFill="1" applyAlignment="1">
      <alignment vertical="center"/>
    </xf>
    <xf numFmtId="164" fontId="30" fillId="0" borderId="0" xfId="1" applyFont="1" applyAlignment="1">
      <alignment vertical="center"/>
    </xf>
    <xf numFmtId="0" fontId="33" fillId="0" borderId="0" xfId="0" applyFont="1" applyAlignment="1">
      <alignment horizontal="left" vertical="center"/>
    </xf>
    <xf numFmtId="0" fontId="30" fillId="13" borderId="3" xfId="0" applyFont="1" applyFill="1" applyBorder="1" applyAlignment="1">
      <alignment horizontal="right" vertical="center"/>
    </xf>
    <xf numFmtId="0" fontId="30" fillId="13" borderId="3" xfId="0" applyFont="1" applyFill="1" applyBorder="1" applyAlignment="1">
      <alignment vertical="center"/>
    </xf>
    <xf numFmtId="0" fontId="30" fillId="13" borderId="10" xfId="0" applyFont="1" applyFill="1" applyBorder="1" applyAlignment="1">
      <alignment vertical="center"/>
    </xf>
    <xf numFmtId="164" fontId="30" fillId="0" borderId="0" xfId="1" applyFont="1" applyAlignment="1">
      <alignment horizontal="left" vertical="center"/>
    </xf>
    <xf numFmtId="173" fontId="30" fillId="0" borderId="5" xfId="0" applyNumberFormat="1" applyFont="1" applyBorder="1" applyAlignment="1">
      <alignment vertical="center"/>
    </xf>
    <xf numFmtId="0" fontId="30" fillId="13" borderId="0" xfId="0" applyFont="1" applyFill="1" applyAlignment="1">
      <alignment vertical="center"/>
    </xf>
    <xf numFmtId="0" fontId="30" fillId="13" borderId="12" xfId="0" applyFont="1" applyFill="1" applyBorder="1" applyAlignment="1">
      <alignment vertical="center"/>
    </xf>
    <xf numFmtId="38" fontId="30" fillId="0" borderId="0" xfId="0" applyNumberFormat="1" applyFont="1" applyAlignment="1">
      <alignment vertical="center"/>
    </xf>
    <xf numFmtId="38" fontId="30" fillId="0" borderId="4" xfId="0" applyNumberFormat="1" applyFont="1" applyBorder="1" applyAlignment="1">
      <alignment vertical="center"/>
    </xf>
    <xf numFmtId="173" fontId="30" fillId="0" borderId="4" xfId="1" applyNumberFormat="1" applyFont="1" applyBorder="1" applyAlignment="1">
      <alignment vertical="center"/>
    </xf>
    <xf numFmtId="0" fontId="30" fillId="13" borderId="1" xfId="0" applyFont="1" applyFill="1" applyBorder="1" applyAlignment="1">
      <alignment horizontal="right" vertical="center"/>
    </xf>
    <xf numFmtId="0" fontId="30" fillId="13" borderId="1" xfId="0" applyFont="1" applyFill="1" applyBorder="1" applyAlignment="1">
      <alignment vertical="center"/>
    </xf>
    <xf numFmtId="0" fontId="30" fillId="13" borderId="14" xfId="0" applyFont="1" applyFill="1" applyBorder="1" applyAlignment="1">
      <alignment vertical="center"/>
    </xf>
    <xf numFmtId="165" fontId="30" fillId="0" borderId="0" xfId="1" applyNumberFormat="1" applyFont="1" applyAlignment="1">
      <alignment horizontal="left" vertical="center"/>
    </xf>
    <xf numFmtId="170" fontId="30" fillId="0" borderId="0" xfId="1" applyNumberFormat="1" applyFont="1" applyAlignment="1">
      <alignment horizontal="left" vertical="center"/>
    </xf>
    <xf numFmtId="170" fontId="30" fillId="0" borderId="0" xfId="1" applyNumberFormat="1" applyFont="1" applyAlignment="1">
      <alignment vertical="center"/>
    </xf>
    <xf numFmtId="3" fontId="30" fillId="5" borderId="0" xfId="0" applyNumberFormat="1" applyFont="1" applyFill="1" applyAlignment="1">
      <alignment vertical="center"/>
    </xf>
    <xf numFmtId="2" fontId="33" fillId="0" borderId="0" xfId="0" applyNumberFormat="1" applyFont="1" applyAlignment="1">
      <alignment horizontal="left" vertical="center"/>
    </xf>
    <xf numFmtId="2" fontId="31" fillId="0" borderId="0" xfId="0" applyNumberFormat="1" applyFont="1" applyAlignment="1">
      <alignment horizontal="left" vertical="center"/>
    </xf>
    <xf numFmtId="2" fontId="39" fillId="0" borderId="0" xfId="0" applyNumberFormat="1" applyFont="1" applyAlignment="1">
      <alignment horizontal="left" vertical="center"/>
    </xf>
    <xf numFmtId="0" fontId="32" fillId="9" borderId="0" xfId="0" applyFont="1" applyFill="1" applyAlignment="1">
      <alignment vertical="top"/>
    </xf>
    <xf numFmtId="0" fontId="36" fillId="9" borderId="0" xfId="0" applyFont="1" applyFill="1" applyAlignment="1">
      <alignment vertical="top"/>
    </xf>
    <xf numFmtId="0" fontId="32" fillId="9" borderId="0" xfId="0" applyFont="1" applyFill="1" applyAlignment="1">
      <alignment horizontal="right" vertical="top"/>
    </xf>
    <xf numFmtId="0" fontId="30" fillId="0" borderId="0" xfId="0" applyFont="1" applyAlignment="1">
      <alignment horizontal="right"/>
    </xf>
    <xf numFmtId="9" fontId="30" fillId="0" borderId="0" xfId="2" applyFont="1" applyAlignment="1">
      <alignment horizontal="right"/>
    </xf>
    <xf numFmtId="0" fontId="30" fillId="0" borderId="0" xfId="0" quotePrefix="1" applyFont="1" applyAlignment="1">
      <alignment vertical="top"/>
    </xf>
    <xf numFmtId="3" fontId="30" fillId="0" borderId="0" xfId="0" quotePrefix="1" applyNumberFormat="1" applyFont="1" applyAlignment="1">
      <alignment vertical="top"/>
    </xf>
    <xf numFmtId="0" fontId="32" fillId="9" borderId="0" xfId="0" applyFont="1" applyFill="1" applyAlignment="1">
      <alignment horizontal="right" vertical="top" wrapText="1"/>
    </xf>
    <xf numFmtId="0" fontId="30" fillId="0" borderId="0" xfId="0" applyFont="1" applyAlignment="1">
      <alignment vertical="top"/>
    </xf>
    <xf numFmtId="3" fontId="31" fillId="0" borderId="0" xfId="0" applyNumberFormat="1" applyFont="1"/>
    <xf numFmtId="0" fontId="30" fillId="0" borderId="0" xfId="0" quotePrefix="1" applyFont="1" applyAlignment="1">
      <alignment horizontal="center"/>
    </xf>
    <xf numFmtId="0" fontId="33" fillId="0" borderId="0" xfId="0" applyFont="1"/>
    <xf numFmtId="4" fontId="3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3" fillId="0" borderId="0" xfId="0" applyFont="1" applyAlignment="1">
      <alignment vertical="top"/>
    </xf>
    <xf numFmtId="0" fontId="32" fillId="8" borderId="0" xfId="0" applyFont="1" applyFill="1" applyAlignment="1">
      <alignment vertical="top"/>
    </xf>
    <xf numFmtId="0" fontId="36" fillId="8" borderId="0" xfId="0" applyFont="1" applyFill="1" applyAlignment="1">
      <alignment vertical="top"/>
    </xf>
    <xf numFmtId="0" fontId="33" fillId="9" borderId="0" xfId="0" applyFont="1" applyFill="1" applyAlignment="1">
      <alignment horizontal="right" vertical="top" wrapText="1"/>
    </xf>
    <xf numFmtId="0" fontId="30" fillId="9" borderId="0" xfId="0" applyFont="1" applyFill="1" applyAlignment="1">
      <alignment vertical="top"/>
    </xf>
    <xf numFmtId="0" fontId="30" fillId="0" borderId="0" xfId="0" applyFont="1" applyAlignment="1">
      <alignment horizontal="center" vertical="top"/>
    </xf>
    <xf numFmtId="1" fontId="30" fillId="0" borderId="0" xfId="0" applyNumberFormat="1" applyFont="1" applyAlignment="1">
      <alignment vertical="top"/>
    </xf>
    <xf numFmtId="0" fontId="30" fillId="6" borderId="0" xfId="0" applyFont="1" applyFill="1" applyAlignment="1">
      <alignment vertical="top"/>
    </xf>
    <xf numFmtId="0" fontId="30" fillId="8" borderId="0" xfId="0" applyFont="1" applyFill="1" applyAlignment="1">
      <alignment vertical="top"/>
    </xf>
    <xf numFmtId="3" fontId="30" fillId="8" borderId="0" xfId="0" applyNumberFormat="1" applyFont="1" applyFill="1" applyAlignment="1">
      <alignment vertical="top"/>
    </xf>
    <xf numFmtId="3" fontId="30" fillId="8" borderId="0" xfId="0" applyNumberFormat="1" applyFont="1" applyFill="1" applyAlignment="1">
      <alignment horizontal="right" vertical="top"/>
    </xf>
    <xf numFmtId="0" fontId="30" fillId="0" borderId="0" xfId="0" applyFont="1" applyAlignment="1">
      <alignment horizontal="right" vertical="top"/>
    </xf>
    <xf numFmtId="3" fontId="30" fillId="6" borderId="0" xfId="0" applyNumberFormat="1" applyFont="1" applyFill="1" applyAlignment="1">
      <alignment vertical="top"/>
    </xf>
    <xf numFmtId="0" fontId="30" fillId="5" borderId="0" xfId="0" applyFont="1" applyFill="1" applyAlignment="1">
      <alignment vertical="top"/>
    </xf>
    <xf numFmtId="0" fontId="33" fillId="5" borderId="0" xfId="0" applyFont="1" applyFill="1"/>
    <xf numFmtId="0" fontId="31" fillId="5" borderId="0" xfId="0" applyFont="1" applyFill="1" applyAlignment="1">
      <alignment vertical="top"/>
    </xf>
    <xf numFmtId="0" fontId="30" fillId="5" borderId="0" xfId="0" quotePrefix="1" applyFont="1" applyFill="1" applyAlignment="1">
      <alignment horizontal="left" vertical="top"/>
    </xf>
    <xf numFmtId="2" fontId="30" fillId="5" borderId="0" xfId="1" applyNumberFormat="1" applyFont="1" applyFill="1" applyBorder="1" applyAlignment="1">
      <alignment vertical="top"/>
    </xf>
    <xf numFmtId="0" fontId="30" fillId="5" borderId="0" xfId="0" applyFont="1" applyFill="1" applyAlignment="1">
      <alignment horizontal="center" vertical="top"/>
    </xf>
    <xf numFmtId="3" fontId="30" fillId="5" borderId="0" xfId="0" applyNumberFormat="1" applyFont="1" applyFill="1" applyAlignment="1">
      <alignment vertical="top"/>
    </xf>
    <xf numFmtId="165" fontId="30" fillId="5" borderId="0" xfId="1" applyNumberFormat="1" applyFont="1" applyFill="1" applyBorder="1" applyAlignment="1">
      <alignment vertical="top"/>
    </xf>
    <xf numFmtId="167" fontId="30" fillId="5" borderId="0" xfId="0" applyNumberFormat="1" applyFont="1" applyFill="1" applyAlignment="1">
      <alignment vertical="top"/>
    </xf>
    <xf numFmtId="167" fontId="40" fillId="5" borderId="0" xfId="1" applyNumberFormat="1" applyFont="1" applyFill="1" applyBorder="1" applyAlignment="1">
      <alignment vertical="top"/>
    </xf>
    <xf numFmtId="0" fontId="30" fillId="6" borderId="0" xfId="0" applyFont="1" applyFill="1" applyAlignment="1">
      <alignment horizontal="right" vertical="top"/>
    </xf>
    <xf numFmtId="167" fontId="33" fillId="6" borderId="4" xfId="0" applyNumberFormat="1" applyFont="1" applyFill="1" applyBorder="1" applyAlignment="1">
      <alignment vertical="top"/>
    </xf>
    <xf numFmtId="0" fontId="30" fillId="6" borderId="0" xfId="0" quotePrefix="1" applyFont="1" applyFill="1" applyAlignment="1">
      <alignment vertical="top"/>
    </xf>
    <xf numFmtId="167" fontId="31" fillId="6" borderId="0" xfId="1" applyNumberFormat="1" applyFont="1" applyFill="1" applyBorder="1" applyAlignment="1">
      <alignment vertical="top"/>
    </xf>
    <xf numFmtId="167" fontId="31" fillId="5" borderId="0" xfId="1" applyNumberFormat="1" applyFont="1" applyFill="1" applyBorder="1" applyAlignment="1">
      <alignment vertical="top"/>
    </xf>
    <xf numFmtId="0" fontId="33" fillId="5" borderId="0" xfId="0" applyFont="1" applyFill="1" applyAlignment="1">
      <alignment vertical="top"/>
    </xf>
    <xf numFmtId="166" fontId="30" fillId="5" borderId="0" xfId="2" applyNumberFormat="1" applyFont="1" applyFill="1" applyBorder="1" applyAlignment="1">
      <alignment horizontal="center" vertical="top"/>
    </xf>
    <xf numFmtId="166" fontId="30" fillId="5" borderId="5" xfId="2" applyNumberFormat="1" applyFont="1" applyFill="1" applyBorder="1" applyAlignment="1">
      <alignment vertical="top"/>
    </xf>
    <xf numFmtId="9" fontId="30" fillId="5" borderId="0" xfId="2" applyFont="1" applyFill="1" applyBorder="1" applyAlignment="1">
      <alignment vertical="top"/>
    </xf>
    <xf numFmtId="164" fontId="30" fillId="5" borderId="0" xfId="1" applyFont="1" applyFill="1" applyBorder="1" applyAlignment="1">
      <alignment horizontal="right" vertical="top"/>
    </xf>
    <xf numFmtId="165" fontId="30" fillId="0" borderId="0" xfId="1" applyNumberFormat="1" applyFont="1" applyBorder="1" applyAlignment="1">
      <alignment vertical="top"/>
    </xf>
    <xf numFmtId="2" fontId="30" fillId="0" borderId="0" xfId="1" applyNumberFormat="1" applyFont="1" applyFill="1" applyBorder="1" applyAlignment="1">
      <alignment vertical="top"/>
    </xf>
    <xf numFmtId="165" fontId="30" fillId="0" borderId="0" xfId="0" applyNumberFormat="1" applyFont="1" applyAlignment="1">
      <alignment vertical="top"/>
    </xf>
    <xf numFmtId="3" fontId="33" fillId="0" borderId="0" xfId="0" applyNumberFormat="1" applyFont="1"/>
    <xf numFmtId="3" fontId="31" fillId="0" borderId="0" xfId="0" applyNumberFormat="1" applyFont="1" applyAlignment="1">
      <alignment vertical="top"/>
    </xf>
    <xf numFmtId="3" fontId="32" fillId="9" borderId="0" xfId="0" applyNumberFormat="1" applyFont="1" applyFill="1" applyAlignment="1">
      <alignment vertical="top"/>
    </xf>
    <xf numFmtId="3" fontId="36" fillId="9" borderId="0" xfId="0" applyNumberFormat="1" applyFont="1" applyFill="1"/>
    <xf numFmtId="3" fontId="36" fillId="5" borderId="0" xfId="0" applyNumberFormat="1" applyFont="1" applyFill="1"/>
    <xf numFmtId="3" fontId="30" fillId="9" borderId="0" xfId="0" applyNumberFormat="1" applyFont="1" applyFill="1" applyAlignment="1">
      <alignment horizontal="center"/>
    </xf>
    <xf numFmtId="3" fontId="30" fillId="9" borderId="0" xfId="1" applyNumberFormat="1" applyFont="1" applyFill="1" applyBorder="1"/>
    <xf numFmtId="3" fontId="30" fillId="6" borderId="0" xfId="1" applyNumberFormat="1" applyFont="1" applyFill="1" applyBorder="1" applyAlignment="1">
      <alignment horizontal="right"/>
    </xf>
    <xf numFmtId="3" fontId="30" fillId="5" borderId="0" xfId="2" applyNumberFormat="1" applyFont="1" applyFill="1" applyBorder="1" applyAlignment="1">
      <alignment vertical="top"/>
    </xf>
    <xf numFmtId="3" fontId="31" fillId="0" borderId="0" xfId="1" applyNumberFormat="1" applyFont="1" applyFill="1" applyBorder="1"/>
    <xf numFmtId="3" fontId="30" fillId="6" borderId="0" xfId="1" applyNumberFormat="1" applyFont="1" applyFill="1" applyBorder="1"/>
    <xf numFmtId="3" fontId="33" fillId="0" borderId="0" xfId="0" applyNumberFormat="1" applyFont="1" applyAlignment="1">
      <alignment horizontal="left"/>
    </xf>
    <xf numFmtId="171" fontId="30" fillId="0" borderId="0" xfId="0" applyNumberFormat="1" applyFont="1" applyAlignment="1">
      <alignment horizontal="center" vertical="top"/>
    </xf>
    <xf numFmtId="167" fontId="30" fillId="0" borderId="0" xfId="0" applyNumberFormat="1" applyFont="1" applyAlignment="1">
      <alignment horizontal="center" vertical="top"/>
    </xf>
    <xf numFmtId="165" fontId="30" fillId="0" borderId="5" xfId="1" applyNumberFormat="1" applyFont="1" applyBorder="1" applyAlignment="1">
      <alignment vertical="top"/>
    </xf>
    <xf numFmtId="3" fontId="30" fillId="6" borderId="0" xfId="1" applyNumberFormat="1" applyFont="1" applyFill="1" applyAlignment="1">
      <alignment vertical="top"/>
    </xf>
    <xf numFmtId="170" fontId="30" fillId="0" borderId="5" xfId="1" applyNumberFormat="1" applyFont="1" applyBorder="1" applyAlignment="1">
      <alignment vertical="top"/>
    </xf>
    <xf numFmtId="170" fontId="30" fillId="0" borderId="6" xfId="1" applyNumberFormat="1" applyFont="1" applyBorder="1" applyAlignment="1">
      <alignment vertical="top"/>
    </xf>
    <xf numFmtId="165" fontId="30" fillId="0" borderId="6" xfId="1" applyNumberFormat="1" applyFont="1" applyBorder="1" applyAlignment="1">
      <alignment vertical="top"/>
    </xf>
    <xf numFmtId="3" fontId="30" fillId="0" borderId="4" xfId="0" applyNumberFormat="1" applyFont="1" applyBorder="1" applyAlignment="1">
      <alignment vertical="top"/>
    </xf>
    <xf numFmtId="0" fontId="35" fillId="0" borderId="0" xfId="0" applyFont="1" applyAlignment="1">
      <alignment vertical="top"/>
    </xf>
    <xf numFmtId="0" fontId="32" fillId="9" borderId="0" xfId="0" applyFont="1" applyFill="1" applyAlignment="1">
      <alignment vertical="top" wrapText="1"/>
    </xf>
    <xf numFmtId="164" fontId="30" fillId="0" borderId="0" xfId="1" applyFont="1" applyBorder="1" applyAlignment="1">
      <alignment horizontal="right" vertical="top" wrapText="1"/>
    </xf>
    <xf numFmtId="169" fontId="30" fillId="0" borderId="6" xfId="1" applyNumberFormat="1" applyFont="1" applyBorder="1" applyAlignment="1">
      <alignment vertical="top"/>
    </xf>
    <xf numFmtId="167" fontId="30" fillId="0" borderId="0" xfId="1" applyNumberFormat="1" applyFont="1" applyBorder="1" applyAlignment="1">
      <alignment vertical="top"/>
    </xf>
    <xf numFmtId="167" fontId="30" fillId="0" borderId="6" xfId="1" applyNumberFormat="1" applyFont="1" applyBorder="1" applyAlignment="1">
      <alignment vertical="top"/>
    </xf>
    <xf numFmtId="164" fontId="30" fillId="0" borderId="0" xfId="1" applyFont="1" applyBorder="1" applyAlignment="1">
      <alignment horizontal="right" vertical="top"/>
    </xf>
    <xf numFmtId="0" fontId="30" fillId="0" borderId="0" xfId="0" applyFont="1" applyAlignment="1">
      <alignment horizontal="right" vertical="center"/>
    </xf>
    <xf numFmtId="0" fontId="30" fillId="13" borderId="11" xfId="0" applyFont="1" applyFill="1" applyBorder="1" applyAlignment="1">
      <alignment vertical="center"/>
    </xf>
    <xf numFmtId="0" fontId="30" fillId="13" borderId="13" xfId="0" applyFont="1" applyFill="1" applyBorder="1" applyAlignment="1">
      <alignment vertical="center"/>
    </xf>
    <xf numFmtId="41" fontId="30" fillId="13" borderId="9" xfId="10" applyFont="1" applyFill="1" applyBorder="1" applyAlignment="1">
      <alignment vertical="center"/>
    </xf>
    <xf numFmtId="41" fontId="30" fillId="13" borderId="11" xfId="10" applyFont="1" applyFill="1" applyBorder="1" applyAlignment="1">
      <alignment vertical="center"/>
    </xf>
    <xf numFmtId="41" fontId="30" fillId="13" borderId="13" xfId="10" applyFont="1" applyFill="1" applyBorder="1" applyAlignment="1">
      <alignment vertical="center"/>
    </xf>
    <xf numFmtId="0" fontId="30" fillId="13" borderId="3" xfId="0" quotePrefix="1" applyFont="1" applyFill="1" applyBorder="1" applyAlignment="1">
      <alignment vertical="center"/>
    </xf>
    <xf numFmtId="0" fontId="37" fillId="13" borderId="0" xfId="0" applyFont="1" applyFill="1" applyAlignment="1">
      <alignment horizontal="right" vertical="center"/>
    </xf>
    <xf numFmtId="0" fontId="30" fillId="13" borderId="0" xfId="0" quotePrefix="1" applyFont="1" applyFill="1" applyAlignment="1">
      <alignment vertical="center"/>
    </xf>
    <xf numFmtId="0" fontId="30" fillId="13" borderId="0" xfId="0" applyFont="1" applyFill="1" applyAlignment="1">
      <alignment horizontal="right" vertical="center"/>
    </xf>
    <xf numFmtId="0" fontId="30" fillId="13" borderId="12" xfId="0" quotePrefix="1" applyFont="1" applyFill="1" applyBorder="1" applyAlignment="1">
      <alignment vertical="center"/>
    </xf>
    <xf numFmtId="0" fontId="30" fillId="13" borderId="14" xfId="0" quotePrefix="1" applyFont="1" applyFill="1" applyBorder="1" applyAlignment="1">
      <alignment vertical="center"/>
    </xf>
    <xf numFmtId="9" fontId="31" fillId="0" borderId="0" xfId="2" applyFont="1" applyAlignment="1">
      <alignment vertical="center"/>
    </xf>
    <xf numFmtId="0" fontId="30" fillId="15" borderId="0" xfId="0" applyFont="1" applyFill="1" applyAlignment="1">
      <alignment vertical="center"/>
    </xf>
    <xf numFmtId="184" fontId="30" fillId="0" borderId="0" xfId="0" applyNumberFormat="1" applyFont="1" applyAlignment="1">
      <alignment vertical="center"/>
    </xf>
    <xf numFmtId="0" fontId="28" fillId="0" borderId="0" xfId="0" quotePrefix="1" applyFont="1" applyAlignment="1">
      <alignment vertical="center"/>
    </xf>
    <xf numFmtId="172" fontId="30" fillId="5" borderId="0" xfId="0" applyNumberFormat="1" applyFont="1" applyFill="1" applyAlignment="1">
      <alignment vertical="center"/>
    </xf>
    <xf numFmtId="168" fontId="30" fillId="0" borderId="4" xfId="0" applyNumberFormat="1" applyFont="1" applyBorder="1" applyAlignment="1">
      <alignment vertical="center"/>
    </xf>
    <xf numFmtId="172" fontId="30" fillId="0" borderId="0" xfId="0" applyNumberFormat="1" applyFont="1" applyAlignment="1">
      <alignment vertical="center"/>
    </xf>
    <xf numFmtId="0" fontId="32" fillId="5" borderId="0" xfId="0" applyFont="1" applyFill="1" applyAlignment="1">
      <alignment horizontal="center" vertical="top" wrapText="1"/>
    </xf>
    <xf numFmtId="0" fontId="32" fillId="5" borderId="0" xfId="0" applyFont="1" applyFill="1" applyAlignment="1">
      <alignment horizontal="right" wrapText="1"/>
    </xf>
    <xf numFmtId="165" fontId="33" fillId="0" borderId="0" xfId="0" applyNumberFormat="1" applyFont="1" applyAlignment="1">
      <alignment vertical="center"/>
    </xf>
    <xf numFmtId="186" fontId="30" fillId="0" borderId="0" xfId="0" applyNumberFormat="1" applyFont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0" xfId="0" applyFont="1" applyFill="1" applyAlignment="1">
      <alignment horizontal="right" vertical="center"/>
    </xf>
    <xf numFmtId="172" fontId="30" fillId="5" borderId="0" xfId="0" applyNumberFormat="1" applyFont="1" applyFill="1" applyAlignment="1">
      <alignment horizontal="right" vertical="center"/>
    </xf>
    <xf numFmtId="168" fontId="30" fillId="5" borderId="0" xfId="0" applyNumberFormat="1" applyFont="1" applyFill="1" applyAlignment="1">
      <alignment vertical="center"/>
    </xf>
    <xf numFmtId="177" fontId="30" fillId="5" borderId="0" xfId="0" applyNumberFormat="1" applyFont="1" applyFill="1" applyAlignment="1">
      <alignment horizontal="right" vertical="center"/>
    </xf>
    <xf numFmtId="170" fontId="30" fillId="5" borderId="0" xfId="1" applyNumberFormat="1" applyFont="1" applyFill="1" applyBorder="1" applyAlignment="1">
      <alignment vertical="center"/>
    </xf>
    <xf numFmtId="165" fontId="30" fillId="5" borderId="0" xfId="1" applyNumberFormat="1" applyFont="1" applyFill="1" applyBorder="1" applyAlignment="1">
      <alignment vertical="center"/>
    </xf>
    <xf numFmtId="164" fontId="30" fillId="5" borderId="0" xfId="1" applyFont="1" applyFill="1" applyBorder="1" applyAlignment="1">
      <alignment vertical="center"/>
    </xf>
    <xf numFmtId="185" fontId="30" fillId="5" borderId="0" xfId="0" applyNumberFormat="1" applyFont="1" applyFill="1" applyAlignment="1">
      <alignment horizontal="right" vertical="center"/>
    </xf>
    <xf numFmtId="2" fontId="30" fillId="5" borderId="0" xfId="0" applyNumberFormat="1" applyFont="1" applyFill="1" applyAlignment="1">
      <alignment vertical="center"/>
    </xf>
    <xf numFmtId="177" fontId="30" fillId="5" borderId="0" xfId="0" applyNumberFormat="1" applyFont="1" applyFill="1" applyAlignment="1">
      <alignment vertical="center"/>
    </xf>
    <xf numFmtId="0" fontId="30" fillId="0" borderId="1" xfId="0" applyFont="1" applyBorder="1"/>
    <xf numFmtId="0" fontId="30" fillId="0" borderId="1" xfId="0" applyFont="1" applyBorder="1" applyAlignment="1">
      <alignment horizontal="right"/>
    </xf>
    <xf numFmtId="0" fontId="30" fillId="5" borderId="0" xfId="0" applyFont="1" applyFill="1" applyAlignment="1">
      <alignment horizontal="left"/>
    </xf>
    <xf numFmtId="41" fontId="32" fillId="9" borderId="0" xfId="10" applyFont="1" applyFill="1" applyAlignment="1">
      <alignment horizontal="center" vertical="top" wrapText="1"/>
    </xf>
    <xf numFmtId="40" fontId="33" fillId="0" borderId="0" xfId="0" applyNumberFormat="1" applyFont="1" applyAlignment="1">
      <alignment horizontal="left"/>
    </xf>
    <xf numFmtId="173" fontId="31" fillId="0" borderId="0" xfId="0" applyNumberFormat="1" applyFont="1"/>
    <xf numFmtId="38" fontId="30" fillId="0" borderId="0" xfId="0" applyNumberFormat="1" applyFont="1" applyAlignment="1">
      <alignment horizontal="left"/>
    </xf>
    <xf numFmtId="0" fontId="30" fillId="0" borderId="0" xfId="0" applyFont="1" applyAlignment="1">
      <alignment horizontal="left"/>
    </xf>
    <xf numFmtId="174" fontId="30" fillId="0" borderId="0" xfId="1" applyNumberFormat="1" applyFont="1" applyFill="1" applyBorder="1" applyAlignment="1">
      <alignment horizontal="center"/>
    </xf>
    <xf numFmtId="173" fontId="30" fillId="0" borderId="0" xfId="1" applyNumberFormat="1" applyFont="1" applyFill="1" applyBorder="1"/>
    <xf numFmtId="170" fontId="30" fillId="0" borderId="0" xfId="1" applyNumberFormat="1" applyFont="1" applyFill="1" applyBorder="1"/>
    <xf numFmtId="40" fontId="30" fillId="0" borderId="0" xfId="0" applyNumberFormat="1" applyFont="1" applyAlignment="1">
      <alignment horizontal="left"/>
    </xf>
    <xf numFmtId="40" fontId="30" fillId="0" borderId="0" xfId="1" applyNumberFormat="1" applyFont="1" applyFill="1" applyBorder="1" applyAlignment="1">
      <alignment horizontal="center"/>
    </xf>
    <xf numFmtId="38" fontId="30" fillId="0" borderId="0" xfId="1" applyNumberFormat="1" applyFont="1" applyFill="1" applyBorder="1"/>
    <xf numFmtId="164" fontId="30" fillId="0" borderId="0" xfId="1" applyFont="1" applyFill="1" applyBorder="1" applyAlignment="1">
      <alignment horizontal="left"/>
    </xf>
    <xf numFmtId="170" fontId="30" fillId="0" borderId="0" xfId="1" applyNumberFormat="1" applyFont="1" applyFill="1" applyBorder="1" applyAlignment="1"/>
    <xf numFmtId="170" fontId="30" fillId="0" borderId="0" xfId="1" applyNumberFormat="1" applyFont="1" applyFill="1" applyBorder="1" applyAlignment="1">
      <alignment horizontal="right"/>
    </xf>
    <xf numFmtId="172" fontId="30" fillId="0" borderId="0" xfId="0" applyNumberFormat="1" applyFont="1" applyAlignment="1">
      <alignment horizontal="left"/>
    </xf>
    <xf numFmtId="0" fontId="41" fillId="0" borderId="0" xfId="0" quotePrefix="1" applyFont="1"/>
    <xf numFmtId="172" fontId="30" fillId="0" borderId="0" xfId="0" applyNumberFormat="1" applyFont="1"/>
    <xf numFmtId="41" fontId="30" fillId="5" borderId="0" xfId="10" quotePrefix="1" applyFont="1" applyFill="1" applyAlignment="1">
      <alignment vertical="top"/>
    </xf>
    <xf numFmtId="41" fontId="30" fillId="5" borderId="0" xfId="10" quotePrefix="1" applyFont="1" applyFill="1" applyBorder="1" applyAlignment="1">
      <alignment horizontal="left" vertical="top"/>
    </xf>
    <xf numFmtId="165" fontId="30" fillId="0" borderId="0" xfId="1" applyNumberFormat="1" applyFont="1" applyAlignment="1">
      <alignment horizontal="left"/>
    </xf>
    <xf numFmtId="3" fontId="30" fillId="0" borderId="0" xfId="0" quotePrefix="1" applyNumberFormat="1" applyFont="1"/>
    <xf numFmtId="3" fontId="30" fillId="5" borderId="0" xfId="1" applyNumberFormat="1" applyFont="1" applyFill="1" applyBorder="1" applyAlignment="1">
      <alignment vertical="top"/>
    </xf>
    <xf numFmtId="3" fontId="30" fillId="5" borderId="0" xfId="10" quotePrefix="1" applyNumberFormat="1" applyFont="1" applyFill="1" applyAlignment="1">
      <alignment vertical="top"/>
    </xf>
    <xf numFmtId="3" fontId="30" fillId="5" borderId="0" xfId="10" quotePrefix="1" applyNumberFormat="1" applyFont="1" applyFill="1" applyBorder="1" applyAlignment="1">
      <alignment horizontal="left" vertical="top"/>
    </xf>
    <xf numFmtId="166" fontId="30" fillId="0" borderId="0" xfId="2" applyNumberFormat="1" applyFont="1"/>
    <xf numFmtId="0" fontId="30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3" fillId="12" borderId="0" xfId="0" applyFont="1" applyFill="1" applyAlignment="1">
      <alignment vertical="top"/>
    </xf>
    <xf numFmtId="0" fontId="33" fillId="0" borderId="0" xfId="0" applyFont="1" applyAlignment="1">
      <alignment horizontal="center" vertical="top"/>
    </xf>
    <xf numFmtId="0" fontId="33" fillId="0" borderId="0" xfId="0" applyFont="1" applyAlignment="1">
      <alignment horizontal="center"/>
    </xf>
    <xf numFmtId="0" fontId="30" fillId="0" borderId="19" xfId="0" applyFont="1" applyBorder="1" applyAlignment="1">
      <alignment horizontal="center"/>
    </xf>
    <xf numFmtId="0" fontId="30" fillId="0" borderId="19" xfId="0" applyFont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3" fillId="0" borderId="19" xfId="0" applyFont="1" applyBorder="1"/>
    <xf numFmtId="0" fontId="33" fillId="16" borderId="0" xfId="0" applyFont="1" applyFill="1" applyAlignment="1">
      <alignment horizontal="center" vertical="top"/>
    </xf>
    <xf numFmtId="0" fontId="33" fillId="16" borderId="0" xfId="0" applyFont="1" applyFill="1" applyAlignment="1">
      <alignment horizontal="center" vertical="top" wrapText="1"/>
    </xf>
    <xf numFmtId="0" fontId="33" fillId="2" borderId="0" xfId="0" applyFont="1" applyFill="1" applyAlignment="1">
      <alignment horizontal="center" vertical="top"/>
    </xf>
    <xf numFmtId="0" fontId="33" fillId="2" borderId="0" xfId="0" applyFont="1" applyFill="1" applyAlignment="1">
      <alignment horizontal="center" vertical="top" wrapText="1"/>
    </xf>
    <xf numFmtId="0" fontId="33" fillId="17" borderId="0" xfId="0" applyFont="1" applyFill="1" applyAlignment="1">
      <alignment horizontal="center" vertical="top"/>
    </xf>
    <xf numFmtId="0" fontId="33" fillId="17" borderId="0" xfId="0" applyFont="1" applyFill="1" applyAlignment="1">
      <alignment horizontal="center" vertical="top" wrapText="1"/>
    </xf>
    <xf numFmtId="0" fontId="33" fillId="4" borderId="0" xfId="0" applyFont="1" applyFill="1" applyAlignment="1">
      <alignment horizontal="center" vertical="top"/>
    </xf>
    <xf numFmtId="0" fontId="33" fillId="4" borderId="0" xfId="0" applyFont="1" applyFill="1" applyAlignment="1">
      <alignment horizontal="center" vertical="top" wrapText="1"/>
    </xf>
    <xf numFmtId="0" fontId="33" fillId="5" borderId="0" xfId="0" applyFont="1" applyFill="1" applyAlignment="1">
      <alignment horizontal="center" vertical="top"/>
    </xf>
    <xf numFmtId="0" fontId="33" fillId="0" borderId="19" xfId="0" applyFont="1" applyBorder="1" applyAlignment="1">
      <alignment horizontal="center"/>
    </xf>
    <xf numFmtId="0" fontId="30" fillId="18" borderId="19" xfId="0" applyFont="1" applyFill="1" applyBorder="1" applyAlignment="1">
      <alignment horizontal="center"/>
    </xf>
    <xf numFmtId="0" fontId="30" fillId="18" borderId="0" xfId="0" applyFont="1" applyFill="1" applyAlignment="1">
      <alignment horizontal="center"/>
    </xf>
    <xf numFmtId="0" fontId="30" fillId="18" borderId="19" xfId="0" applyFont="1" applyFill="1" applyBorder="1" applyAlignment="1">
      <alignment horizontal="center" vertical="center"/>
    </xf>
    <xf numFmtId="175" fontId="30" fillId="0" borderId="0" xfId="0" applyNumberFormat="1" applyFont="1" applyAlignment="1">
      <alignment vertical="center"/>
    </xf>
    <xf numFmtId="172" fontId="30" fillId="0" borderId="0" xfId="1" applyNumberFormat="1" applyFont="1" applyAlignment="1">
      <alignment vertical="center"/>
    </xf>
    <xf numFmtId="177" fontId="30" fillId="0" borderId="0" xfId="0" applyNumberFormat="1" applyFont="1" applyAlignment="1">
      <alignment vertical="center"/>
    </xf>
    <xf numFmtId="177" fontId="30" fillId="0" borderId="0" xfId="1" applyNumberFormat="1" applyFont="1" applyAlignment="1">
      <alignment horizontal="left" vertical="center"/>
    </xf>
    <xf numFmtId="177" fontId="30" fillId="0" borderId="0" xfId="1" applyNumberFormat="1" applyFont="1" applyAlignment="1">
      <alignment vertical="center"/>
    </xf>
    <xf numFmtId="0" fontId="42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166" fontId="33" fillId="12" borderId="0" xfId="2" applyNumberFormat="1" applyFont="1" applyFill="1" applyBorder="1" applyAlignment="1">
      <alignment horizontal="left" vertical="top"/>
    </xf>
    <xf numFmtId="164" fontId="32" fillId="9" borderId="0" xfId="1" applyFont="1" applyFill="1" applyBorder="1" applyAlignment="1">
      <alignment vertical="top" wrapText="1"/>
    </xf>
    <xf numFmtId="0" fontId="41" fillId="5" borderId="0" xfId="0" applyFont="1" applyFill="1" applyAlignment="1">
      <alignment vertical="center"/>
    </xf>
    <xf numFmtId="0" fontId="30" fillId="12" borderId="0" xfId="0" applyFont="1" applyFill="1"/>
    <xf numFmtId="41" fontId="30" fillId="5" borderId="0" xfId="10" applyFont="1" applyFill="1" applyAlignment="1">
      <alignment vertical="top"/>
    </xf>
    <xf numFmtId="0" fontId="30" fillId="5" borderId="0" xfId="0" quotePrefix="1" applyFont="1" applyFill="1" applyAlignment="1">
      <alignment horizontal="center" vertical="top"/>
    </xf>
    <xf numFmtId="2" fontId="30" fillId="5" borderId="0" xfId="10" quotePrefix="1" applyNumberFormat="1" applyFont="1" applyFill="1" applyAlignment="1">
      <alignment vertical="top"/>
    </xf>
    <xf numFmtId="41" fontId="30" fillId="5" borderId="0" xfId="10" applyFont="1" applyFill="1"/>
    <xf numFmtId="41" fontId="30" fillId="5" borderId="0" xfId="10" quotePrefix="1" applyFont="1" applyFill="1"/>
    <xf numFmtId="41" fontId="30" fillId="0" borderId="0" xfId="10" applyFont="1" applyAlignment="1">
      <alignment horizontal="left"/>
    </xf>
    <xf numFmtId="0" fontId="30" fillId="6" borderId="0" xfId="0" applyFont="1" applyFill="1" applyAlignment="1">
      <alignment horizontal="center"/>
    </xf>
    <xf numFmtId="41" fontId="30" fillId="0" borderId="0" xfId="10" applyFont="1" applyBorder="1"/>
    <xf numFmtId="178" fontId="30" fillId="5" borderId="0" xfId="0" applyNumberFormat="1" applyFont="1" applyFill="1"/>
    <xf numFmtId="2" fontId="30" fillId="0" borderId="0" xfId="0" quotePrefix="1" applyNumberFormat="1" applyFont="1"/>
    <xf numFmtId="10" fontId="30" fillId="5" borderId="0" xfId="2" applyNumberFormat="1" applyFont="1" applyFill="1" applyBorder="1"/>
    <xf numFmtId="187" fontId="30" fillId="5" borderId="0" xfId="0" applyNumberFormat="1" applyFont="1" applyFill="1"/>
    <xf numFmtId="164" fontId="30" fillId="5" borderId="0" xfId="1" applyFont="1" applyFill="1" applyBorder="1" applyAlignment="1">
      <alignment horizontal="left"/>
    </xf>
    <xf numFmtId="167" fontId="30" fillId="5" borderId="0" xfId="1" applyNumberFormat="1" applyFont="1" applyFill="1" applyBorder="1" applyAlignment="1">
      <alignment vertical="top"/>
    </xf>
    <xf numFmtId="166" fontId="30" fillId="5" borderId="0" xfId="2" applyNumberFormat="1" applyFont="1" applyFill="1" applyBorder="1" applyAlignment="1">
      <alignment vertical="top"/>
    </xf>
    <xf numFmtId="41" fontId="30" fillId="5" borderId="0" xfId="10" quotePrefix="1" applyFont="1" applyFill="1" applyBorder="1" applyAlignment="1">
      <alignment vertical="top"/>
    </xf>
    <xf numFmtId="3" fontId="30" fillId="0" borderId="22" xfId="0" applyNumberFormat="1" applyFont="1" applyBorder="1" applyAlignment="1">
      <alignment vertical="top"/>
    </xf>
    <xf numFmtId="3" fontId="30" fillId="0" borderId="2" xfId="0" quotePrefix="1" applyNumberFormat="1" applyFont="1" applyBorder="1" applyAlignment="1">
      <alignment vertical="top"/>
    </xf>
    <xf numFmtId="41" fontId="30" fillId="5" borderId="0" xfId="10" applyFont="1" applyFill="1" applyBorder="1" applyAlignment="1">
      <alignment vertical="top"/>
    </xf>
    <xf numFmtId="164" fontId="30" fillId="5" borderId="0" xfId="1" applyFont="1" applyFill="1" applyAlignment="1">
      <alignment vertical="top"/>
    </xf>
    <xf numFmtId="9" fontId="31" fillId="0" borderId="0" xfId="0" applyNumberFormat="1" applyFont="1"/>
    <xf numFmtId="2" fontId="39" fillId="0" borderId="0" xfId="0" applyNumberFormat="1" applyFont="1" applyAlignment="1">
      <alignment vertical="center"/>
    </xf>
    <xf numFmtId="2" fontId="43" fillId="0" borderId="0" xfId="0" applyNumberFormat="1" applyFont="1"/>
    <xf numFmtId="3" fontId="43" fillId="0" borderId="0" xfId="0" applyNumberFormat="1" applyFont="1"/>
    <xf numFmtId="17" fontId="32" fillId="9" borderId="0" xfId="0" quotePrefix="1" applyNumberFormat="1" applyFont="1" applyFill="1" applyAlignment="1">
      <alignment horizontal="right" vertical="top"/>
    </xf>
    <xf numFmtId="0" fontId="44" fillId="0" borderId="4" xfId="0" applyFont="1" applyBorder="1"/>
    <xf numFmtId="0" fontId="28" fillId="0" borderId="20" xfId="0" applyFont="1" applyBorder="1" applyAlignment="1">
      <alignment horizontal="center"/>
    </xf>
    <xf numFmtId="0" fontId="44" fillId="0" borderId="20" xfId="0" applyFont="1" applyBorder="1" applyAlignment="1">
      <alignment horizontal="center"/>
    </xf>
    <xf numFmtId="0" fontId="44" fillId="19" borderId="20" xfId="0" applyFont="1" applyFill="1" applyBorder="1" applyAlignment="1">
      <alignment horizontal="center"/>
    </xf>
    <xf numFmtId="0" fontId="41" fillId="0" borderId="0" xfId="0" applyFont="1"/>
    <xf numFmtId="0" fontId="28" fillId="0" borderId="15" xfId="0" applyFont="1" applyBorder="1"/>
    <xf numFmtId="0" fontId="28" fillId="0" borderId="14" xfId="0" applyFont="1" applyBorder="1" applyAlignment="1">
      <alignment horizontal="center"/>
    </xf>
    <xf numFmtId="10" fontId="28" fillId="0" borderId="14" xfId="0" applyNumberFormat="1" applyFont="1" applyBorder="1" applyAlignment="1">
      <alignment horizontal="center"/>
    </xf>
    <xf numFmtId="10" fontId="28" fillId="19" borderId="14" xfId="0" applyNumberFormat="1" applyFont="1" applyFill="1" applyBorder="1" applyAlignment="1">
      <alignment horizontal="center"/>
    </xf>
    <xf numFmtId="10" fontId="30" fillId="0" borderId="0" xfId="0" applyNumberFormat="1" applyFont="1"/>
    <xf numFmtId="10" fontId="30" fillId="0" borderId="4" xfId="0" applyNumberFormat="1" applyFont="1" applyBorder="1"/>
    <xf numFmtId="41" fontId="30" fillId="12" borderId="9" xfId="10" applyFont="1" applyFill="1" applyBorder="1"/>
    <xf numFmtId="0" fontId="30" fillId="12" borderId="3" xfId="0" applyFont="1" applyFill="1" applyBorder="1"/>
    <xf numFmtId="0" fontId="30" fillId="12" borderId="10" xfId="0" applyFont="1" applyFill="1" applyBorder="1"/>
    <xf numFmtId="41" fontId="30" fillId="12" borderId="11" xfId="10" applyFont="1" applyFill="1" applyBorder="1"/>
    <xf numFmtId="10" fontId="31" fillId="12" borderId="12" xfId="0" quotePrefix="1" applyNumberFormat="1" applyFont="1" applyFill="1" applyBorder="1"/>
    <xf numFmtId="41" fontId="30" fillId="12" borderId="13" xfId="10" applyFont="1" applyFill="1" applyBorder="1"/>
    <xf numFmtId="0" fontId="30" fillId="12" borderId="1" xfId="0" applyFont="1" applyFill="1" applyBorder="1"/>
    <xf numFmtId="10" fontId="31" fillId="12" borderId="14" xfId="0" quotePrefix="1" applyNumberFormat="1" applyFont="1" applyFill="1" applyBorder="1"/>
    <xf numFmtId="164" fontId="30" fillId="12" borderId="9" xfId="1" applyFont="1" applyFill="1" applyBorder="1" applyAlignment="1">
      <alignment horizontal="left"/>
    </xf>
    <xf numFmtId="0" fontId="30" fillId="12" borderId="11" xfId="0" applyFont="1" applyFill="1" applyBorder="1" applyAlignment="1">
      <alignment horizontal="left"/>
    </xf>
    <xf numFmtId="166" fontId="30" fillId="5" borderId="5" xfId="2" applyNumberFormat="1" applyFont="1" applyFill="1" applyBorder="1"/>
    <xf numFmtId="0" fontId="30" fillId="12" borderId="12" xfId="0" applyFont="1" applyFill="1" applyBorder="1"/>
    <xf numFmtId="166" fontId="30" fillId="5" borderId="6" xfId="2" applyNumberFormat="1" applyFont="1" applyFill="1" applyBorder="1"/>
    <xf numFmtId="10" fontId="30" fillId="5" borderId="5" xfId="2" applyNumberFormat="1" applyFont="1" applyFill="1" applyBorder="1" applyAlignment="1">
      <alignment horizontal="right"/>
    </xf>
    <xf numFmtId="41" fontId="30" fillId="12" borderId="12" xfId="10" applyFont="1" applyFill="1" applyBorder="1"/>
    <xf numFmtId="41" fontId="30" fillId="12" borderId="12" xfId="10" applyFont="1" applyFill="1" applyBorder="1" applyAlignment="1">
      <alignment horizontal="left"/>
    </xf>
    <xf numFmtId="166" fontId="30" fillId="12" borderId="21" xfId="2" applyNumberFormat="1" applyFont="1" applyFill="1" applyBorder="1"/>
    <xf numFmtId="0" fontId="30" fillId="12" borderId="13" xfId="0" applyFont="1" applyFill="1" applyBorder="1" applyAlignment="1">
      <alignment horizontal="left"/>
    </xf>
    <xf numFmtId="166" fontId="30" fillId="5" borderId="4" xfId="2" applyNumberFormat="1" applyFont="1" applyFill="1" applyBorder="1"/>
    <xf numFmtId="0" fontId="30" fillId="12" borderId="14" xfId="0" applyFont="1" applyFill="1" applyBorder="1"/>
    <xf numFmtId="0" fontId="28" fillId="16" borderId="15" xfId="0" applyFont="1" applyFill="1" applyBorder="1"/>
    <xf numFmtId="0" fontId="28" fillId="16" borderId="14" xfId="0" applyFont="1" applyFill="1" applyBorder="1" applyAlignment="1">
      <alignment horizontal="center"/>
    </xf>
    <xf numFmtId="10" fontId="28" fillId="16" borderId="14" xfId="0" applyNumberFormat="1" applyFont="1" applyFill="1" applyBorder="1" applyAlignment="1">
      <alignment horizontal="center"/>
    </xf>
    <xf numFmtId="0" fontId="45" fillId="0" borderId="0" xfId="0" applyFont="1" applyAlignment="1">
      <alignment vertical="center" wrapText="1"/>
    </xf>
    <xf numFmtId="183" fontId="33" fillId="0" borderId="0" xfId="0" applyNumberFormat="1" applyFont="1"/>
    <xf numFmtId="3" fontId="30" fillId="5" borderId="5" xfId="0" applyNumberFormat="1" applyFont="1" applyFill="1" applyBorder="1" applyAlignment="1">
      <alignment vertical="top"/>
    </xf>
    <xf numFmtId="41" fontId="30" fillId="0" borderId="0" xfId="10" quotePrefix="1" applyFont="1" applyFill="1" applyAlignment="1">
      <alignment vertical="top"/>
    </xf>
    <xf numFmtId="41" fontId="30" fillId="0" borderId="0" xfId="10" quotePrefix="1" applyFont="1" applyFill="1" applyBorder="1" applyAlignment="1">
      <alignment horizontal="left" vertical="top"/>
    </xf>
    <xf numFmtId="3" fontId="31" fillId="5" borderId="0" xfId="0" applyNumberFormat="1" applyFont="1" applyFill="1" applyAlignment="1">
      <alignment vertical="top"/>
    </xf>
    <xf numFmtId="41" fontId="30" fillId="5" borderId="1" xfId="10" applyFont="1" applyFill="1" applyBorder="1" applyAlignment="1">
      <alignment vertical="top"/>
    </xf>
    <xf numFmtId="0" fontId="30" fillId="5" borderId="1" xfId="0" applyFont="1" applyFill="1" applyBorder="1" applyAlignment="1">
      <alignment vertical="top"/>
    </xf>
    <xf numFmtId="3" fontId="30" fillId="5" borderId="1" xfId="0" applyNumberFormat="1" applyFont="1" applyFill="1" applyBorder="1" applyAlignment="1">
      <alignment vertical="top"/>
    </xf>
    <xf numFmtId="0" fontId="30" fillId="5" borderId="1" xfId="0" quotePrefix="1" applyFont="1" applyFill="1" applyBorder="1" applyAlignment="1">
      <alignment horizontal="left" vertical="top"/>
    </xf>
    <xf numFmtId="3" fontId="30" fillId="9" borderId="0" xfId="0" applyNumberFormat="1" applyFont="1" applyFill="1" applyAlignment="1">
      <alignment vertical="top"/>
    </xf>
    <xf numFmtId="41" fontId="30" fillId="9" borderId="0" xfId="10" applyFont="1" applyFill="1" applyAlignment="1">
      <alignment vertical="top"/>
    </xf>
    <xf numFmtId="0" fontId="30" fillId="5" borderId="0" xfId="0" applyFont="1" applyFill="1" applyAlignment="1">
      <alignment horizontal="left" vertical="top"/>
    </xf>
    <xf numFmtId="2" fontId="33" fillId="6" borderId="0" xfId="0" applyNumberFormat="1" applyFont="1" applyFill="1"/>
    <xf numFmtId="2" fontId="30" fillId="6" borderId="0" xfId="0" applyNumberFormat="1" applyFont="1" applyFill="1"/>
    <xf numFmtId="2" fontId="33" fillId="6" borderId="0" xfId="1" quotePrefix="1" applyNumberFormat="1" applyFont="1" applyFill="1"/>
    <xf numFmtId="41" fontId="31" fillId="5" borderId="0" xfId="10" quotePrefix="1" applyFont="1" applyFill="1" applyAlignment="1">
      <alignment vertical="top"/>
    </xf>
    <xf numFmtId="41" fontId="31" fillId="5" borderId="0" xfId="10" quotePrefix="1" applyFont="1" applyFill="1" applyBorder="1" applyAlignment="1">
      <alignment horizontal="left" vertical="top"/>
    </xf>
    <xf numFmtId="0" fontId="30" fillId="8" borderId="0" xfId="0" applyFont="1" applyFill="1" applyAlignment="1">
      <alignment horizontal="center" vertical="center"/>
    </xf>
    <xf numFmtId="173" fontId="30" fillId="16" borderId="4" xfId="1" applyNumberFormat="1" applyFont="1" applyFill="1" applyBorder="1" applyAlignment="1">
      <alignment vertical="center"/>
    </xf>
    <xf numFmtId="0" fontId="32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right" vertical="center" wrapText="1"/>
    </xf>
    <xf numFmtId="172" fontId="31" fillId="0" borderId="1" xfId="0" applyNumberFormat="1" applyFont="1" applyBorder="1" applyAlignment="1">
      <alignment vertical="center"/>
    </xf>
    <xf numFmtId="172" fontId="30" fillId="0" borderId="1" xfId="0" applyNumberFormat="1" applyFont="1" applyBorder="1" applyAlignment="1">
      <alignment vertical="center"/>
    </xf>
    <xf numFmtId="172" fontId="30" fillId="6" borderId="0" xfId="0" applyNumberFormat="1" applyFont="1" applyFill="1" applyAlignment="1">
      <alignment vertical="center"/>
    </xf>
    <xf numFmtId="172" fontId="31" fillId="0" borderId="0" xfId="0" applyNumberFormat="1" applyFont="1" applyAlignment="1">
      <alignment vertical="center"/>
    </xf>
    <xf numFmtId="0" fontId="33" fillId="0" borderId="0" xfId="0" quotePrefix="1" applyFont="1" applyAlignment="1">
      <alignment vertical="center"/>
    </xf>
    <xf numFmtId="172" fontId="30" fillId="15" borderId="0" xfId="0" applyNumberFormat="1" applyFont="1" applyFill="1" applyAlignment="1">
      <alignment vertical="center"/>
    </xf>
    <xf numFmtId="0" fontId="30" fillId="6" borderId="0" xfId="0" applyFont="1" applyFill="1" applyAlignment="1">
      <alignment horizontal="right" wrapText="1"/>
    </xf>
    <xf numFmtId="3" fontId="30" fillId="6" borderId="0" xfId="0" applyNumberFormat="1" applyFont="1" applyFill="1" applyAlignment="1">
      <alignment horizontal="right" wrapText="1"/>
    </xf>
    <xf numFmtId="0" fontId="30" fillId="16" borderId="0" xfId="0" applyFont="1" applyFill="1" applyAlignment="1">
      <alignment horizontal="right" wrapText="1"/>
    </xf>
    <xf numFmtId="3" fontId="30" fillId="5" borderId="0" xfId="0" applyNumberFormat="1" applyFont="1" applyFill="1" applyAlignment="1">
      <alignment horizontal="right"/>
    </xf>
    <xf numFmtId="9" fontId="31" fillId="5" borderId="0" xfId="2" applyFont="1" applyFill="1" applyAlignment="1">
      <alignment horizontal="center"/>
    </xf>
    <xf numFmtId="41" fontId="30" fillId="0" borderId="0" xfId="10" quotePrefix="1" applyFont="1"/>
    <xf numFmtId="170" fontId="31" fillId="0" borderId="24" xfId="1" applyNumberFormat="1" applyFont="1" applyBorder="1"/>
    <xf numFmtId="165" fontId="30" fillId="0" borderId="23" xfId="1" applyNumberFormat="1" applyFont="1" applyFill="1" applyBorder="1"/>
    <xf numFmtId="165" fontId="30" fillId="0" borderId="24" xfId="1" applyNumberFormat="1" applyFont="1" applyFill="1" applyBorder="1"/>
    <xf numFmtId="167" fontId="31" fillId="0" borderId="24" xfId="1" applyNumberFormat="1" applyFont="1" applyFill="1" applyBorder="1"/>
    <xf numFmtId="167" fontId="31" fillId="0" borderId="24" xfId="1" applyNumberFormat="1" applyFont="1" applyBorder="1"/>
    <xf numFmtId="167" fontId="30" fillId="0" borderId="24" xfId="1" applyNumberFormat="1" applyFont="1" applyBorder="1"/>
    <xf numFmtId="165" fontId="31" fillId="0" borderId="23" xfId="1" applyNumberFormat="1" applyFont="1" applyBorder="1"/>
    <xf numFmtId="165" fontId="31" fillId="0" borderId="24" xfId="1" applyNumberFormat="1" applyFont="1" applyBorder="1"/>
    <xf numFmtId="165" fontId="31" fillId="0" borderId="24" xfId="1" applyNumberFormat="1" applyFont="1" applyFill="1" applyBorder="1"/>
    <xf numFmtId="0" fontId="30" fillId="6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right" vertical="center" wrapText="1"/>
    </xf>
    <xf numFmtId="3" fontId="30" fillId="5" borderId="23" xfId="0" applyNumberFormat="1" applyFont="1" applyFill="1" applyBorder="1"/>
    <xf numFmtId="3" fontId="30" fillId="5" borderId="24" xfId="0" applyNumberFormat="1" applyFont="1" applyFill="1" applyBorder="1"/>
    <xf numFmtId="165" fontId="30" fillId="5" borderId="0" xfId="1" applyNumberFormat="1" applyFont="1" applyFill="1" applyAlignment="1">
      <alignment horizontal="center"/>
    </xf>
    <xf numFmtId="165" fontId="30" fillId="5" borderId="0" xfId="0" applyNumberFormat="1" applyFont="1" applyFill="1" applyAlignment="1">
      <alignment horizontal="center"/>
    </xf>
    <xf numFmtId="3" fontId="35" fillId="0" borderId="1" xfId="0" applyNumberFormat="1" applyFont="1" applyBorder="1" applyAlignment="1">
      <alignment vertical="center"/>
    </xf>
    <xf numFmtId="0" fontId="37" fillId="5" borderId="0" xfId="0" applyFont="1" applyFill="1" applyAlignment="1">
      <alignment horizontal="center" vertical="top"/>
    </xf>
    <xf numFmtId="0" fontId="31" fillId="0" borderId="24" xfId="2" applyNumberFormat="1" applyFont="1" applyFill="1" applyBorder="1"/>
    <xf numFmtId="2" fontId="33" fillId="8" borderId="0" xfId="0" applyNumberFormat="1" applyFont="1" applyFill="1"/>
    <xf numFmtId="165" fontId="31" fillId="0" borderId="0" xfId="1" applyNumberFormat="1" applyFont="1" applyFill="1" applyBorder="1"/>
    <xf numFmtId="165" fontId="28" fillId="0" borderId="0" xfId="1" applyNumberFormat="1" applyFont="1" applyFill="1" applyBorder="1"/>
    <xf numFmtId="165" fontId="31" fillId="0" borderId="0" xfId="1" applyNumberFormat="1" applyFont="1" applyFill="1" applyBorder="1" applyAlignment="1">
      <alignment horizontal="right"/>
    </xf>
    <xf numFmtId="2" fontId="33" fillId="5" borderId="0" xfId="0" applyNumberFormat="1" applyFont="1" applyFill="1"/>
    <xf numFmtId="165" fontId="30" fillId="0" borderId="0" xfId="1" quotePrefix="1" applyNumberFormat="1" applyFont="1" applyFill="1" applyBorder="1" applyAlignment="1">
      <alignment horizontal="right"/>
    </xf>
    <xf numFmtId="41" fontId="30" fillId="5" borderId="0" xfId="0" applyNumberFormat="1" applyFont="1" applyFill="1" applyAlignment="1">
      <alignment vertical="top"/>
    </xf>
    <xf numFmtId="3" fontId="30" fillId="5" borderId="0" xfId="0" applyNumberFormat="1" applyFont="1" applyFill="1" applyAlignment="1">
      <alignment horizontal="right" vertical="top"/>
    </xf>
    <xf numFmtId="2" fontId="30" fillId="5" borderId="0" xfId="0" applyNumberFormat="1" applyFont="1" applyFill="1" applyAlignment="1">
      <alignment vertical="top"/>
    </xf>
    <xf numFmtId="0" fontId="30" fillId="5" borderId="18" xfId="0" applyFont="1" applyFill="1" applyBorder="1" applyAlignment="1">
      <alignment vertical="top"/>
    </xf>
    <xf numFmtId="2" fontId="30" fillId="5" borderId="0" xfId="0" applyNumberFormat="1" applyFont="1" applyFill="1"/>
    <xf numFmtId="165" fontId="30" fillId="5" borderId="0" xfId="1" applyNumberFormat="1" applyFont="1" applyFill="1" applyAlignment="1">
      <alignment vertical="top"/>
    </xf>
    <xf numFmtId="2" fontId="30" fillId="5" borderId="0" xfId="1" quotePrefix="1" applyNumberFormat="1" applyFont="1" applyFill="1"/>
    <xf numFmtId="166" fontId="30" fillId="5" borderId="1" xfId="2" applyNumberFormat="1" applyFont="1" applyFill="1" applyBorder="1" applyAlignment="1">
      <alignment vertical="top"/>
    </xf>
    <xf numFmtId="43" fontId="32" fillId="9" borderId="0" xfId="15" applyFont="1" applyFill="1" applyBorder="1" applyAlignment="1">
      <alignment horizontal="right" vertical="top" wrapText="1"/>
    </xf>
    <xf numFmtId="43" fontId="32" fillId="0" borderId="0" xfId="15" applyFont="1" applyFill="1" applyBorder="1" applyAlignment="1">
      <alignment horizontal="right" vertical="top" wrapText="1"/>
    </xf>
    <xf numFmtId="0" fontId="30" fillId="8" borderId="0" xfId="0" applyFont="1" applyFill="1" applyAlignment="1">
      <alignment horizontal="center"/>
    </xf>
    <xf numFmtId="0" fontId="30" fillId="8" borderId="0" xfId="0" applyFont="1" applyFill="1"/>
    <xf numFmtId="3" fontId="30" fillId="8" borderId="0" xfId="0" applyNumberFormat="1" applyFont="1" applyFill="1"/>
    <xf numFmtId="3" fontId="30" fillId="0" borderId="1" xfId="0" applyNumberFormat="1" applyFont="1" applyBorder="1"/>
    <xf numFmtId="43" fontId="32" fillId="9" borderId="0" xfId="15" applyFont="1" applyFill="1" applyBorder="1" applyAlignment="1">
      <alignment horizontal="center" vertical="top" wrapText="1"/>
    </xf>
    <xf numFmtId="3" fontId="30" fillId="0" borderId="11" xfId="0" applyNumberFormat="1" applyFont="1" applyBorder="1"/>
    <xf numFmtId="3" fontId="30" fillId="8" borderId="11" xfId="0" applyNumberFormat="1" applyFont="1" applyFill="1" applyBorder="1"/>
    <xf numFmtId="41" fontId="32" fillId="9" borderId="0" xfId="10" applyFont="1" applyFill="1" applyBorder="1" applyAlignment="1">
      <alignment horizontal="center" vertical="top" wrapText="1"/>
    </xf>
    <xf numFmtId="43" fontId="32" fillId="9" borderId="11" xfId="15" applyFont="1" applyFill="1" applyBorder="1" applyAlignment="1">
      <alignment horizontal="center" vertical="top" wrapText="1"/>
    </xf>
    <xf numFmtId="43" fontId="32" fillId="9" borderId="12" xfId="15" applyFont="1" applyFill="1" applyBorder="1" applyAlignment="1">
      <alignment horizontal="center" vertical="top" wrapText="1"/>
    </xf>
    <xf numFmtId="3" fontId="30" fillId="0" borderId="11" xfId="0" applyNumberFormat="1" applyFont="1" applyBorder="1" applyAlignment="1">
      <alignment horizontal="center"/>
    </xf>
    <xf numFmtId="3" fontId="30" fillId="8" borderId="12" xfId="0" applyNumberFormat="1" applyFont="1" applyFill="1" applyBorder="1" applyAlignment="1">
      <alignment horizontal="center"/>
    </xf>
    <xf numFmtId="3" fontId="30" fillId="0" borderId="13" xfId="0" applyNumberFormat="1" applyFont="1" applyBorder="1" applyAlignment="1">
      <alignment horizontal="center"/>
    </xf>
    <xf numFmtId="3" fontId="30" fillId="0" borderId="1" xfId="0" applyNumberFormat="1" applyFont="1" applyBorder="1" applyAlignment="1">
      <alignment horizontal="center"/>
    </xf>
    <xf numFmtId="3" fontId="30" fillId="8" borderId="14" xfId="0" applyNumberFormat="1" applyFont="1" applyFill="1" applyBorder="1" applyAlignment="1">
      <alignment horizontal="center"/>
    </xf>
    <xf numFmtId="41" fontId="32" fillId="9" borderId="11" xfId="10" applyFont="1" applyFill="1" applyBorder="1" applyAlignment="1">
      <alignment horizontal="center" vertical="top" wrapText="1"/>
    </xf>
    <xf numFmtId="3" fontId="30" fillId="8" borderId="12" xfId="0" applyNumberFormat="1" applyFont="1" applyFill="1" applyBorder="1"/>
    <xf numFmtId="3" fontId="30" fillId="0" borderId="13" xfId="0" applyNumberFormat="1" applyFont="1" applyBorder="1"/>
    <xf numFmtId="3" fontId="30" fillId="8" borderId="9" xfId="0" applyNumberFormat="1" applyFont="1" applyFill="1" applyBorder="1"/>
    <xf numFmtId="3" fontId="30" fillId="8" borderId="25" xfId="0" applyNumberFormat="1" applyFont="1" applyFill="1" applyBorder="1"/>
    <xf numFmtId="3" fontId="30" fillId="0" borderId="9" xfId="0" applyNumberFormat="1" applyFont="1" applyBorder="1" applyAlignment="1">
      <alignment horizontal="center"/>
    </xf>
    <xf numFmtId="3" fontId="30" fillId="0" borderId="3" xfId="0" applyNumberFormat="1" applyFont="1" applyBorder="1" applyAlignment="1">
      <alignment horizontal="center"/>
    </xf>
    <xf numFmtId="3" fontId="30" fillId="8" borderId="10" xfId="0" applyNumberFormat="1" applyFont="1" applyFill="1" applyBorder="1" applyAlignment="1">
      <alignment horizontal="center"/>
    </xf>
    <xf numFmtId="3" fontId="30" fillId="8" borderId="26" xfId="0" applyNumberFormat="1" applyFont="1" applyFill="1" applyBorder="1"/>
    <xf numFmtId="3" fontId="30" fillId="0" borderId="26" xfId="0" applyNumberFormat="1" applyFont="1" applyBorder="1"/>
    <xf numFmtId="169" fontId="31" fillId="0" borderId="24" xfId="1" applyNumberFormat="1" applyFont="1" applyBorder="1"/>
    <xf numFmtId="170" fontId="31" fillId="0" borderId="0" xfId="1" applyNumberFormat="1" applyFont="1" applyBorder="1"/>
    <xf numFmtId="0" fontId="33" fillId="6" borderId="0" xfId="0" applyFont="1" applyFill="1"/>
    <xf numFmtId="3" fontId="31" fillId="5" borderId="23" xfId="0" applyNumberFormat="1" applyFont="1" applyFill="1" applyBorder="1" applyAlignment="1">
      <alignment vertical="top"/>
    </xf>
    <xf numFmtId="3" fontId="31" fillId="5" borderId="24" xfId="0" applyNumberFormat="1" applyFont="1" applyFill="1" applyBorder="1" applyAlignment="1">
      <alignment vertical="top"/>
    </xf>
    <xf numFmtId="3" fontId="30" fillId="3" borderId="0" xfId="0" applyNumberFormat="1" applyFont="1" applyFill="1"/>
    <xf numFmtId="3" fontId="31" fillId="3" borderId="0" xfId="0" applyNumberFormat="1" applyFont="1" applyFill="1" applyAlignment="1">
      <alignment horizontal="center"/>
    </xf>
    <xf numFmtId="3" fontId="30" fillId="3" borderId="0" xfId="0" applyNumberFormat="1" applyFont="1" applyFill="1" applyAlignment="1">
      <alignment horizontal="center"/>
    </xf>
    <xf numFmtId="3" fontId="31" fillId="3" borderId="0" xfId="1" applyNumberFormat="1" applyFont="1" applyFill="1" applyBorder="1"/>
    <xf numFmtId="3" fontId="30" fillId="3" borderId="0" xfId="1" applyNumberFormat="1" applyFont="1" applyFill="1" applyBorder="1"/>
    <xf numFmtId="167" fontId="33" fillId="6" borderId="2" xfId="0" applyNumberFormat="1" applyFont="1" applyFill="1" applyBorder="1" applyAlignment="1">
      <alignment vertical="top"/>
    </xf>
    <xf numFmtId="0" fontId="33" fillId="6" borderId="2" xfId="0" applyFont="1" applyFill="1" applyBorder="1" applyAlignment="1">
      <alignment horizontal="center" vertical="top"/>
    </xf>
    <xf numFmtId="165" fontId="33" fillId="6" borderId="0" xfId="1" applyNumberFormat="1" applyFont="1" applyFill="1" applyBorder="1" applyAlignment="1">
      <alignment vertical="top"/>
    </xf>
    <xf numFmtId="0" fontId="30" fillId="5" borderId="1" xfId="0" applyFont="1" applyFill="1" applyBorder="1" applyAlignment="1">
      <alignment horizontal="center"/>
    </xf>
    <xf numFmtId="167" fontId="30" fillId="5" borderId="1" xfId="0" applyNumberFormat="1" applyFont="1" applyFill="1" applyBorder="1" applyAlignment="1">
      <alignment vertical="top"/>
    </xf>
    <xf numFmtId="167" fontId="31" fillId="5" borderId="0" xfId="1" applyNumberFormat="1" applyFont="1" applyFill="1" applyBorder="1" applyAlignment="1">
      <alignment horizontal="right" vertical="top"/>
    </xf>
    <xf numFmtId="167" fontId="30" fillId="5" borderId="0" xfId="0" applyNumberFormat="1" applyFont="1" applyFill="1" applyAlignment="1">
      <alignment horizontal="right" vertical="top"/>
    </xf>
    <xf numFmtId="165" fontId="31" fillId="5" borderId="0" xfId="1" applyNumberFormat="1" applyFont="1" applyFill="1" applyAlignment="1">
      <alignment vertical="top"/>
    </xf>
    <xf numFmtId="167" fontId="30" fillId="5" borderId="1" xfId="0" applyNumberFormat="1" applyFont="1" applyFill="1" applyBorder="1" applyAlignment="1">
      <alignment horizontal="right" vertical="top"/>
    </xf>
    <xf numFmtId="165" fontId="30" fillId="5" borderId="1" xfId="0" applyNumberFormat="1" applyFont="1" applyFill="1" applyBorder="1" applyAlignment="1">
      <alignment vertical="top"/>
    </xf>
    <xf numFmtId="0" fontId="30" fillId="5" borderId="0" xfId="0" applyFont="1" applyFill="1" applyAlignment="1">
      <alignment horizontal="right" vertical="top"/>
    </xf>
    <xf numFmtId="41" fontId="31" fillId="5" borderId="0" xfId="10" quotePrefix="1" applyFont="1" applyFill="1" applyBorder="1" applyAlignment="1">
      <alignment vertical="top"/>
    </xf>
    <xf numFmtId="0" fontId="31" fillId="5" borderId="1" xfId="0" applyFont="1" applyFill="1" applyBorder="1" applyAlignment="1">
      <alignment vertical="top"/>
    </xf>
    <xf numFmtId="167" fontId="30" fillId="5" borderId="1" xfId="1" applyNumberFormat="1" applyFont="1" applyFill="1" applyBorder="1" applyAlignment="1">
      <alignment vertical="top"/>
    </xf>
    <xf numFmtId="165" fontId="30" fillId="5" borderId="0" xfId="0" applyNumberFormat="1" applyFont="1" applyFill="1" applyAlignment="1">
      <alignment vertical="top"/>
    </xf>
    <xf numFmtId="165" fontId="30" fillId="5" borderId="1" xfId="1" applyNumberFormat="1" applyFont="1" applyFill="1" applyBorder="1" applyAlignment="1">
      <alignment vertical="top"/>
    </xf>
    <xf numFmtId="0" fontId="30" fillId="5" borderId="1" xfId="0" quotePrefix="1" applyFont="1" applyFill="1" applyBorder="1" applyAlignment="1">
      <alignment vertical="top"/>
    </xf>
    <xf numFmtId="165" fontId="31" fillId="0" borderId="27" xfId="1" applyNumberFormat="1" applyFont="1" applyBorder="1"/>
    <xf numFmtId="169" fontId="31" fillId="5" borderId="0" xfId="1" applyNumberFormat="1" applyFont="1" applyFill="1" applyBorder="1" applyAlignment="1">
      <alignment vertical="top"/>
    </xf>
    <xf numFmtId="165" fontId="30" fillId="0" borderId="0" xfId="1" applyNumberFormat="1" applyFont="1" applyFill="1" applyBorder="1" applyAlignment="1">
      <alignment horizontal="right"/>
    </xf>
    <xf numFmtId="0" fontId="31" fillId="0" borderId="0" xfId="0" applyFont="1"/>
    <xf numFmtId="165" fontId="31" fillId="0" borderId="0" xfId="1" applyNumberFormat="1" applyFont="1"/>
    <xf numFmtId="2" fontId="30" fillId="0" borderId="1" xfId="0" applyNumberFormat="1" applyFont="1" applyBorder="1"/>
    <xf numFmtId="165" fontId="30" fillId="0" borderId="1" xfId="0" applyNumberFormat="1" applyFont="1" applyBorder="1"/>
    <xf numFmtId="165" fontId="31" fillId="0" borderId="1" xfId="1" applyNumberFormat="1" applyFont="1" applyFill="1" applyBorder="1"/>
    <xf numFmtId="165" fontId="31" fillId="0" borderId="1" xfId="1" quotePrefix="1" applyNumberFormat="1" applyFont="1" applyBorder="1" applyAlignment="1">
      <alignment horizontal="right"/>
    </xf>
    <xf numFmtId="165" fontId="31" fillId="0" borderId="1" xfId="1" applyNumberFormat="1" applyFont="1" applyBorder="1"/>
    <xf numFmtId="165" fontId="30" fillId="0" borderId="24" xfId="1" applyNumberFormat="1" applyFont="1" applyBorder="1"/>
    <xf numFmtId="41" fontId="30" fillId="5" borderId="1" xfId="10" quotePrefix="1" applyFont="1" applyFill="1" applyBorder="1" applyAlignment="1">
      <alignment vertical="top"/>
    </xf>
    <xf numFmtId="1" fontId="31" fillId="5" borderId="0" xfId="0" applyNumberFormat="1" applyFont="1" applyFill="1" applyAlignment="1">
      <alignment horizontal="right"/>
    </xf>
    <xf numFmtId="0" fontId="31" fillId="5" borderId="6" xfId="0" applyFont="1" applyFill="1" applyBorder="1" applyAlignment="1">
      <alignment vertical="top"/>
    </xf>
    <xf numFmtId="10" fontId="30" fillId="0" borderId="0" xfId="2" applyNumberFormat="1" applyFont="1" applyAlignment="1">
      <alignment vertical="center"/>
    </xf>
    <xf numFmtId="0" fontId="0" fillId="5" borderId="0" xfId="0" applyFill="1"/>
    <xf numFmtId="41" fontId="0" fillId="5" borderId="0" xfId="10" applyFont="1" applyFill="1" applyBorder="1" applyAlignment="1">
      <alignment horizontal="center"/>
    </xf>
    <xf numFmtId="165" fontId="0" fillId="5" borderId="0" xfId="1" applyNumberFormat="1" applyFont="1" applyFill="1" applyBorder="1"/>
    <xf numFmtId="0" fontId="12" fillId="0" borderId="37" xfId="0" applyFont="1" applyBorder="1"/>
    <xf numFmtId="165" fontId="12" fillId="0" borderId="37" xfId="1" applyNumberFormat="1" applyFont="1" applyBorder="1"/>
    <xf numFmtId="165" fontId="12" fillId="0" borderId="0" xfId="1" applyNumberFormat="1" applyFont="1" applyBorder="1"/>
    <xf numFmtId="0" fontId="12" fillId="21" borderId="42" xfId="0" applyFont="1" applyFill="1" applyBorder="1"/>
    <xf numFmtId="165" fontId="12" fillId="21" borderId="42" xfId="1" applyNumberFormat="1" applyFont="1" applyFill="1" applyBorder="1"/>
    <xf numFmtId="165" fontId="30" fillId="5" borderId="0" xfId="0" quotePrefix="1" applyNumberFormat="1" applyFont="1" applyFill="1" applyAlignment="1">
      <alignment vertical="top"/>
    </xf>
    <xf numFmtId="165" fontId="30" fillId="0" borderId="0" xfId="1" applyNumberFormat="1" applyFont="1" applyAlignment="1">
      <alignment vertical="top"/>
    </xf>
    <xf numFmtId="3" fontId="33" fillId="8" borderId="0" xfId="0" applyNumberFormat="1" applyFont="1" applyFill="1"/>
    <xf numFmtId="185" fontId="30" fillId="0" borderId="0" xfId="0" applyNumberFormat="1" applyFont="1" applyAlignment="1">
      <alignment vertical="center"/>
    </xf>
    <xf numFmtId="40" fontId="30" fillId="0" borderId="4" xfId="1" applyNumberFormat="1" applyFont="1" applyBorder="1" applyAlignment="1">
      <alignment vertical="center"/>
    </xf>
    <xf numFmtId="0" fontId="30" fillId="5" borderId="9" xfId="0" applyFont="1" applyFill="1" applyBorder="1" applyAlignment="1">
      <alignment vertical="top"/>
    </xf>
    <xf numFmtId="165" fontId="30" fillId="5" borderId="3" xfId="1" applyNumberFormat="1" applyFont="1" applyFill="1" applyBorder="1" applyAlignment="1">
      <alignment vertical="top"/>
    </xf>
    <xf numFmtId="0" fontId="30" fillId="5" borderId="3" xfId="0" applyFont="1" applyFill="1" applyBorder="1" applyAlignment="1">
      <alignment vertical="top"/>
    </xf>
    <xf numFmtId="0" fontId="30" fillId="5" borderId="10" xfId="0" applyFont="1" applyFill="1" applyBorder="1" applyAlignment="1">
      <alignment vertical="top"/>
    </xf>
    <xf numFmtId="0" fontId="30" fillId="5" borderId="11" xfId="0" applyFont="1" applyFill="1" applyBorder="1" applyAlignment="1">
      <alignment vertical="top"/>
    </xf>
    <xf numFmtId="184" fontId="30" fillId="5" borderId="0" xfId="0" applyNumberFormat="1" applyFont="1" applyFill="1" applyAlignment="1">
      <alignment horizontal="center" vertical="top"/>
    </xf>
    <xf numFmtId="0" fontId="30" fillId="5" borderId="12" xfId="0" applyFont="1" applyFill="1" applyBorder="1" applyAlignment="1">
      <alignment vertical="top"/>
    </xf>
    <xf numFmtId="164" fontId="30" fillId="5" borderId="12" xfId="1" applyFont="1" applyFill="1" applyBorder="1" applyAlignment="1">
      <alignment vertical="top"/>
    </xf>
    <xf numFmtId="0" fontId="30" fillId="5" borderId="13" xfId="0" applyFont="1" applyFill="1" applyBorder="1" applyAlignment="1">
      <alignment vertical="top"/>
    </xf>
    <xf numFmtId="0" fontId="30" fillId="5" borderId="14" xfId="0" applyFont="1" applyFill="1" applyBorder="1" applyAlignment="1">
      <alignment vertical="top"/>
    </xf>
    <xf numFmtId="167" fontId="31" fillId="0" borderId="0" xfId="1" applyNumberFormat="1" applyFont="1" applyFill="1" applyBorder="1" applyAlignment="1">
      <alignment vertical="top"/>
    </xf>
    <xf numFmtId="165" fontId="33" fillId="5" borderId="1" xfId="0" applyNumberFormat="1" applyFont="1" applyFill="1" applyBorder="1" applyAlignment="1">
      <alignment vertical="top"/>
    </xf>
    <xf numFmtId="165" fontId="30" fillId="0" borderId="0" xfId="1" applyNumberFormat="1" applyFont="1" applyFill="1" applyBorder="1" applyAlignment="1">
      <alignment vertical="center"/>
    </xf>
    <xf numFmtId="165" fontId="30" fillId="0" borderId="0" xfId="1" applyNumberFormat="1" applyFont="1" applyAlignment="1">
      <alignment vertical="center"/>
    </xf>
    <xf numFmtId="178" fontId="30" fillId="0" borderId="0" xfId="0" applyNumberFormat="1" applyFont="1" applyAlignment="1">
      <alignment vertical="top"/>
    </xf>
    <xf numFmtId="43" fontId="32" fillId="9" borderId="12" xfId="15" applyFont="1" applyFill="1" applyBorder="1" applyAlignment="1">
      <alignment horizontal="center" vertical="center" wrapText="1"/>
    </xf>
    <xf numFmtId="3" fontId="30" fillId="8" borderId="32" xfId="0" applyNumberFormat="1" applyFont="1" applyFill="1" applyBorder="1"/>
    <xf numFmtId="3" fontId="30" fillId="8" borderId="35" xfId="0" applyNumberFormat="1" applyFont="1" applyFill="1" applyBorder="1"/>
    <xf numFmtId="3" fontId="30" fillId="0" borderId="36" xfId="0" applyNumberFormat="1" applyFont="1" applyBorder="1"/>
    <xf numFmtId="3" fontId="30" fillId="0" borderId="33" xfId="0" applyNumberFormat="1" applyFont="1" applyBorder="1"/>
    <xf numFmtId="3" fontId="30" fillId="0" borderId="38" xfId="0" applyNumberFormat="1" applyFont="1" applyBorder="1"/>
    <xf numFmtId="3" fontId="30" fillId="5" borderId="0" xfId="1" applyNumberFormat="1" applyFont="1" applyFill="1" applyAlignment="1">
      <alignment vertical="top"/>
    </xf>
    <xf numFmtId="3" fontId="31" fillId="5" borderId="0" xfId="1" applyNumberFormat="1" applyFont="1" applyFill="1" applyAlignment="1">
      <alignment vertical="top"/>
    </xf>
    <xf numFmtId="188" fontId="30" fillId="0" borderId="0" xfId="0" applyNumberFormat="1" applyFont="1" applyAlignment="1">
      <alignment vertical="top"/>
    </xf>
    <xf numFmtId="3" fontId="28" fillId="6" borderId="0" xfId="1" applyNumberFormat="1" applyFont="1" applyFill="1" applyAlignment="1">
      <alignment vertical="top"/>
    </xf>
    <xf numFmtId="164" fontId="30" fillId="0" borderId="0" xfId="1" applyFont="1" applyFill="1" applyBorder="1" applyAlignment="1">
      <alignment horizontal="right" vertical="top"/>
    </xf>
    <xf numFmtId="0" fontId="32" fillId="9" borderId="0" xfId="0" applyFont="1" applyFill="1" applyAlignment="1">
      <alignment horizontal="center" vertical="center" wrapText="1"/>
    </xf>
    <xf numFmtId="0" fontId="32" fillId="9" borderId="45" xfId="0" applyFont="1" applyFill="1" applyBorder="1" applyAlignment="1">
      <alignment horizontal="right" vertical="center" wrapText="1"/>
    </xf>
    <xf numFmtId="0" fontId="32" fillId="9" borderId="45" xfId="0" applyFont="1" applyFill="1" applyBorder="1" applyAlignment="1">
      <alignment horizontal="center" vertical="center" wrapText="1"/>
    </xf>
    <xf numFmtId="3" fontId="30" fillId="0" borderId="0" xfId="1" applyNumberFormat="1" applyFont="1" applyBorder="1" applyAlignment="1">
      <alignment vertical="top"/>
    </xf>
    <xf numFmtId="3" fontId="30" fillId="6" borderId="0" xfId="1" applyNumberFormat="1" applyFont="1" applyFill="1" applyBorder="1" applyAlignment="1">
      <alignment vertical="top"/>
    </xf>
    <xf numFmtId="0" fontId="30" fillId="0" borderId="0" xfId="0" quotePrefix="1" applyFont="1" applyAlignment="1">
      <alignment horizontal="left" vertical="top"/>
    </xf>
    <xf numFmtId="165" fontId="50" fillId="0" borderId="0" xfId="1" applyNumberFormat="1" applyFont="1" applyBorder="1" applyAlignment="1">
      <alignment vertical="top"/>
    </xf>
    <xf numFmtId="165" fontId="31" fillId="5" borderId="18" xfId="1" applyNumberFormat="1" applyFont="1" applyFill="1" applyBorder="1" applyAlignment="1">
      <alignment vertical="top"/>
    </xf>
    <xf numFmtId="167" fontId="50" fillId="0" borderId="0" xfId="1" applyNumberFormat="1" applyFont="1" applyBorder="1" applyAlignment="1">
      <alignment vertical="top"/>
    </xf>
    <xf numFmtId="164" fontId="30" fillId="6" borderId="0" xfId="1" applyFont="1" applyFill="1" applyBorder="1" applyAlignment="1">
      <alignment horizontal="left" vertical="top"/>
    </xf>
    <xf numFmtId="3" fontId="30" fillId="6" borderId="4" xfId="0" applyNumberFormat="1" applyFont="1" applyFill="1" applyBorder="1" applyAlignment="1">
      <alignment vertical="top"/>
    </xf>
    <xf numFmtId="167" fontId="30" fillId="0" borderId="0" xfId="0" applyNumberFormat="1" applyFont="1" applyAlignment="1">
      <alignment vertical="top"/>
    </xf>
    <xf numFmtId="166" fontId="30" fillId="0" borderId="0" xfId="2" applyNumberFormat="1" applyFont="1" applyBorder="1" applyAlignment="1">
      <alignment horizontal="center" vertical="top"/>
    </xf>
    <xf numFmtId="166" fontId="30" fillId="0" borderId="5" xfId="2" applyNumberFormat="1" applyFont="1" applyBorder="1" applyAlignment="1">
      <alignment vertical="top"/>
    </xf>
    <xf numFmtId="9" fontId="30" fillId="0" borderId="0" xfId="2" applyFont="1" applyBorder="1" applyAlignment="1">
      <alignment vertical="top"/>
    </xf>
    <xf numFmtId="0" fontId="12" fillId="23" borderId="0" xfId="0" applyFont="1" applyFill="1" applyAlignment="1">
      <alignment horizontal="left"/>
    </xf>
    <xf numFmtId="10" fontId="12" fillId="23" borderId="0" xfId="0" applyNumberFormat="1" applyFont="1" applyFill="1" applyAlignment="1">
      <alignment horizontal="right"/>
    </xf>
    <xf numFmtId="0" fontId="12" fillId="23" borderId="0" xfId="0" applyFont="1" applyFill="1"/>
    <xf numFmtId="165" fontId="12" fillId="23" borderId="0" xfId="1" applyNumberFormat="1" applyFont="1" applyFill="1" applyAlignment="1">
      <alignment horizontal="right"/>
    </xf>
    <xf numFmtId="165" fontId="12" fillId="0" borderId="0" xfId="1" applyNumberFormat="1" applyFont="1"/>
    <xf numFmtId="43" fontId="0" fillId="0" borderId="0" xfId="0" applyNumberFormat="1"/>
    <xf numFmtId="165" fontId="12" fillId="0" borderId="0" xfId="0" applyNumberFormat="1" applyFont="1"/>
    <xf numFmtId="3" fontId="33" fillId="5" borderId="0" xfId="1" applyNumberFormat="1" applyFont="1" applyFill="1" applyAlignment="1">
      <alignment vertical="top"/>
    </xf>
    <xf numFmtId="0" fontId="30" fillId="5" borderId="35" xfId="0" applyFont="1" applyFill="1" applyBorder="1"/>
    <xf numFmtId="0" fontId="30" fillId="5" borderId="39" xfId="0" applyFont="1" applyFill="1" applyBorder="1"/>
    <xf numFmtId="0" fontId="30" fillId="5" borderId="41" xfId="0" applyFont="1" applyFill="1" applyBorder="1"/>
    <xf numFmtId="0" fontId="53" fillId="5" borderId="44" xfId="0" applyFont="1" applyFill="1" applyBorder="1" applyAlignment="1">
      <alignment vertical="center" wrapText="1"/>
    </xf>
    <xf numFmtId="165" fontId="53" fillId="21" borderId="44" xfId="1" applyNumberFormat="1" applyFont="1" applyFill="1" applyBorder="1"/>
    <xf numFmtId="165" fontId="49" fillId="5" borderId="28" xfId="1" applyNumberFormat="1" applyFont="1" applyFill="1" applyBorder="1" applyAlignment="1">
      <alignment horizontal="center" vertical="center"/>
    </xf>
    <xf numFmtId="165" fontId="49" fillId="5" borderId="29" xfId="1" applyNumberFormat="1" applyFont="1" applyFill="1" applyBorder="1" applyAlignment="1">
      <alignment horizontal="center" vertical="center"/>
    </xf>
    <xf numFmtId="165" fontId="49" fillId="5" borderId="30" xfId="1" applyNumberFormat="1" applyFont="1" applyFill="1" applyBorder="1" applyAlignment="1">
      <alignment horizontal="center" vertical="center"/>
    </xf>
    <xf numFmtId="0" fontId="53" fillId="5" borderId="34" xfId="0" applyFont="1" applyFill="1" applyBorder="1" applyAlignment="1">
      <alignment horizontal="center" vertical="center"/>
    </xf>
    <xf numFmtId="41" fontId="49" fillId="5" borderId="46" xfId="10" applyFont="1" applyFill="1" applyBorder="1" applyAlignment="1">
      <alignment horizontal="center"/>
    </xf>
    <xf numFmtId="41" fontId="49" fillId="5" borderId="0" xfId="10" applyFont="1" applyFill="1" applyBorder="1" applyAlignment="1">
      <alignment horizontal="center"/>
    </xf>
    <xf numFmtId="41" fontId="49" fillId="5" borderId="31" xfId="10" applyFont="1" applyFill="1" applyBorder="1" applyAlignment="1">
      <alignment horizontal="center"/>
    </xf>
    <xf numFmtId="41" fontId="49" fillId="5" borderId="32" xfId="10" applyFont="1" applyFill="1" applyBorder="1" applyAlignment="1">
      <alignment horizontal="center"/>
    </xf>
    <xf numFmtId="41" fontId="49" fillId="5" borderId="47" xfId="10" applyFont="1" applyFill="1" applyBorder="1" applyAlignment="1">
      <alignment horizontal="center"/>
    </xf>
    <xf numFmtId="41" fontId="49" fillId="5" borderId="35" xfId="10" applyFont="1" applyFill="1" applyBorder="1" applyAlignment="1">
      <alignment horizontal="center"/>
    </xf>
    <xf numFmtId="41" fontId="54" fillId="5" borderId="47" xfId="10" applyFont="1" applyFill="1" applyBorder="1" applyAlignment="1">
      <alignment horizontal="center"/>
    </xf>
    <xf numFmtId="41" fontId="55" fillId="24" borderId="44" xfId="10" applyFont="1" applyFill="1" applyBorder="1" applyAlignment="1">
      <alignment horizontal="center"/>
    </xf>
    <xf numFmtId="0" fontId="53" fillId="5" borderId="40" xfId="0" applyFont="1" applyFill="1" applyBorder="1" applyAlignment="1">
      <alignment horizontal="center" vertical="center"/>
    </xf>
    <xf numFmtId="41" fontId="49" fillId="5" borderId="48" xfId="10" applyFont="1" applyFill="1" applyBorder="1" applyAlignment="1">
      <alignment horizontal="center"/>
    </xf>
    <xf numFmtId="41" fontId="49" fillId="5" borderId="39" xfId="10" applyFont="1" applyFill="1" applyBorder="1" applyAlignment="1">
      <alignment horizontal="center"/>
    </xf>
    <xf numFmtId="41" fontId="49" fillId="5" borderId="41" xfId="10" applyFont="1" applyFill="1" applyBorder="1" applyAlignment="1">
      <alignment horizontal="center"/>
    </xf>
    <xf numFmtId="0" fontId="30" fillId="5" borderId="31" xfId="0" applyFont="1" applyFill="1" applyBorder="1"/>
    <xf numFmtId="0" fontId="30" fillId="5" borderId="32" xfId="0" applyFont="1" applyFill="1" applyBorder="1"/>
    <xf numFmtId="165" fontId="48" fillId="0" borderId="0" xfId="1" applyNumberFormat="1" applyFont="1" applyBorder="1"/>
    <xf numFmtId="165" fontId="0" fillId="0" borderId="0" xfId="1" applyNumberFormat="1" applyFont="1" applyBorder="1"/>
    <xf numFmtId="165" fontId="0" fillId="5" borderId="0" xfId="0" applyNumberFormat="1" applyFill="1"/>
    <xf numFmtId="0" fontId="47" fillId="5" borderId="0" xfId="0" applyFont="1" applyFill="1" applyAlignment="1">
      <alignment horizontal="center" vertical="center" textRotation="90"/>
    </xf>
    <xf numFmtId="166" fontId="48" fillId="0" borderId="0" xfId="0" applyNumberFormat="1" applyFont="1"/>
    <xf numFmtId="165" fontId="0" fillId="0" borderId="0" xfId="1" applyNumberFormat="1" applyFont="1" applyBorder="1" applyAlignment="1">
      <alignment horizontal="right"/>
    </xf>
    <xf numFmtId="3" fontId="51" fillId="5" borderId="0" xfId="0" applyNumberFormat="1" applyFont="1" applyFill="1"/>
    <xf numFmtId="41" fontId="0" fillId="0" borderId="0" xfId="10" applyFont="1" applyBorder="1"/>
    <xf numFmtId="0" fontId="0" fillId="0" borderId="39" xfId="0" applyBorder="1"/>
    <xf numFmtId="41" fontId="0" fillId="0" borderId="39" xfId="10" applyFont="1" applyBorder="1"/>
    <xf numFmtId="164" fontId="30" fillId="5" borderId="39" xfId="1" applyFont="1" applyFill="1" applyBorder="1"/>
    <xf numFmtId="10" fontId="30" fillId="5" borderId="39" xfId="0" applyNumberFormat="1" applyFont="1" applyFill="1" applyBorder="1"/>
    <xf numFmtId="165" fontId="30" fillId="5" borderId="39" xfId="0" applyNumberFormat="1" applyFont="1" applyFill="1" applyBorder="1"/>
    <xf numFmtId="41" fontId="57" fillId="5" borderId="0" xfId="10" applyFont="1" applyFill="1" applyBorder="1" applyAlignment="1">
      <alignment horizontal="center"/>
    </xf>
    <xf numFmtId="165" fontId="33" fillId="5" borderId="0" xfId="0" applyNumberFormat="1" applyFont="1" applyFill="1" applyAlignment="1">
      <alignment vertical="top"/>
    </xf>
    <xf numFmtId="0" fontId="46" fillId="5" borderId="33" xfId="0" applyFont="1" applyFill="1" applyBorder="1"/>
    <xf numFmtId="0" fontId="56" fillId="5" borderId="0" xfId="0" applyFont="1" applyFill="1" applyAlignment="1">
      <alignment horizontal="center" vertical="center" wrapText="1"/>
    </xf>
    <xf numFmtId="164" fontId="30" fillId="5" borderId="0" xfId="1" applyFont="1" applyFill="1" applyBorder="1"/>
    <xf numFmtId="10" fontId="30" fillId="5" borderId="0" xfId="0" applyNumberFormat="1" applyFont="1" applyFill="1"/>
    <xf numFmtId="165" fontId="30" fillId="5" borderId="0" xfId="0" applyNumberFormat="1" applyFont="1" applyFill="1"/>
    <xf numFmtId="41" fontId="0" fillId="5" borderId="0" xfId="10" applyFont="1" applyFill="1" applyBorder="1"/>
    <xf numFmtId="0" fontId="0" fillId="5" borderId="0" xfId="0" applyFill="1" applyAlignment="1">
      <alignment vertical="top" wrapText="1"/>
    </xf>
    <xf numFmtId="3" fontId="33" fillId="5" borderId="0" xfId="0" applyNumberFormat="1" applyFont="1" applyFill="1" applyAlignment="1">
      <alignment vertical="top"/>
    </xf>
    <xf numFmtId="3" fontId="43" fillId="5" borderId="0" xfId="1" applyNumberFormat="1" applyFont="1" applyFill="1" applyAlignment="1">
      <alignment vertical="top"/>
    </xf>
    <xf numFmtId="165" fontId="33" fillId="0" borderId="0" xfId="1" applyNumberFormat="1" applyFont="1" applyAlignment="1">
      <alignment vertical="top"/>
    </xf>
    <xf numFmtId="164" fontId="33" fillId="0" borderId="0" xfId="1" applyFont="1" applyAlignment="1">
      <alignment vertical="top"/>
    </xf>
    <xf numFmtId="165" fontId="33" fillId="0" borderId="0" xfId="0" applyNumberFormat="1" applyFont="1" applyAlignment="1">
      <alignment vertical="top"/>
    </xf>
    <xf numFmtId="0" fontId="32" fillId="0" borderId="0" xfId="0" applyFont="1" applyAlignment="1">
      <alignment vertical="top"/>
    </xf>
    <xf numFmtId="165" fontId="31" fillId="0" borderId="0" xfId="1" applyNumberFormat="1" applyFont="1" applyBorder="1"/>
    <xf numFmtId="41" fontId="55" fillId="25" borderId="44" xfId="10" applyFont="1" applyFill="1" applyBorder="1" applyAlignment="1">
      <alignment horizontal="center"/>
    </xf>
    <xf numFmtId="41" fontId="58" fillId="5" borderId="0" xfId="10" applyFont="1" applyFill="1" applyBorder="1" applyAlignment="1">
      <alignment horizontal="center"/>
    </xf>
    <xf numFmtId="41" fontId="58" fillId="5" borderId="39" xfId="10" applyFont="1" applyFill="1" applyBorder="1" applyAlignment="1">
      <alignment horizontal="center"/>
    </xf>
    <xf numFmtId="165" fontId="28" fillId="5" borderId="18" xfId="1" applyNumberFormat="1" applyFont="1" applyFill="1" applyBorder="1" applyAlignment="1">
      <alignment vertical="top"/>
    </xf>
    <xf numFmtId="166" fontId="30" fillId="0" borderId="0" xfId="0" applyNumberFormat="1" applyFont="1"/>
    <xf numFmtId="170" fontId="30" fillId="0" borderId="0" xfId="0" applyNumberFormat="1" applyFont="1" applyAlignment="1">
      <alignment vertical="center"/>
    </xf>
    <xf numFmtId="9" fontId="30" fillId="0" borderId="0" xfId="2" applyFont="1" applyAlignment="1">
      <alignment vertical="center"/>
    </xf>
    <xf numFmtId="41" fontId="55" fillId="25" borderId="28" xfId="10" applyFont="1" applyFill="1" applyBorder="1" applyAlignment="1">
      <alignment horizontal="center"/>
    </xf>
    <xf numFmtId="0" fontId="30" fillId="0" borderId="3" xfId="0" applyFont="1" applyBorder="1" applyAlignment="1">
      <alignment horizontal="center" vertical="center" textRotation="90"/>
    </xf>
    <xf numFmtId="0" fontId="30" fillId="0" borderId="0" xfId="0" applyFont="1" applyAlignment="1">
      <alignment horizontal="center" vertical="center" textRotation="90"/>
    </xf>
    <xf numFmtId="0" fontId="32" fillId="9" borderId="0" xfId="0" applyFont="1" applyFill="1" applyAlignment="1">
      <alignment horizontal="center" vertical="top" wrapText="1"/>
    </xf>
    <xf numFmtId="0" fontId="32" fillId="9" borderId="0" xfId="0" applyFont="1" applyFill="1" applyAlignment="1">
      <alignment horizontal="right" wrapText="1"/>
    </xf>
    <xf numFmtId="0" fontId="30" fillId="5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/>
    </xf>
    <xf numFmtId="0" fontId="33" fillId="5" borderId="0" xfId="0" applyFont="1" applyFill="1" applyAlignment="1">
      <alignment horizontal="left" vertical="center"/>
    </xf>
    <xf numFmtId="164" fontId="32" fillId="9" borderId="0" xfId="1" applyFont="1" applyFill="1" applyBorder="1" applyAlignment="1">
      <alignment horizontal="center" vertical="top"/>
    </xf>
    <xf numFmtId="43" fontId="32" fillId="9" borderId="25" xfId="15" applyFont="1" applyFill="1" applyBorder="1" applyAlignment="1">
      <alignment horizontal="center" vertical="center" wrapText="1"/>
    </xf>
    <xf numFmtId="43" fontId="32" fillId="9" borderId="26" xfId="15" applyFont="1" applyFill="1" applyBorder="1" applyAlignment="1">
      <alignment horizontal="center" vertical="center" wrapText="1"/>
    </xf>
    <xf numFmtId="43" fontId="32" fillId="9" borderId="11" xfId="15" applyFont="1" applyFill="1" applyBorder="1" applyAlignment="1">
      <alignment horizontal="center" vertical="center" wrapText="1"/>
    </xf>
    <xf numFmtId="43" fontId="32" fillId="9" borderId="0" xfId="15" applyFont="1" applyFill="1" applyBorder="1" applyAlignment="1">
      <alignment horizontal="center" vertical="center" wrapText="1"/>
    </xf>
    <xf numFmtId="43" fontId="32" fillId="9" borderId="12" xfId="15" applyFont="1" applyFill="1" applyBorder="1" applyAlignment="1">
      <alignment horizontal="center" vertical="center" wrapText="1"/>
    </xf>
    <xf numFmtId="43" fontId="32" fillId="9" borderId="0" xfId="15" applyFont="1" applyFill="1" applyBorder="1" applyAlignment="1">
      <alignment horizontal="right" vertical="top" wrapText="1"/>
    </xf>
    <xf numFmtId="43" fontId="32" fillId="9" borderId="9" xfId="15" applyFont="1" applyFill="1" applyBorder="1" applyAlignment="1">
      <alignment horizontal="center" vertical="center" wrapText="1"/>
    </xf>
    <xf numFmtId="43" fontId="32" fillId="9" borderId="3" xfId="15" applyFont="1" applyFill="1" applyBorder="1" applyAlignment="1">
      <alignment horizontal="center" vertical="center" wrapText="1"/>
    </xf>
    <xf numFmtId="43" fontId="32" fillId="9" borderId="10" xfId="15" applyFont="1" applyFill="1" applyBorder="1" applyAlignment="1">
      <alignment horizontal="center" vertical="center" wrapText="1"/>
    </xf>
    <xf numFmtId="0" fontId="30" fillId="6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top" wrapText="1"/>
    </xf>
    <xf numFmtId="3" fontId="30" fillId="6" borderId="0" xfId="1" applyNumberFormat="1" applyFont="1" applyFill="1" applyBorder="1" applyAlignment="1">
      <alignment horizontal="center"/>
    </xf>
    <xf numFmtId="3" fontId="30" fillId="6" borderId="0" xfId="0" applyNumberFormat="1" applyFont="1" applyFill="1" applyAlignment="1">
      <alignment horizontal="center"/>
    </xf>
    <xf numFmtId="0" fontId="56" fillId="5" borderId="36" xfId="0" applyFont="1" applyFill="1" applyBorder="1" applyAlignment="1">
      <alignment horizontal="center" vertical="center" wrapText="1"/>
    </xf>
    <xf numFmtId="0" fontId="56" fillId="5" borderId="33" xfId="0" applyFont="1" applyFill="1" applyBorder="1" applyAlignment="1">
      <alignment horizontal="center" vertical="center" wrapText="1"/>
    </xf>
    <xf numFmtId="0" fontId="56" fillId="5" borderId="38" xfId="0" applyFont="1" applyFill="1" applyBorder="1" applyAlignment="1">
      <alignment horizontal="center" vertical="center" wrapText="1"/>
    </xf>
    <xf numFmtId="0" fontId="46" fillId="20" borderId="0" xfId="0" applyFont="1" applyFill="1" applyAlignment="1">
      <alignment horizontal="center"/>
    </xf>
    <xf numFmtId="0" fontId="52" fillId="22" borderId="28" xfId="0" applyFont="1" applyFill="1" applyBorder="1" applyAlignment="1">
      <alignment horizontal="center" vertical="center"/>
    </xf>
    <xf numFmtId="0" fontId="52" fillId="22" borderId="29" xfId="0" applyFont="1" applyFill="1" applyBorder="1" applyAlignment="1">
      <alignment horizontal="center" vertical="center"/>
    </xf>
    <xf numFmtId="0" fontId="52" fillId="22" borderId="30" xfId="0" applyFont="1" applyFill="1" applyBorder="1" applyAlignment="1">
      <alignment horizontal="center" vertical="center"/>
    </xf>
    <xf numFmtId="0" fontId="53" fillId="5" borderId="43" xfId="0" applyFont="1" applyFill="1" applyBorder="1" applyAlignment="1">
      <alignment horizontal="center" vertical="center" textRotation="90"/>
    </xf>
    <xf numFmtId="0" fontId="53" fillId="5" borderId="34" xfId="0" applyFont="1" applyFill="1" applyBorder="1" applyAlignment="1">
      <alignment horizontal="center" vertical="center" textRotation="90"/>
    </xf>
    <xf numFmtId="0" fontId="53" fillId="5" borderId="40" xfId="0" applyFont="1" applyFill="1" applyBorder="1" applyAlignment="1">
      <alignment horizontal="center" vertical="center" textRotation="90"/>
    </xf>
    <xf numFmtId="0" fontId="12" fillId="3" borderId="0" xfId="0" applyFont="1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5" borderId="35" xfId="0" applyFill="1" applyBorder="1" applyAlignment="1">
      <alignment horizontal="left" wrapText="1"/>
    </xf>
    <xf numFmtId="0" fontId="56" fillId="5" borderId="36" xfId="0" applyFont="1" applyFill="1" applyBorder="1" applyAlignment="1">
      <alignment horizontal="center" vertical="center" textRotation="255"/>
    </xf>
    <xf numFmtId="0" fontId="56" fillId="5" borderId="33" xfId="0" applyFont="1" applyFill="1" applyBorder="1" applyAlignment="1">
      <alignment horizontal="center" vertical="center" textRotation="255"/>
    </xf>
    <xf numFmtId="0" fontId="56" fillId="5" borderId="38" xfId="0" applyFont="1" applyFill="1" applyBorder="1" applyAlignment="1">
      <alignment horizontal="center" vertical="center" textRotation="255"/>
    </xf>
    <xf numFmtId="0" fontId="0" fillId="5" borderId="0" xfId="0" applyFill="1" applyAlignment="1">
      <alignment horizontal="left" vertical="top" wrapText="1"/>
    </xf>
    <xf numFmtId="0" fontId="32" fillId="9" borderId="0" xfId="0" applyFont="1" applyFill="1" applyAlignment="1">
      <alignment horizontal="right" vertical="top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3" fillId="16" borderId="1" xfId="0" applyFont="1" applyFill="1" applyBorder="1" applyAlignment="1">
      <alignment horizontal="center" vertical="top"/>
    </xf>
    <xf numFmtId="0" fontId="33" fillId="2" borderId="1" xfId="0" applyFont="1" applyFill="1" applyBorder="1" applyAlignment="1">
      <alignment horizontal="center" vertical="top"/>
    </xf>
    <xf numFmtId="0" fontId="33" fillId="17" borderId="1" xfId="0" applyFont="1" applyFill="1" applyBorder="1" applyAlignment="1">
      <alignment horizontal="center" vertical="top"/>
    </xf>
    <xf numFmtId="0" fontId="33" fillId="4" borderId="1" xfId="0" applyFont="1" applyFill="1" applyBorder="1" applyAlignment="1">
      <alignment horizontal="center" vertical="top"/>
    </xf>
  </cellXfs>
  <cellStyles count="24">
    <cellStyle name="Comma" xfId="1" builtinId="3"/>
    <cellStyle name="Comma [0]" xfId="10" builtinId="6"/>
    <cellStyle name="Comma [0] 2" xfId="13" xr:uid="{00000000-0005-0000-0000-000002000000}"/>
    <cellStyle name="Comma [0] 2 2" xfId="22" xr:uid="{00000000-0005-0000-0000-000003000000}"/>
    <cellStyle name="Comma [0] 3" xfId="19" xr:uid="{00000000-0005-0000-0000-000004000000}"/>
    <cellStyle name="Comma 2" xfId="4" xr:uid="{00000000-0005-0000-0000-000005000000}"/>
    <cellStyle name="Comma 2 2" xfId="16" xr:uid="{00000000-0005-0000-0000-000006000000}"/>
    <cellStyle name="Comma 3" xfId="6" xr:uid="{00000000-0005-0000-0000-000007000000}"/>
    <cellStyle name="Comma 3 2" xfId="17" xr:uid="{00000000-0005-0000-0000-000008000000}"/>
    <cellStyle name="Comma 4" xfId="7" xr:uid="{00000000-0005-0000-0000-000009000000}"/>
    <cellStyle name="Comma 4 2" xfId="18" xr:uid="{00000000-0005-0000-0000-00000A000000}"/>
    <cellStyle name="Comma 5" xfId="12" xr:uid="{00000000-0005-0000-0000-00000B000000}"/>
    <cellStyle name="Comma 5 2" xfId="21" xr:uid="{00000000-0005-0000-0000-00000C000000}"/>
    <cellStyle name="Comma 6" xfId="15" xr:uid="{00000000-0005-0000-0000-00000D000000}"/>
    <cellStyle name="Normal" xfId="0" builtinId="0"/>
    <cellStyle name="Normal 2" xfId="3" xr:uid="{00000000-0005-0000-0000-00000F000000}"/>
    <cellStyle name="Normal 3" xfId="5" xr:uid="{00000000-0005-0000-0000-000010000000}"/>
    <cellStyle name="Normal 4" xfId="8" xr:uid="{00000000-0005-0000-0000-000011000000}"/>
    <cellStyle name="Normal 5" xfId="9" xr:uid="{00000000-0005-0000-0000-000012000000}"/>
    <cellStyle name="Normal 6" xfId="11" xr:uid="{00000000-0005-0000-0000-000013000000}"/>
    <cellStyle name="Normal 6 2" xfId="20" xr:uid="{00000000-0005-0000-0000-000014000000}"/>
    <cellStyle name="Percent" xfId="2" builtinId="5"/>
    <cellStyle name="Percent 2" xfId="14" xr:uid="{00000000-0005-0000-0000-000016000000}"/>
    <cellStyle name="Percent 2 2" xfId="23" xr:uid="{00000000-0005-0000-0000-000017000000}"/>
  </cellStyles>
  <dxfs count="0"/>
  <tableStyles count="0" defaultTableStyle="TableStyleMedium2" defaultPivotStyle="PivotStyleLight16"/>
  <colors>
    <mruColors>
      <color rgb="FF0000FF"/>
      <color rgb="FFFFFF99"/>
      <color rgb="FF66FF33"/>
      <color rgb="FF66FF99"/>
      <color rgb="FF00FF00"/>
      <color rgb="FF006699"/>
      <color rgb="FFFFFFCC"/>
      <color rgb="FF33CCCC"/>
      <color rgb="FFF8F8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externalLink" Target="externalLinks/externalLink6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externalLink" Target="externalLinks/externalLink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Laba</a:t>
            </a:r>
            <a:r>
              <a:rPr lang="en-US" b="1"/>
              <a:t> (Rugi)</a:t>
            </a:r>
            <a:r>
              <a:rPr lang="en-US" b="1" baseline="0"/>
              <a:t> Kotor, Operasi dan Bersih</a:t>
            </a:r>
            <a:endParaRPr lang="en-US" b="1"/>
          </a:p>
        </c:rich>
      </c:tx>
      <c:layout>
        <c:manualLayout>
          <c:xMode val="edge"/>
          <c:yMode val="edge"/>
          <c:x val="0.31827533828210125"/>
          <c:y val="2.05761316872427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845664219508795"/>
          <c:y val="0.23349923852111074"/>
          <c:w val="0.7475336959691633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Laba Kotor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IncomeStatement!$C$13:$L$13</c:f>
              <c:numCache>
                <c:formatCode>#,##0</c:formatCode>
                <c:ptCount val="10"/>
                <c:pt idx="0">
                  <c:v>851916800</c:v>
                </c:pt>
                <c:pt idx="1">
                  <c:v>1209816608</c:v>
                </c:pt>
                <c:pt idx="2">
                  <c:v>1240705276.1599998</c:v>
                </c:pt>
                <c:pt idx="3">
                  <c:v>1272211717.6831999</c:v>
                </c:pt>
                <c:pt idx="4">
                  <c:v>1304348288.0368643</c:v>
                </c:pt>
                <c:pt idx="5">
                  <c:v>1271604229.7976012</c:v>
                </c:pt>
                <c:pt idx="6">
                  <c:v>1303728650.3935533</c:v>
                </c:pt>
                <c:pt idx="7">
                  <c:v>1336495559.4014244</c:v>
                </c:pt>
                <c:pt idx="8">
                  <c:v>1369917806.5894527</c:v>
                </c:pt>
                <c:pt idx="9">
                  <c:v>1404008498.721242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0-4225-B4B7-D9415AA39BA6}"/>
            </c:ext>
          </c:extLst>
        </c:ser>
        <c:ser>
          <c:idx val="1"/>
          <c:order val="1"/>
          <c:tx>
            <c:v>Laba Operasi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IncomeStatement!$C$21:$L$21</c:f>
              <c:numCache>
                <c:formatCode>#,##0</c:formatCode>
                <c:ptCount val="10"/>
                <c:pt idx="0">
                  <c:v>549155120</c:v>
                </c:pt>
                <c:pt idx="1">
                  <c:v>934416608</c:v>
                </c:pt>
                <c:pt idx="2">
                  <c:v>959797276.15999985</c:v>
                </c:pt>
                <c:pt idx="3">
                  <c:v>985685557.68319988</c:v>
                </c:pt>
                <c:pt idx="4">
                  <c:v>1012091604.8368642</c:v>
                </c:pt>
                <c:pt idx="5">
                  <c:v>973502412.93360114</c:v>
                </c:pt>
                <c:pt idx="6">
                  <c:v>999664797.19227326</c:v>
                </c:pt>
                <c:pt idx="7">
                  <c:v>1026350429.1361188</c:v>
                </c:pt>
                <c:pt idx="8">
                  <c:v>1053569773.718841</c:v>
                </c:pt>
                <c:pt idx="9">
                  <c:v>1081333505.193218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0-4225-B4B7-D9415AA39BA6}"/>
            </c:ext>
          </c:extLst>
        </c:ser>
        <c:ser>
          <c:idx val="2"/>
          <c:order val="2"/>
          <c:tx>
            <c:v>Laba Bersih</c:v>
          </c:tx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IncomeStatement!$C$26:$L$26</c:f>
              <c:numCache>
                <c:formatCode>#,##0</c:formatCode>
                <c:ptCount val="10"/>
                <c:pt idx="0">
                  <c:v>305053317.04000002</c:v>
                </c:pt>
                <c:pt idx="1">
                  <c:v>647936041.36000001</c:v>
                </c:pt>
                <c:pt idx="2">
                  <c:v>670524836.0223999</c:v>
                </c:pt>
                <c:pt idx="3">
                  <c:v>693565406.57804787</c:v>
                </c:pt>
                <c:pt idx="4">
                  <c:v>717066788.5448091</c:v>
                </c:pt>
                <c:pt idx="5">
                  <c:v>866417147.51090503</c:v>
                </c:pt>
                <c:pt idx="6">
                  <c:v>889701669.50112319</c:v>
                </c:pt>
                <c:pt idx="7">
                  <c:v>913451881.93114567</c:v>
                </c:pt>
                <c:pt idx="8">
                  <c:v>937677098.60976839</c:v>
                </c:pt>
                <c:pt idx="9">
                  <c:v>962386819.62196398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BF9-90A1-4B073CADB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60992"/>
        <c:axId val="198263552"/>
      </c:lineChart>
      <c:catAx>
        <c:axId val="1982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98263552"/>
        <c:crosses val="autoZero"/>
        <c:auto val="1"/>
        <c:lblAlgn val="ctr"/>
        <c:lblOffset val="100"/>
        <c:noMultiLvlLbl val="0"/>
      </c:catAx>
      <c:valAx>
        <c:axId val="1982635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Laba</a:t>
                </a:r>
                <a:r>
                  <a:rPr lang="en-US" baseline="0"/>
                  <a:t> (Rugi), </a:t>
                </a:r>
                <a:r>
                  <a:rPr lang="en-US"/>
                  <a:t>Rp x 1000</a:t>
                </a:r>
              </a:p>
            </c:rich>
          </c:tx>
          <c:layout>
            <c:manualLayout>
              <c:xMode val="edge"/>
              <c:yMode val="edge"/>
              <c:x val="1.258996760743253E-2"/>
              <c:y val="0.29253556268429409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crossAx val="198260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583267716535433"/>
          <c:y val="0.11998651210265383"/>
          <c:w val="0.76449313401042263"/>
          <c:h val="6.430186967369819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Proyeksi arus kas bersih</a:t>
            </a:r>
            <a:endParaRPr lang="en-US" b="1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876958863554378"/>
          <c:y val="0.23349923852111074"/>
          <c:w val="0.77893918473460955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Operating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CashFlow!$B$16:$L$16</c:f>
              <c:numCache>
                <c:formatCode>#,##0_ ;\-#,##0\ </c:formatCode>
                <c:ptCount val="11"/>
                <c:pt idx="1">
                  <c:v>839068701.03999996</c:v>
                </c:pt>
                <c:pt idx="2">
                  <c:v>1181951425.3599999</c:v>
                </c:pt>
                <c:pt idx="3">
                  <c:v>1204540220.0223999</c:v>
                </c:pt>
                <c:pt idx="4">
                  <c:v>1227580790.578048</c:v>
                </c:pt>
                <c:pt idx="5">
                  <c:v>1251082172.5448091</c:v>
                </c:pt>
                <c:pt idx="6">
                  <c:v>1194033947.510905</c:v>
                </c:pt>
                <c:pt idx="7">
                  <c:v>1217318469.5011232</c:v>
                </c:pt>
                <c:pt idx="8">
                  <c:v>1241068681.9311464</c:v>
                </c:pt>
                <c:pt idx="9">
                  <c:v>1265293898.6097682</c:v>
                </c:pt>
                <c:pt idx="10">
                  <c:v>1290003619.621964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2-4489-9E2D-294F05CABC69}"/>
            </c:ext>
          </c:extLst>
        </c:ser>
        <c:ser>
          <c:idx val="1"/>
          <c:order val="1"/>
          <c:tx>
            <c:v>Investing</c:v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CashFlow!$B$21:$L$21</c:f>
              <c:numCache>
                <c:formatCode>#,##0</c:formatCode>
                <c:ptCount val="11"/>
                <c:pt idx="0">
                  <c:v>3813317600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2-4489-9E2D-294F05CABC69}"/>
            </c:ext>
          </c:extLst>
        </c:ser>
        <c:ser>
          <c:idx val="2"/>
          <c:order val="2"/>
          <c:tx>
            <c:v>Financing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CashFlow!$B$28:$L$28</c:f>
              <c:numCache>
                <c:formatCode>#,##0_ ;\-#,##0\ </c:formatCode>
                <c:ptCount val="11"/>
                <c:pt idx="0">
                  <c:v>-3276168000</c:v>
                </c:pt>
                <c:pt idx="1">
                  <c:v>-878599425.92799997</c:v>
                </c:pt>
                <c:pt idx="2">
                  <c:v>-1118617332.9519999</c:v>
                </c:pt>
                <c:pt idx="3">
                  <c:v>-1167955731.0167999</c:v>
                </c:pt>
                <c:pt idx="4">
                  <c:v>-1219914429.2624383</c:v>
                </c:pt>
                <c:pt idx="5">
                  <c:v>-1238715534.8358474</c:v>
                </c:pt>
                <c:pt idx="6">
                  <c:v>-866417147.51090503</c:v>
                </c:pt>
                <c:pt idx="7">
                  <c:v>-889701669.50112319</c:v>
                </c:pt>
                <c:pt idx="8">
                  <c:v>-913451881.93114567</c:v>
                </c:pt>
                <c:pt idx="9">
                  <c:v>-937677098.60976839</c:v>
                </c:pt>
                <c:pt idx="10">
                  <c:v>-962386819.62196398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2-4489-9E2D-294F05CABC69}"/>
            </c:ext>
          </c:extLst>
        </c:ser>
        <c:ser>
          <c:idx val="3"/>
          <c:order val="3"/>
          <c:tx>
            <c:v>Ending balance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CashFlow!$B$32:$L$32</c:f>
              <c:numCache>
                <c:formatCode>#,##0_ ;\-#,##0\ </c:formatCode>
                <c:ptCount val="11"/>
                <c:pt idx="0">
                  <c:v>537149600</c:v>
                </c:pt>
                <c:pt idx="1">
                  <c:v>497618875.11199999</c:v>
                </c:pt>
                <c:pt idx="2">
                  <c:v>560952967.51999998</c:v>
                </c:pt>
                <c:pt idx="3">
                  <c:v>597537456.52559996</c:v>
                </c:pt>
                <c:pt idx="4">
                  <c:v>605203817.84120965</c:v>
                </c:pt>
                <c:pt idx="5">
                  <c:v>617570455.55017138</c:v>
                </c:pt>
                <c:pt idx="6">
                  <c:v>945187255.55017138</c:v>
                </c:pt>
                <c:pt idx="7">
                  <c:v>1272804055.5501714</c:v>
                </c:pt>
                <c:pt idx="8">
                  <c:v>1600420855.5501721</c:v>
                </c:pt>
                <c:pt idx="9">
                  <c:v>1928037655.5501719</c:v>
                </c:pt>
                <c:pt idx="10">
                  <c:v>2255654455.5501719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2-4489-9E2D-294F05CA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52352"/>
        <c:axId val="198454656"/>
      </c:lineChart>
      <c:catAx>
        <c:axId val="19845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98454656"/>
        <c:crosses val="autoZero"/>
        <c:auto val="1"/>
        <c:lblAlgn val="ctr"/>
        <c:lblOffset val="100"/>
        <c:noMultiLvlLbl val="0"/>
      </c:catAx>
      <c:valAx>
        <c:axId val="1984546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Proyeksi arus kas bersih (Rp, juta)</a:t>
                </a:r>
              </a:p>
            </c:rich>
          </c:tx>
          <c:overlay val="0"/>
        </c:title>
        <c:numFmt formatCode="#,##0_ ;[Red]\-#,##0\ " sourceLinked="0"/>
        <c:majorTickMark val="out"/>
        <c:minorTickMark val="none"/>
        <c:tickLblPos val="nextTo"/>
        <c:crossAx val="198452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1280783450455788E-2"/>
          <c:y val="0.11998651210265383"/>
          <c:w val="0.88176784353568716"/>
          <c:h val="6.337837399954635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Total Dividen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Dividen!$F$9:$F$18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Dividen!$L$9:$L$18</c:f>
              <c:numCache>
                <c:formatCode>#,##0</c:formatCode>
                <c:ptCount val="10"/>
                <c:pt idx="0">
                  <c:v>213537321.928</c:v>
                </c:pt>
                <c:pt idx="1">
                  <c:v>453555228.95199996</c:v>
                </c:pt>
                <c:pt idx="2">
                  <c:v>502893627.01679993</c:v>
                </c:pt>
                <c:pt idx="3">
                  <c:v>554852325.2624383</c:v>
                </c:pt>
                <c:pt idx="4">
                  <c:v>573653430.83584726</c:v>
                </c:pt>
                <c:pt idx="5">
                  <c:v>866417147.51090503</c:v>
                </c:pt>
                <c:pt idx="6">
                  <c:v>889701669.50112319</c:v>
                </c:pt>
                <c:pt idx="7">
                  <c:v>913451881.93114567</c:v>
                </c:pt>
                <c:pt idx="8">
                  <c:v>937677098.60976839</c:v>
                </c:pt>
                <c:pt idx="9">
                  <c:v>962386819.62196398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2-4690-91ED-17D9BC75F5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PEMA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Dividen!$S$7</c:f>
              <c:strCache>
                <c:ptCount val="1"/>
                <c:pt idx="0">
                  <c:v>PEMA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Dividen!$S$9:$S$18</c:f>
              <c:numCache>
                <c:formatCode>_(* #,##0_);_(* \(#,##0\);_(* "-"??_);_(@_)</c:formatCode>
                <c:ptCount val="10"/>
                <c:pt idx="0">
                  <c:v>170829857.5424</c:v>
                </c:pt>
                <c:pt idx="1">
                  <c:v>362844183.16159999</c:v>
                </c:pt>
                <c:pt idx="2">
                  <c:v>402314901.61343998</c:v>
                </c:pt>
                <c:pt idx="3">
                  <c:v>443881860.20995069</c:v>
                </c:pt>
                <c:pt idx="4">
                  <c:v>458922744.66867781</c:v>
                </c:pt>
                <c:pt idx="5">
                  <c:v>693133718.00872409</c:v>
                </c:pt>
                <c:pt idx="6">
                  <c:v>711761335.60089862</c:v>
                </c:pt>
                <c:pt idx="7">
                  <c:v>730761505.54491663</c:v>
                </c:pt>
                <c:pt idx="8">
                  <c:v>750141678.88781476</c:v>
                </c:pt>
                <c:pt idx="9">
                  <c:v>769909455.69757128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1-499D-890E-721149210F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Mitra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Dividen!$T$7</c:f>
              <c:strCache>
                <c:ptCount val="1"/>
                <c:pt idx="0">
                  <c:v>Mitra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Dividen!$T$9:$T$18</c:f>
              <c:numCache>
                <c:formatCode>_(* #,##0_);_(* \(#,##0\);_(* "-"??_);_(@_)</c:formatCode>
                <c:ptCount val="10"/>
                <c:pt idx="0">
                  <c:v>42707464.385600001</c:v>
                </c:pt>
                <c:pt idx="1">
                  <c:v>90711045.790399969</c:v>
                </c:pt>
                <c:pt idx="2">
                  <c:v>100578725.40335995</c:v>
                </c:pt>
                <c:pt idx="3">
                  <c:v>110970465.05248761</c:v>
                </c:pt>
                <c:pt idx="4">
                  <c:v>114730686.16716945</c:v>
                </c:pt>
                <c:pt idx="5">
                  <c:v>173283429.50218093</c:v>
                </c:pt>
                <c:pt idx="6">
                  <c:v>177940333.90022457</c:v>
                </c:pt>
                <c:pt idx="7">
                  <c:v>182690376.38622904</c:v>
                </c:pt>
                <c:pt idx="8">
                  <c:v>187535419.72195363</c:v>
                </c:pt>
                <c:pt idx="9">
                  <c:v>192477363.9243927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4B36-B16F-44448D713C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EquityChange!$Q$7</c:f>
              <c:strCache>
                <c:ptCount val="1"/>
                <c:pt idx="0">
                  <c:v>Nilai Perusahaan (Rp, ribu)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EquityChange!$P$8:$P$17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EquityChange!$Q$8:$Q$17</c:f>
              <c:numCache>
                <c:formatCode>#,##0_ ;[Red]\-#,##0\ </c:formatCode>
                <c:ptCount val="10"/>
                <c:pt idx="0">
                  <c:v>3904833595.112</c:v>
                </c:pt>
                <c:pt idx="1">
                  <c:v>4099214407.52</c:v>
                </c:pt>
                <c:pt idx="2">
                  <c:v>4266845616.5256</c:v>
                </c:pt>
                <c:pt idx="3">
                  <c:v>4405558697.8412094</c:v>
                </c:pt>
                <c:pt idx="4">
                  <c:v>4548972055.5501719</c:v>
                </c:pt>
                <c:pt idx="5">
                  <c:v>4548972055.5501719</c:v>
                </c:pt>
                <c:pt idx="6">
                  <c:v>4548972055.5501719</c:v>
                </c:pt>
                <c:pt idx="7">
                  <c:v>4548972055.5501719</c:v>
                </c:pt>
                <c:pt idx="8">
                  <c:v>4548972055.5501719</c:v>
                </c:pt>
                <c:pt idx="9">
                  <c:v>4548972055.5501719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E-48A0-A590-0C4FA30E08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(%)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EquityChange!$R$7</c:f>
              <c:strCache>
                <c:ptCount val="1"/>
                <c:pt idx="0">
                  <c:v>Persen perubahan,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EquityChange!$P$8:$P$17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EquityChange!$R$8:$R$17</c:f>
              <c:numCache>
                <c:formatCode>#,##0.0_ ;[Red]\-#,##0.0\ </c:formatCode>
                <c:ptCount val="10"/>
                <c:pt idx="1">
                  <c:v>4.9779538019577165</c:v>
                </c:pt>
                <c:pt idx="2">
                  <c:v>4.0893496250911126</c:v>
                </c:pt>
                <c:pt idx="3">
                  <c:v>3.2509514939647737</c:v>
                </c:pt>
                <c:pt idx="4">
                  <c:v>3.2552819641067807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3-4820-83ED-1B8EA58E6D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12</xdr:col>
      <xdr:colOff>0</xdr:colOff>
      <xdr:row>72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9</xdr:col>
      <xdr:colOff>6350</xdr:colOff>
      <xdr:row>68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525780</xdr:colOff>
      <xdr:row>8</xdr:row>
      <xdr:rowOff>57150</xdr:rowOff>
    </xdr:from>
    <xdr:to>
      <xdr:col>25</xdr:col>
      <xdr:colOff>620486</xdr:colOff>
      <xdr:row>33</xdr:row>
      <xdr:rowOff>97972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770F7-AFA3-4068-8751-5BA009E0D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8</xdr:row>
      <xdr:rowOff>63499</xdr:rowOff>
    </xdr:from>
    <xdr:to>
      <xdr:col>32</xdr:col>
      <xdr:colOff>402772</xdr:colOff>
      <xdr:row>33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5F014-C642-4E0F-8AF1-A82A67CE9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566056</xdr:colOff>
      <xdr:row>8</xdr:row>
      <xdr:rowOff>32657</xdr:rowOff>
    </xdr:from>
    <xdr:to>
      <xdr:col>39</xdr:col>
      <xdr:colOff>304799</xdr:colOff>
      <xdr:row>33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C09759-8B50-45E9-A454-78BEEB461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624840</xdr:colOff>
      <xdr:row>8</xdr:row>
      <xdr:rowOff>0</xdr:rowOff>
    </xdr:from>
    <xdr:to>
      <xdr:col>23</xdr:col>
      <xdr:colOff>38100</xdr:colOff>
      <xdr:row>29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9FFC-4545-4DF7-9ED8-E663AE25A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7</xdr:row>
      <xdr:rowOff>106680</xdr:rowOff>
    </xdr:from>
    <xdr:to>
      <xdr:col>29</xdr:col>
      <xdr:colOff>121920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F1475-8B58-438B-ACD8-EA4329376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123825</xdr:rowOff>
    </xdr:from>
    <xdr:to>
      <xdr:col>4</xdr:col>
      <xdr:colOff>600075</xdr:colOff>
      <xdr:row>9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CxnSpPr/>
      </xdr:nvCxnSpPr>
      <xdr:spPr>
        <a:xfrm flipV="1">
          <a:off x="2962275" y="1019175"/>
          <a:ext cx="1190625" cy="2190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10</xdr:row>
      <xdr:rowOff>95250</xdr:rowOff>
    </xdr:from>
    <xdr:to>
      <xdr:col>4</xdr:col>
      <xdr:colOff>600075</xdr:colOff>
      <xdr:row>13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CxnSpPr/>
      </xdr:nvCxnSpPr>
      <xdr:spPr>
        <a:xfrm>
          <a:off x="2990850" y="1390650"/>
          <a:ext cx="1162050" cy="3524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15</xdr:row>
      <xdr:rowOff>95250</xdr:rowOff>
    </xdr:from>
    <xdr:to>
      <xdr:col>5</xdr:col>
      <xdr:colOff>9525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CxnSpPr/>
      </xdr:nvCxnSpPr>
      <xdr:spPr>
        <a:xfrm>
          <a:off x="2933700" y="2057400"/>
          <a:ext cx="1314450" cy="7715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</xdr:row>
      <xdr:rowOff>123825</xdr:rowOff>
    </xdr:from>
    <xdr:to>
      <xdr:col>4</xdr:col>
      <xdr:colOff>657225</xdr:colOff>
      <xdr:row>28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CxnSpPr/>
      </xdr:nvCxnSpPr>
      <xdr:spPr>
        <a:xfrm>
          <a:off x="2914650" y="2400300"/>
          <a:ext cx="1295400" cy="15049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11</xdr:row>
      <xdr:rowOff>76200</xdr:rowOff>
    </xdr:from>
    <xdr:to>
      <xdr:col>3</xdr:col>
      <xdr:colOff>552450</xdr:colOff>
      <xdr:row>21</xdr:row>
      <xdr:rowOff>85725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114675" y="1638300"/>
          <a:ext cx="523875" cy="1343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9525</xdr:colOff>
      <xdr:row>24</xdr:row>
      <xdr:rowOff>0</xdr:rowOff>
    </xdr:from>
    <xdr:to>
      <xdr:col>3</xdr:col>
      <xdr:colOff>533400</xdr:colOff>
      <xdr:row>44</xdr:row>
      <xdr:rowOff>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3095625" y="3295650"/>
          <a:ext cx="523875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2022%2007%2027%20FFS%20Cooking%20Oil%20plant_rev0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OneDrive\Desktop\2023%2012%2008%20PFS%20Gabungan%20ICS%20dan%20Truck%20Thermoking.xlsx" TargetMode="External"/><Relationship Id="rId1" Type="http://schemas.openxmlformats.org/officeDocument/2006/relationships/externalLinkPath" Target="2023%2012%2008%20PFS%20Gabungan%20ICS%20dan%20Truck%20Thermok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%20sheet\21.%20Peternakan%20ayam%20petelur\FFS\2023%2008%2028%20FFS%20peternakan%20ayam%20petelur-Case%201_pakan%20dibeli.xlsx" TargetMode="External"/><Relationship Id="rId1" Type="http://schemas.openxmlformats.org/officeDocument/2006/relationships/externalLinkPath" Target="file:///D:\Working%20sheet\21.%20Peternakan%20ayam%20petelur\FFS\2023%2008%2028%20FFS%20peternakan%20ayam%20petelur-Case%201_pakan%20dibeli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36f3d37c35a1230/Desktop/2023%2012%2007%20PFS%20Truk%20Skema%20Pembiayaan%20Eksternal%208%5e1.xlsx" TargetMode="External"/><Relationship Id="rId1" Type="http://schemas.openxmlformats.org/officeDocument/2006/relationships/externalLinkPath" Target="https://d.docs.live.net/536f3d37c35a1230/Desktop/2023%2012%2007%20PFS%20Truk%20Skema%20Pembiayaan%20Eksternal%208%5e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Pra%20Fs\2022%2009%2026%20FFS%20Cooking%20Oil%20plant%20(New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6.%20PEMA\05.%20Various%20Project\19.%20Minyak%20goreng\Users\denny1909\Dropbox\SPI\VPC%20Gas%2066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A\Kapal%20Tangkap%20Beku\2023%2010%2010%20PFS%20Kapal%20Tangkap%20Beku.xlsx" TargetMode="External"/><Relationship Id="rId1" Type="http://schemas.openxmlformats.org/officeDocument/2006/relationships/externalLinkPath" Target="file:///C:\DEA\Kapal%20Tangkap%20Beku\2023%2010%2010%20PFS%20Kapal%20Tangkap%20Bek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Prod.&amp;SalesRevenu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Theory"/>
      <sheetName val="FullCosting"/>
      <sheetName val="Costs&amp;Expenses"/>
      <sheetName val="CostChecking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 Truck Thermoking"/>
      <sheetName val="Assumption ICS"/>
      <sheetName val="Rincian Tarif Toll"/>
      <sheetName val="ProjectValuation"/>
      <sheetName val="ProjectValuation(JO)"/>
      <sheetName val="Sensitivity"/>
      <sheetName val="Income Statement Thermoking"/>
      <sheetName val="Income Statement ICS"/>
      <sheetName val="Income Statement Gabungan"/>
      <sheetName val="Revenue ICS"/>
      <sheetName val="Cost of Services Sold"/>
      <sheetName val="Salary"/>
      <sheetName val="SG&amp;A ICS"/>
      <sheetName val="SG&amp;A Truck Thermoking"/>
      <sheetName val="EquityChange Gabungan"/>
      <sheetName val="EquityChange"/>
      <sheetName val="Cash Flow Gabungan"/>
      <sheetName val="CashFlow Truck Thermoking"/>
      <sheetName val="Cash Flow ICS"/>
      <sheetName val="Dividen"/>
      <sheetName val="CapitalInvestment"/>
      <sheetName val="WorkingCapital Truck Thermoking"/>
      <sheetName val="WorkingCapital ICS"/>
      <sheetName val="CostofCapital"/>
      <sheetName val="CostStructure"/>
      <sheetName val="FreightCost"/>
      <sheetName val="LoanInterest ICS"/>
      <sheetName val="LoanInterest Truck Thermoking"/>
      <sheetName val="Depreciation Truck Thermoking"/>
      <sheetName val="Depreciation ICS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Bisnis Truk Thermoking</v>
          </cell>
        </row>
        <row r="2">
          <cell r="A2" t="str">
            <v>Financial Pre-Feasibility Study</v>
          </cell>
        </row>
        <row r="6">
          <cell r="L6" t="str">
            <v>Adm Leasing</v>
          </cell>
        </row>
        <row r="7">
          <cell r="H7">
            <v>221000000</v>
          </cell>
          <cell r="I7">
            <v>25000000</v>
          </cell>
          <cell r="J7">
            <v>12000000</v>
          </cell>
          <cell r="K7">
            <v>12000000</v>
          </cell>
        </row>
        <row r="8">
          <cell r="H8">
            <v>225420000</v>
          </cell>
          <cell r="I8">
            <v>25500000</v>
          </cell>
          <cell r="J8">
            <v>12240000</v>
          </cell>
          <cell r="K8">
            <v>12240000</v>
          </cell>
        </row>
        <row r="9">
          <cell r="H9">
            <v>229928400</v>
          </cell>
          <cell r="I9">
            <v>26010000</v>
          </cell>
          <cell r="J9">
            <v>12484800</v>
          </cell>
          <cell r="K9">
            <v>12484800</v>
          </cell>
        </row>
        <row r="10">
          <cell r="H10">
            <v>234526968</v>
          </cell>
          <cell r="I10">
            <v>26530200</v>
          </cell>
          <cell r="J10">
            <v>12734496</v>
          </cell>
          <cell r="K10">
            <v>12734496</v>
          </cell>
        </row>
        <row r="11">
          <cell r="H11">
            <v>239217507.36000001</v>
          </cell>
          <cell r="I11">
            <v>27060804</v>
          </cell>
          <cell r="J11">
            <v>12989185.92</v>
          </cell>
          <cell r="K11">
            <v>12989185.92</v>
          </cell>
        </row>
        <row r="12">
          <cell r="H12">
            <v>244001857.50720003</v>
          </cell>
          <cell r="I12">
            <v>27602020.080000002</v>
          </cell>
          <cell r="J12">
            <v>13248969.6384</v>
          </cell>
          <cell r="K12">
            <v>13248969.6384</v>
          </cell>
        </row>
        <row r="13">
          <cell r="B13" t="str">
            <v>Adm Leasing</v>
          </cell>
          <cell r="H13">
            <v>248881894.65734404</v>
          </cell>
          <cell r="I13">
            <v>28154060.481600001</v>
          </cell>
          <cell r="J13">
            <v>13513949.031167999</v>
          </cell>
          <cell r="K13">
            <v>13513949.031167999</v>
          </cell>
        </row>
        <row r="14">
          <cell r="H14">
            <v>253859532.55049092</v>
          </cell>
          <cell r="I14">
            <v>28717141.691232003</v>
          </cell>
          <cell r="J14">
            <v>13784228.01179136</v>
          </cell>
          <cell r="K14">
            <v>13784228.01179136</v>
          </cell>
        </row>
        <row r="15">
          <cell r="H15">
            <v>258936723.20150074</v>
          </cell>
          <cell r="I15">
            <v>29291484.525056645</v>
          </cell>
          <cell r="J15">
            <v>14059912.572027188</v>
          </cell>
          <cell r="K15">
            <v>14059912.572027188</v>
          </cell>
        </row>
        <row r="16">
          <cell r="H16">
            <v>264115457.66553077</v>
          </cell>
          <cell r="I16">
            <v>29877314.21555778</v>
          </cell>
          <cell r="J16">
            <v>14341110.823467731</v>
          </cell>
          <cell r="K16">
            <v>14341110.823467731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umsi"/>
      <sheetName val="ProjectValuation"/>
      <sheetName val="IncomeStatement"/>
      <sheetName val="CapitalInvestment"/>
      <sheetName val="WorkingCapital"/>
      <sheetName val="CostOfCapital"/>
      <sheetName val="Market"/>
      <sheetName val="LifeCycle"/>
      <sheetName val="Revenue"/>
      <sheetName val="CostStructure"/>
      <sheetName val="COGS"/>
      <sheetName val="VariableCost"/>
      <sheetName val="PlantOVH"/>
      <sheetName val="SG&amp;A"/>
      <sheetName val="Salary"/>
      <sheetName val="Depreciation"/>
      <sheetName val="Reference"/>
    </sheetNames>
    <sheetDataSet>
      <sheetData sheetId="0"/>
      <sheetData sheetId="1"/>
      <sheetData sheetId="2">
        <row r="4">
          <cell r="A4" t="str">
            <v>Case-1: Pakan dibeli</v>
          </cell>
        </row>
      </sheetData>
      <sheetData sheetId="3"/>
      <sheetData sheetId="4">
        <row r="2">
          <cell r="A2" t="str">
            <v>Financial Pre-Feasibility Study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Rincian Tarif Toll"/>
      <sheetName val="ProjectValuation"/>
      <sheetName val="IncomeStatement"/>
      <sheetName val="CashFlow"/>
      <sheetName val="Variable Cost"/>
      <sheetName val="OVH Expenses"/>
      <sheetName val="Revenue Thermoking"/>
      <sheetName val="Revenue"/>
      <sheetName val="Dividen"/>
      <sheetName val="EquityChange"/>
      <sheetName val="CapitalInvestment"/>
      <sheetName val="WorkingCapital"/>
      <sheetName val="CostofCapital"/>
      <sheetName val="FreightCost"/>
      <sheetName val="Salary"/>
      <sheetName val="LoanInterest"/>
      <sheetName val="Depreciation"/>
      <sheetName val="Sensitivity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</sheetNames>
    <sheetDataSet>
      <sheetData sheetId="0">
        <row r="1">
          <cell r="A1" t="str">
            <v>Bisnis Truk Thermoking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9">
          <cell r="I19">
            <v>221000000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Market"/>
      <sheetName val="Prod.&amp;SalesRevenue"/>
      <sheetName val="CostStructur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C"/>
    </sheetNames>
    <sheetDataSet>
      <sheetData sheetId="0" refreshError="1">
        <row r="28">
          <cell r="O28">
            <v>165.8725230666667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ProjectValuation(JO)"/>
      <sheetName val="Sensitivity"/>
      <sheetName val="OVH Expenses"/>
      <sheetName val="IncomeStatement"/>
      <sheetName val="CashFlow"/>
      <sheetName val="EquityChange"/>
      <sheetName val="CapitalInvestment"/>
      <sheetName val="WorkingCapital"/>
      <sheetName val="CostofCapital"/>
      <sheetName val="Variable Cost"/>
      <sheetName val="Cost of Goods Sold"/>
      <sheetName val="Revenue"/>
      <sheetName val="SG&amp;A"/>
      <sheetName val="FreightCost"/>
      <sheetName val="Salary"/>
      <sheetName val="LoanInterest"/>
      <sheetName val="Amortization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  <sheetName val="SOTK"/>
      <sheetName val="Timeline"/>
      <sheetName val="Sheet1"/>
    </sheetNames>
    <sheetDataSet>
      <sheetData sheetId="0">
        <row r="1">
          <cell r="A1" t="str">
            <v>Bisnis Kapal Tangkap Beku</v>
          </cell>
        </row>
        <row r="2">
          <cell r="A2" t="str">
            <v>Financial Pre-Feasibility Study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96"/>
  <sheetViews>
    <sheetView showGridLines="0" zoomScaleNormal="100" workbookViewId="0">
      <pane ySplit="4" topLeftCell="A5" activePane="bottomLeft" state="frozen"/>
      <selection pane="bottomLeft" activeCell="F24" sqref="F24"/>
    </sheetView>
  </sheetViews>
  <sheetFormatPr defaultColWidth="10.625" defaultRowHeight="11.25" x14ac:dyDescent="0.2"/>
  <cols>
    <col min="1" max="1" width="21.125" style="198" customWidth="1"/>
    <col min="2" max="2" width="9.125" style="198" customWidth="1"/>
    <col min="3" max="3" width="11" style="209" bestFit="1" customWidth="1"/>
    <col min="4" max="4" width="9.5" style="209" customWidth="1"/>
    <col min="5" max="5" width="15.625" style="207" bestFit="1" customWidth="1"/>
    <col min="6" max="6" width="18.25" style="198" customWidth="1"/>
    <col min="7" max="7" width="9.625" style="198" customWidth="1"/>
    <col min="8" max="8" width="11.875" style="198" bestFit="1" customWidth="1"/>
    <col min="9" max="9" width="14.75" style="198" customWidth="1"/>
    <col min="10" max="10" width="9.25" style="376" bestFit="1" customWidth="1"/>
    <col min="11" max="16384" width="10.625" style="198"/>
  </cols>
  <sheetData>
    <row r="1" spans="1:14" x14ac:dyDescent="0.2">
      <c r="A1" s="197" t="s">
        <v>1110</v>
      </c>
      <c r="B1" s="197"/>
      <c r="F1" s="200"/>
      <c r="G1" s="200"/>
      <c r="H1" s="200"/>
      <c r="I1" s="200"/>
    </row>
    <row r="2" spans="1:14" x14ac:dyDescent="0.2">
      <c r="A2" s="197" t="s">
        <v>548</v>
      </c>
      <c r="B2" s="197"/>
      <c r="H2" s="156"/>
      <c r="J2" s="391"/>
      <c r="K2" s="207"/>
      <c r="L2" s="207"/>
      <c r="M2" s="207"/>
      <c r="N2" s="207"/>
    </row>
    <row r="3" spans="1:14" x14ac:dyDescent="0.2">
      <c r="A3" s="199" t="s">
        <v>547</v>
      </c>
      <c r="B3" s="199"/>
      <c r="J3" s="391"/>
      <c r="K3" s="207"/>
      <c r="L3" s="207"/>
      <c r="M3" s="207"/>
      <c r="N3" s="207"/>
    </row>
    <row r="4" spans="1:14" x14ac:dyDescent="0.2">
      <c r="C4" s="208"/>
      <c r="D4" s="208"/>
    </row>
    <row r="5" spans="1:14" x14ac:dyDescent="0.2">
      <c r="C5" s="208"/>
      <c r="D5" s="208"/>
    </row>
    <row r="6" spans="1:14" x14ac:dyDescent="0.2">
      <c r="A6" s="504" t="s">
        <v>549</v>
      </c>
      <c r="B6" s="504"/>
      <c r="C6" s="503"/>
      <c r="D6" s="503"/>
    </row>
    <row r="7" spans="1:14" x14ac:dyDescent="0.2">
      <c r="A7" s="553" t="s">
        <v>1087</v>
      </c>
      <c r="B7" s="553"/>
      <c r="C7" s="551"/>
      <c r="D7" s="551"/>
      <c r="E7" s="529">
        <v>2</v>
      </c>
      <c r="F7" s="198" t="s">
        <v>1088</v>
      </c>
      <c r="H7" s="156"/>
      <c r="I7" s="156"/>
    </row>
    <row r="8" spans="1:14" x14ac:dyDescent="0.2">
      <c r="A8" s="210" t="s">
        <v>1034</v>
      </c>
      <c r="B8" s="210"/>
      <c r="E8" s="529">
        <v>12</v>
      </c>
      <c r="F8" s="156" t="s">
        <v>550</v>
      </c>
      <c r="H8" s="156"/>
      <c r="I8" s="156"/>
    </row>
    <row r="9" spans="1:14" x14ac:dyDescent="0.2">
      <c r="A9" s="210" t="s">
        <v>1070</v>
      </c>
      <c r="B9" s="210"/>
      <c r="E9" s="530">
        <v>5</v>
      </c>
      <c r="F9" s="156" t="s">
        <v>1073</v>
      </c>
      <c r="H9" s="156"/>
      <c r="I9" s="156"/>
    </row>
    <row r="10" spans="1:14" x14ac:dyDescent="0.2">
      <c r="E10" s="530">
        <v>7</v>
      </c>
      <c r="F10" s="156" t="s">
        <v>1074</v>
      </c>
      <c r="G10" s="213"/>
    </row>
    <row r="11" spans="1:14" x14ac:dyDescent="0.2">
      <c r="A11" s="209" t="s">
        <v>967</v>
      </c>
      <c r="B11" s="209"/>
      <c r="E11" s="619">
        <f>E7*E12*E13</f>
        <v>8</v>
      </c>
      <c r="F11" s="198" t="s">
        <v>1035</v>
      </c>
    </row>
    <row r="12" spans="1:14" x14ac:dyDescent="0.2">
      <c r="A12" s="206" t="s">
        <v>1162</v>
      </c>
      <c r="E12" s="530">
        <v>2</v>
      </c>
      <c r="F12" s="198" t="s">
        <v>1035</v>
      </c>
    </row>
    <row r="13" spans="1:14" x14ac:dyDescent="0.2">
      <c r="A13" s="206" t="s">
        <v>1163</v>
      </c>
      <c r="E13" s="530">
        <v>2</v>
      </c>
      <c r="F13" s="198" t="s">
        <v>1035</v>
      </c>
      <c r="G13" s="156"/>
      <c r="K13" s="207"/>
    </row>
    <row r="14" spans="1:14" x14ac:dyDescent="0.2">
      <c r="A14" s="211" t="s">
        <v>1036</v>
      </c>
      <c r="B14" s="211"/>
      <c r="E14" s="531">
        <v>20000</v>
      </c>
      <c r="F14" s="212" t="s">
        <v>1038</v>
      </c>
      <c r="G14" s="438"/>
      <c r="K14" s="200"/>
    </row>
    <row r="15" spans="1:14" x14ac:dyDescent="0.2">
      <c r="A15" s="209"/>
      <c r="B15" s="209"/>
      <c r="E15" s="525">
        <f>E14*E11</f>
        <v>160000</v>
      </c>
      <c r="F15" s="198" t="s">
        <v>1037</v>
      </c>
      <c r="G15" s="438"/>
      <c r="K15" s="200"/>
    </row>
    <row r="16" spans="1:14" x14ac:dyDescent="0.2">
      <c r="A16" s="209"/>
      <c r="B16" s="209"/>
      <c r="E16" s="525">
        <f>E15*E8</f>
        <v>1920000</v>
      </c>
      <c r="F16" s="198" t="s">
        <v>664</v>
      </c>
      <c r="G16" s="438"/>
    </row>
    <row r="17" spans="1:15" x14ac:dyDescent="0.2">
      <c r="A17" s="209" t="s">
        <v>1065</v>
      </c>
      <c r="B17" s="209"/>
      <c r="E17" s="525">
        <v>2493</v>
      </c>
      <c r="F17" s="198" t="s">
        <v>1066</v>
      </c>
      <c r="G17" s="215"/>
    </row>
    <row r="18" spans="1:15" x14ac:dyDescent="0.2">
      <c r="A18" s="210" t="s">
        <v>1039</v>
      </c>
      <c r="B18" s="210"/>
      <c r="E18" s="530">
        <v>1800</v>
      </c>
      <c r="F18" s="156" t="s">
        <v>369</v>
      </c>
      <c r="H18" s="167"/>
      <c r="I18" s="167"/>
      <c r="J18" s="371"/>
      <c r="K18" s="167"/>
      <c r="L18" s="167"/>
      <c r="M18" s="167"/>
      <c r="N18" s="167"/>
      <c r="O18" s="167"/>
    </row>
    <row r="19" spans="1:15" x14ac:dyDescent="0.2">
      <c r="A19" s="210" t="s">
        <v>1080</v>
      </c>
      <c r="B19" s="210"/>
      <c r="E19" s="530">
        <v>6800</v>
      </c>
      <c r="F19" s="156" t="s">
        <v>969</v>
      </c>
      <c r="H19" s="167"/>
      <c r="I19" s="167"/>
      <c r="J19" s="371"/>
      <c r="K19" s="167"/>
      <c r="L19" s="167"/>
      <c r="M19" s="167"/>
      <c r="N19" s="167"/>
      <c r="O19" s="167"/>
    </row>
    <row r="20" spans="1:15" x14ac:dyDescent="0.2">
      <c r="A20" s="210" t="s">
        <v>963</v>
      </c>
      <c r="B20" s="210"/>
      <c r="E20" s="530">
        <v>15000</v>
      </c>
      <c r="F20" s="198" t="s">
        <v>964</v>
      </c>
      <c r="H20" s="167"/>
      <c r="I20" s="167"/>
      <c r="J20" s="371"/>
      <c r="K20" s="167"/>
      <c r="L20" s="167"/>
      <c r="M20" s="167"/>
      <c r="N20" s="167"/>
      <c r="O20" s="167"/>
    </row>
    <row r="21" spans="1:15" x14ac:dyDescent="0.2">
      <c r="A21" s="210" t="s">
        <v>552</v>
      </c>
      <c r="B21" s="210"/>
      <c r="E21" s="530">
        <v>10</v>
      </c>
      <c r="F21" s="156" t="s">
        <v>551</v>
      </c>
      <c r="H21" s="167"/>
      <c r="I21" s="167"/>
      <c r="J21" s="371"/>
      <c r="K21" s="167"/>
      <c r="L21" s="167"/>
      <c r="M21" s="167"/>
      <c r="N21" s="167"/>
      <c r="O21" s="167"/>
    </row>
    <row r="22" spans="1:15" x14ac:dyDescent="0.2">
      <c r="A22" s="210" t="s">
        <v>1142</v>
      </c>
      <c r="B22" s="210"/>
      <c r="E22" s="609">
        <v>1828084000</v>
      </c>
      <c r="F22" s="156" t="s">
        <v>1138</v>
      </c>
      <c r="H22" s="167"/>
      <c r="I22" s="167"/>
      <c r="J22" s="371"/>
      <c r="K22" s="167"/>
      <c r="L22" s="167"/>
      <c r="M22" s="167"/>
      <c r="N22" s="167"/>
      <c r="O22" s="167"/>
    </row>
    <row r="23" spans="1:15" x14ac:dyDescent="0.2">
      <c r="A23" s="210" t="s">
        <v>1248</v>
      </c>
      <c r="B23" s="210"/>
      <c r="E23" s="737">
        <v>190000000</v>
      </c>
      <c r="F23" s="156" t="s">
        <v>1138</v>
      </c>
      <c r="H23" s="167"/>
      <c r="I23" s="167"/>
      <c r="J23" s="371"/>
      <c r="K23" s="167"/>
      <c r="L23" s="167"/>
      <c r="M23" s="167"/>
      <c r="N23" s="167"/>
      <c r="O23" s="167"/>
    </row>
    <row r="24" spans="1:15" x14ac:dyDescent="0.2">
      <c r="A24" s="198" t="s">
        <v>1249</v>
      </c>
      <c r="C24" s="198"/>
      <c r="D24" s="198"/>
      <c r="E24" s="200">
        <f>E22-E23</f>
        <v>1638084000</v>
      </c>
      <c r="F24" s="156" t="s">
        <v>1138</v>
      </c>
      <c r="H24" s="167"/>
      <c r="I24" s="167"/>
      <c r="J24" s="371"/>
      <c r="K24" s="167"/>
      <c r="L24" s="167"/>
      <c r="M24" s="167"/>
      <c r="N24" s="167"/>
      <c r="O24" s="167"/>
    </row>
    <row r="25" spans="1:15" x14ac:dyDescent="0.2">
      <c r="A25" s="502" t="s">
        <v>553</v>
      </c>
      <c r="B25" s="502"/>
      <c r="C25" s="503"/>
      <c r="D25" s="503"/>
      <c r="E25" s="503"/>
      <c r="F25" s="503"/>
      <c r="I25" s="441"/>
      <c r="J25" s="170"/>
      <c r="K25" s="167"/>
      <c r="L25" s="167"/>
      <c r="M25" s="167"/>
      <c r="N25" s="167"/>
      <c r="O25" s="167"/>
    </row>
    <row r="26" spans="1:15" x14ac:dyDescent="0.2">
      <c r="A26" s="210" t="s">
        <v>554</v>
      </c>
      <c r="B26" s="210"/>
      <c r="E26" s="524">
        <f>SUM(E27:E28)</f>
        <v>3813317600</v>
      </c>
      <c r="F26" s="198" t="s">
        <v>415</v>
      </c>
      <c r="I26" s="438"/>
      <c r="J26" s="167"/>
      <c r="K26" s="167"/>
      <c r="L26" s="167"/>
      <c r="M26" s="167"/>
      <c r="N26" s="167"/>
      <c r="O26" s="167"/>
    </row>
    <row r="27" spans="1:15" x14ac:dyDescent="0.2">
      <c r="A27" s="210" t="s">
        <v>555</v>
      </c>
      <c r="B27" s="210"/>
      <c r="E27" s="525">
        <f>CapitalInvestment!C8</f>
        <v>3276168000</v>
      </c>
      <c r="F27" s="198" t="s">
        <v>383</v>
      </c>
      <c r="I27" s="167"/>
      <c r="J27" s="167"/>
      <c r="K27" s="167"/>
      <c r="L27" s="167"/>
      <c r="M27" s="167"/>
      <c r="N27" s="167"/>
      <c r="O27" s="167"/>
    </row>
    <row r="28" spans="1:15" x14ac:dyDescent="0.2">
      <c r="A28" s="210" t="s">
        <v>556</v>
      </c>
      <c r="B28" s="210"/>
      <c r="E28" s="525">
        <f>CapitalInvestment!C9</f>
        <v>537149600</v>
      </c>
      <c r="F28" s="198" t="s">
        <v>385</v>
      </c>
      <c r="I28" s="167"/>
      <c r="J28" s="167"/>
      <c r="K28" s="167"/>
      <c r="L28" s="167"/>
      <c r="M28" s="167"/>
      <c r="N28" s="167"/>
      <c r="O28" s="167"/>
    </row>
    <row r="29" spans="1:15" x14ac:dyDescent="0.2">
      <c r="A29" s="210" t="s">
        <v>1188</v>
      </c>
      <c r="B29" s="210"/>
      <c r="E29" s="525">
        <f>CapitalInvestment!C12</f>
        <v>206398584</v>
      </c>
      <c r="F29" s="198" t="s">
        <v>513</v>
      </c>
      <c r="I29" s="167"/>
      <c r="J29" s="167"/>
      <c r="K29" s="167"/>
      <c r="L29" s="167"/>
      <c r="M29" s="167"/>
      <c r="N29" s="167"/>
      <c r="O29" s="167"/>
    </row>
    <row r="30" spans="1:15" x14ac:dyDescent="0.2">
      <c r="A30" s="210" t="s">
        <v>557</v>
      </c>
      <c r="B30" s="210"/>
      <c r="E30" s="526">
        <v>70</v>
      </c>
      <c r="F30" s="198" t="s">
        <v>514</v>
      </c>
      <c r="I30" s="167"/>
      <c r="J30" s="167"/>
      <c r="K30" s="167"/>
      <c r="L30" s="167"/>
      <c r="M30" s="167"/>
      <c r="N30" s="167"/>
      <c r="O30" s="167"/>
    </row>
    <row r="31" spans="1:15" x14ac:dyDescent="0.2">
      <c r="A31" s="210" t="s">
        <v>558</v>
      </c>
      <c r="B31" s="210"/>
      <c r="E31" s="525">
        <f>100-E30</f>
        <v>30</v>
      </c>
      <c r="F31" s="198" t="s">
        <v>60</v>
      </c>
      <c r="I31" s="167"/>
      <c r="J31" s="167"/>
      <c r="K31" s="167"/>
      <c r="L31" s="167"/>
      <c r="M31" s="167"/>
      <c r="N31" s="167"/>
      <c r="O31" s="167"/>
    </row>
    <row r="32" spans="1:15" x14ac:dyDescent="0.2">
      <c r="A32" s="210" t="s">
        <v>559</v>
      </c>
      <c r="B32" s="210"/>
      <c r="E32" s="582">
        <v>9</v>
      </c>
      <c r="F32" s="198" t="s">
        <v>1232</v>
      </c>
      <c r="I32" s="167"/>
      <c r="J32" s="167"/>
      <c r="K32" s="167"/>
      <c r="L32" s="167"/>
      <c r="M32" s="167"/>
      <c r="N32" s="167"/>
      <c r="O32" s="167"/>
    </row>
    <row r="33" spans="1:15" x14ac:dyDescent="0.2">
      <c r="A33" s="210" t="s">
        <v>560</v>
      </c>
      <c r="B33" s="210"/>
      <c r="E33" s="526">
        <v>5</v>
      </c>
      <c r="F33" s="198" t="s">
        <v>551</v>
      </c>
      <c r="I33" s="167"/>
      <c r="J33" s="167"/>
      <c r="K33" s="167"/>
      <c r="L33" s="167"/>
      <c r="M33" s="167"/>
      <c r="N33" s="167"/>
      <c r="O33" s="167"/>
    </row>
    <row r="34" spans="1:15" x14ac:dyDescent="0.2">
      <c r="A34" s="210" t="s">
        <v>561</v>
      </c>
      <c r="B34" s="210"/>
      <c r="E34" s="526">
        <v>0</v>
      </c>
      <c r="F34" s="198" t="s">
        <v>742</v>
      </c>
      <c r="I34" s="167"/>
      <c r="J34" s="167"/>
      <c r="K34" s="167"/>
      <c r="L34" s="167"/>
      <c r="M34" s="167"/>
      <c r="N34" s="167"/>
      <c r="O34" s="167"/>
    </row>
    <row r="35" spans="1:15" x14ac:dyDescent="0.2">
      <c r="A35" s="210" t="s">
        <v>722</v>
      </c>
      <c r="B35" s="210"/>
      <c r="E35" s="528">
        <v>12</v>
      </c>
      <c r="F35" s="198" t="s">
        <v>743</v>
      </c>
      <c r="I35" s="167"/>
      <c r="J35" s="167"/>
      <c r="K35" s="167"/>
      <c r="L35" s="167"/>
      <c r="M35" s="167"/>
      <c r="N35" s="167"/>
      <c r="O35" s="167"/>
    </row>
    <row r="36" spans="1:15" x14ac:dyDescent="0.2">
      <c r="A36" s="210" t="s">
        <v>562</v>
      </c>
      <c r="B36" s="210"/>
      <c r="E36" s="527">
        <v>2</v>
      </c>
      <c r="F36" s="198" t="s">
        <v>744</v>
      </c>
      <c r="I36" s="167"/>
      <c r="J36" s="167"/>
      <c r="K36" s="167"/>
      <c r="L36" s="167"/>
      <c r="M36" s="167"/>
      <c r="N36" s="167"/>
      <c r="O36" s="167"/>
    </row>
    <row r="37" spans="1:15" x14ac:dyDescent="0.2">
      <c r="A37" s="210" t="s">
        <v>563</v>
      </c>
      <c r="B37" s="210"/>
      <c r="E37" s="527">
        <v>10</v>
      </c>
      <c r="F37" s="198" t="s">
        <v>551</v>
      </c>
      <c r="I37" s="167"/>
      <c r="J37" s="167"/>
      <c r="K37" s="167"/>
      <c r="L37" s="167"/>
      <c r="M37" s="167"/>
      <c r="N37" s="167"/>
      <c r="O37" s="167"/>
    </row>
    <row r="38" spans="1:15" x14ac:dyDescent="0.2">
      <c r="A38" s="217" t="s">
        <v>564</v>
      </c>
      <c r="B38" s="217"/>
      <c r="E38" s="527">
        <f>50%*22%*100</f>
        <v>11</v>
      </c>
      <c r="F38" s="198" t="s">
        <v>64</v>
      </c>
      <c r="I38" s="167"/>
      <c r="J38" s="167"/>
      <c r="K38" s="167"/>
      <c r="L38" s="167"/>
      <c r="M38" s="167"/>
      <c r="N38" s="167"/>
      <c r="O38" s="167"/>
    </row>
    <row r="39" spans="1:15" ht="12.75" x14ac:dyDescent="0.2">
      <c r="A39" s="217" t="s">
        <v>75</v>
      </c>
      <c r="B39" s="217"/>
      <c r="E39" s="540">
        <v>0</v>
      </c>
      <c r="F39" s="198" t="s">
        <v>1040</v>
      </c>
      <c r="I39" s="167"/>
      <c r="J39" s="167"/>
      <c r="K39" s="167"/>
      <c r="L39" s="167"/>
      <c r="M39" s="167"/>
      <c r="N39" s="167"/>
      <c r="O39" s="167"/>
    </row>
    <row r="40" spans="1:15" x14ac:dyDescent="0.2">
      <c r="A40" s="217" t="s">
        <v>65</v>
      </c>
      <c r="B40" s="217"/>
      <c r="E40" s="523"/>
      <c r="F40" s="198" t="s">
        <v>60</v>
      </c>
      <c r="I40" s="167"/>
      <c r="J40" s="442"/>
      <c r="K40" s="167"/>
      <c r="L40" s="167"/>
      <c r="M40" s="167"/>
      <c r="N40" s="167"/>
      <c r="O40" s="167"/>
    </row>
    <row r="41" spans="1:15" x14ac:dyDescent="0.2">
      <c r="A41" s="217"/>
      <c r="B41" s="217"/>
      <c r="E41" s="583"/>
      <c r="I41" s="167"/>
      <c r="J41" s="442"/>
      <c r="K41" s="167"/>
      <c r="L41" s="167"/>
      <c r="M41" s="167"/>
      <c r="N41" s="167"/>
      <c r="O41" s="167"/>
    </row>
    <row r="42" spans="1:15" x14ac:dyDescent="0.2">
      <c r="A42" s="584" t="s">
        <v>993</v>
      </c>
      <c r="B42" s="584"/>
      <c r="C42" s="584"/>
      <c r="D42" s="584"/>
      <c r="E42" s="583"/>
      <c r="I42" s="167"/>
      <c r="J42" s="371"/>
      <c r="K42" s="167"/>
      <c r="L42" s="167"/>
      <c r="M42" s="440"/>
      <c r="N42" s="167"/>
      <c r="O42" s="167"/>
    </row>
    <row r="43" spans="1:15" x14ac:dyDescent="0.2">
      <c r="A43" s="206" t="s">
        <v>1112</v>
      </c>
      <c r="B43" s="206"/>
      <c r="C43" s="585">
        <v>80</v>
      </c>
      <c r="D43" s="439" t="s">
        <v>60</v>
      </c>
      <c r="E43" s="198"/>
      <c r="J43" s="198"/>
    </row>
    <row r="44" spans="1:15" x14ac:dyDescent="0.2">
      <c r="A44" s="206" t="s">
        <v>1113</v>
      </c>
      <c r="B44" s="206"/>
      <c r="C44" s="586">
        <f>100-C43</f>
        <v>20</v>
      </c>
      <c r="D44" s="439" t="s">
        <v>60</v>
      </c>
      <c r="E44" s="198"/>
      <c r="J44" s="198"/>
    </row>
    <row r="45" spans="1:15" x14ac:dyDescent="0.2">
      <c r="A45" s="217"/>
      <c r="B45" s="217"/>
      <c r="E45" s="198"/>
      <c r="J45" s="198"/>
    </row>
    <row r="46" spans="1:15" x14ac:dyDescent="0.2">
      <c r="E46" s="198"/>
      <c r="J46" s="198"/>
    </row>
    <row r="47" spans="1:15" x14ac:dyDescent="0.2">
      <c r="E47" s="198"/>
      <c r="J47" s="198"/>
    </row>
    <row r="48" spans="1:15" x14ac:dyDescent="0.2">
      <c r="A48" s="502" t="s">
        <v>723</v>
      </c>
      <c r="B48" s="502"/>
      <c r="C48" s="503"/>
      <c r="D48" s="503"/>
      <c r="E48" s="207" t="s">
        <v>724</v>
      </c>
      <c r="I48" s="207"/>
      <c r="J48" s="198"/>
    </row>
    <row r="49" spans="1:10" x14ac:dyDescent="0.2">
      <c r="A49" s="502" t="s">
        <v>725</v>
      </c>
      <c r="B49" s="502"/>
      <c r="C49" s="503"/>
      <c r="D49" s="503"/>
      <c r="E49" s="207" t="s">
        <v>726</v>
      </c>
      <c r="I49" s="207"/>
      <c r="J49" s="198"/>
    </row>
    <row r="50" spans="1:10" x14ac:dyDescent="0.2">
      <c r="A50" s="541" t="s">
        <v>1143</v>
      </c>
      <c r="B50" s="541"/>
      <c r="C50" s="541"/>
      <c r="D50" s="541"/>
      <c r="E50" s="197"/>
      <c r="F50" s="197"/>
      <c r="G50" s="197"/>
      <c r="H50" s="197"/>
      <c r="J50" s="198"/>
    </row>
    <row r="51" spans="1:10" x14ac:dyDescent="0.2">
      <c r="A51" s="209" t="s">
        <v>1146</v>
      </c>
      <c r="B51" s="209" t="s">
        <v>1144</v>
      </c>
      <c r="C51" s="621">
        <v>2</v>
      </c>
      <c r="D51" s="551" t="s">
        <v>1145</v>
      </c>
      <c r="E51" s="198"/>
      <c r="F51" s="209"/>
      <c r="G51" s="542"/>
      <c r="J51" s="198"/>
    </row>
    <row r="52" spans="1:10" x14ac:dyDescent="0.2">
      <c r="A52" s="369"/>
      <c r="B52" s="369" t="s">
        <v>1044</v>
      </c>
      <c r="C52" s="618">
        <v>5000000</v>
      </c>
      <c r="D52" s="614" t="s">
        <v>1167</v>
      </c>
      <c r="E52" s="198"/>
      <c r="F52" s="197"/>
      <c r="G52" s="543"/>
      <c r="J52" s="198"/>
    </row>
    <row r="53" spans="1:10" x14ac:dyDescent="0.2">
      <c r="A53" s="545"/>
      <c r="B53" s="209"/>
      <c r="C53" s="611"/>
      <c r="D53" s="198"/>
      <c r="E53" s="198"/>
      <c r="F53" s="197"/>
      <c r="G53" s="543"/>
      <c r="J53" s="198"/>
    </row>
    <row r="54" spans="1:10" x14ac:dyDescent="0.2">
      <c r="A54" s="209" t="s">
        <v>1147</v>
      </c>
      <c r="B54" s="209" t="s">
        <v>1078</v>
      </c>
      <c r="C54" s="543">
        <f>E19</f>
        <v>6800</v>
      </c>
      <c r="D54" s="198" t="s">
        <v>1045</v>
      </c>
      <c r="E54" s="198"/>
      <c r="F54" s="209"/>
      <c r="G54" s="543"/>
      <c r="J54" s="198"/>
    </row>
    <row r="55" spans="1:10" x14ac:dyDescent="0.2">
      <c r="B55" s="198" t="s">
        <v>1148</v>
      </c>
      <c r="C55" s="542">
        <v>2493</v>
      </c>
      <c r="D55" s="198" t="s">
        <v>1046</v>
      </c>
      <c r="E55" s="198"/>
      <c r="G55" s="542"/>
      <c r="J55" s="198"/>
    </row>
    <row r="56" spans="1:10" x14ac:dyDescent="0.2">
      <c r="B56" s="198" t="s">
        <v>1149</v>
      </c>
      <c r="C56" s="544" t="s">
        <v>1047</v>
      </c>
      <c r="D56" s="198" t="s">
        <v>1048</v>
      </c>
      <c r="E56" s="198"/>
      <c r="G56" s="542"/>
      <c r="J56" s="198"/>
    </row>
    <row r="57" spans="1:10" x14ac:dyDescent="0.2">
      <c r="B57" s="198" t="s">
        <v>1121</v>
      </c>
      <c r="C57" s="544">
        <f>C55/2</f>
        <v>1246.5</v>
      </c>
      <c r="D57" s="198" t="s">
        <v>1156</v>
      </c>
      <c r="E57" s="198"/>
      <c r="G57" s="543"/>
      <c r="J57" s="198"/>
    </row>
    <row r="58" spans="1:10" x14ac:dyDescent="0.2">
      <c r="C58" s="198"/>
      <c r="D58" s="198"/>
      <c r="E58" s="198"/>
      <c r="G58" s="544"/>
      <c r="J58" s="198"/>
    </row>
    <row r="59" spans="1:10" x14ac:dyDescent="0.2">
      <c r="B59" s="198" t="s">
        <v>1150</v>
      </c>
      <c r="C59" s="613">
        <v>1898</v>
      </c>
      <c r="D59" s="198" t="s">
        <v>1046</v>
      </c>
      <c r="E59" s="198"/>
      <c r="G59" s="544"/>
      <c r="J59" s="198"/>
    </row>
    <row r="60" spans="1:10" x14ac:dyDescent="0.2">
      <c r="B60" s="198" t="s">
        <v>1151</v>
      </c>
      <c r="C60" s="612">
        <v>617</v>
      </c>
      <c r="D60" s="198" t="s">
        <v>1046</v>
      </c>
      <c r="E60" s="198"/>
      <c r="G60" s="546"/>
      <c r="J60" s="198"/>
    </row>
    <row r="61" spans="1:10" x14ac:dyDescent="0.2">
      <c r="A61" s="369"/>
      <c r="B61" s="369" t="s">
        <v>1121</v>
      </c>
      <c r="C61" s="615">
        <f>(C59+C60)/2</f>
        <v>1257.5</v>
      </c>
      <c r="D61" s="369" t="s">
        <v>1155</v>
      </c>
      <c r="E61" s="198"/>
      <c r="G61" s="543"/>
      <c r="J61" s="198"/>
    </row>
    <row r="62" spans="1:10" x14ac:dyDescent="0.2">
      <c r="C62" s="198"/>
      <c r="D62" s="198"/>
      <c r="E62" s="198"/>
      <c r="F62" s="209"/>
      <c r="G62" s="542"/>
      <c r="J62" s="198"/>
    </row>
    <row r="63" spans="1:10" x14ac:dyDescent="0.2">
      <c r="A63" s="614" t="s">
        <v>1152</v>
      </c>
      <c r="B63" s="614"/>
      <c r="C63" s="616">
        <v>2050000</v>
      </c>
      <c r="D63" s="369" t="s">
        <v>1154</v>
      </c>
      <c r="E63" s="198"/>
      <c r="F63" s="209"/>
      <c r="G63" s="543"/>
      <c r="J63" s="198"/>
    </row>
    <row r="64" spans="1:10" x14ac:dyDescent="0.2">
      <c r="C64" s="198"/>
      <c r="D64" s="198"/>
      <c r="E64" s="198"/>
      <c r="F64" s="209"/>
      <c r="J64" s="198"/>
    </row>
    <row r="65" spans="1:10" x14ac:dyDescent="0.2">
      <c r="A65" s="614" t="s">
        <v>1049</v>
      </c>
      <c r="B65" s="369"/>
      <c r="C65" s="617">
        <v>1076500</v>
      </c>
      <c r="D65" s="369" t="s">
        <v>1154</v>
      </c>
      <c r="E65" s="198"/>
      <c r="F65" s="209"/>
      <c r="J65" s="198"/>
    </row>
    <row r="66" spans="1:10" x14ac:dyDescent="0.2">
      <c r="C66" s="542"/>
      <c r="D66" s="198"/>
      <c r="E66" s="198"/>
      <c r="G66" s="542"/>
      <c r="J66" s="198"/>
    </row>
    <row r="67" spans="1:10" x14ac:dyDescent="0.2">
      <c r="A67" s="614" t="s">
        <v>1068</v>
      </c>
      <c r="B67" s="369"/>
      <c r="C67" s="618">
        <v>1076500</v>
      </c>
      <c r="D67" s="614" t="s">
        <v>1154</v>
      </c>
      <c r="E67" s="198"/>
      <c r="G67" s="542"/>
      <c r="J67" s="198"/>
    </row>
    <row r="68" spans="1:10" x14ac:dyDescent="0.2">
      <c r="C68" s="198"/>
      <c r="D68" s="198"/>
      <c r="E68" s="198"/>
      <c r="G68" s="542"/>
      <c r="J68" s="198"/>
    </row>
    <row r="69" spans="1:10" x14ac:dyDescent="0.2">
      <c r="B69" s="209"/>
      <c r="C69" s="198"/>
      <c r="D69" s="198"/>
      <c r="E69" s="198"/>
      <c r="G69" s="542"/>
      <c r="J69" s="198"/>
    </row>
    <row r="70" spans="1:10" x14ac:dyDescent="0.2">
      <c r="A70" s="209"/>
      <c r="B70" s="209"/>
      <c r="C70" s="542"/>
      <c r="D70" s="198"/>
      <c r="E70" s="198"/>
      <c r="G70" s="542"/>
      <c r="J70" s="198"/>
    </row>
    <row r="71" spans="1:10" x14ac:dyDescent="0.2">
      <c r="A71" s="209"/>
      <c r="B71" s="209"/>
      <c r="C71" s="542"/>
      <c r="D71" s="198"/>
      <c r="E71" s="198" t="s">
        <v>1058</v>
      </c>
      <c r="G71" s="542"/>
      <c r="J71" s="198"/>
    </row>
    <row r="72" spans="1:10" x14ac:dyDescent="0.2">
      <c r="A72" s="209"/>
      <c r="B72" s="209"/>
      <c r="C72" s="542"/>
      <c r="D72" s="198"/>
      <c r="E72" s="198"/>
      <c r="G72" s="543"/>
      <c r="J72" s="198"/>
    </row>
    <row r="73" spans="1:10" x14ac:dyDescent="0.2">
      <c r="A73" s="209"/>
      <c r="B73" s="209"/>
      <c r="C73" s="542"/>
      <c r="D73" s="198"/>
      <c r="E73" s="198"/>
      <c r="G73" s="543"/>
      <c r="J73" s="198"/>
    </row>
    <row r="74" spans="1:10" x14ac:dyDescent="0.2">
      <c r="A74" s="209"/>
      <c r="B74" s="209"/>
      <c r="C74" s="542"/>
      <c r="D74" s="198"/>
      <c r="E74" s="198"/>
      <c r="J74" s="198"/>
    </row>
    <row r="75" spans="1:10" x14ac:dyDescent="0.2">
      <c r="C75" s="543"/>
      <c r="D75" s="198"/>
      <c r="E75" s="198"/>
      <c r="J75" s="198"/>
    </row>
    <row r="76" spans="1:10" x14ac:dyDescent="0.2">
      <c r="C76" s="543"/>
      <c r="D76" s="198"/>
      <c r="E76" s="198"/>
      <c r="J76" s="198"/>
    </row>
    <row r="77" spans="1:10" x14ac:dyDescent="0.2">
      <c r="C77" s="198"/>
      <c r="D77" s="198"/>
      <c r="E77" s="198"/>
      <c r="J77" s="198"/>
    </row>
    <row r="78" spans="1:10" x14ac:dyDescent="0.2">
      <c r="C78" s="198"/>
      <c r="D78" s="198"/>
      <c r="E78" s="198"/>
      <c r="J78" s="198"/>
    </row>
    <row r="79" spans="1:10" x14ac:dyDescent="0.2">
      <c r="C79" s="198"/>
      <c r="D79" s="198"/>
      <c r="E79" s="198"/>
      <c r="J79" s="198"/>
    </row>
    <row r="80" spans="1:10" x14ac:dyDescent="0.2">
      <c r="C80" s="198"/>
      <c r="D80" s="198"/>
      <c r="E80" s="198"/>
      <c r="J80" s="198"/>
    </row>
    <row r="81" spans="1:10" x14ac:dyDescent="0.2">
      <c r="C81" s="198"/>
      <c r="D81" s="198"/>
      <c r="E81" s="198"/>
      <c r="J81" s="198"/>
    </row>
    <row r="82" spans="1:10" x14ac:dyDescent="0.2">
      <c r="C82" s="198"/>
      <c r="D82" s="198"/>
      <c r="E82" s="198"/>
      <c r="J82" s="198"/>
    </row>
    <row r="83" spans="1:10" x14ac:dyDescent="0.2">
      <c r="C83" s="198"/>
      <c r="D83" s="198"/>
      <c r="E83" s="198"/>
      <c r="J83" s="198"/>
    </row>
    <row r="84" spans="1:10" x14ac:dyDescent="0.2">
      <c r="A84" s="209"/>
      <c r="B84" s="209"/>
      <c r="E84" s="198"/>
      <c r="J84" s="198"/>
    </row>
    <row r="85" spans="1:10" x14ac:dyDescent="0.2">
      <c r="A85" s="209"/>
      <c r="B85" s="209"/>
      <c r="E85" s="198"/>
      <c r="J85" s="198"/>
    </row>
    <row r="86" spans="1:10" x14ac:dyDescent="0.2">
      <c r="A86" s="209"/>
      <c r="B86" s="209"/>
      <c r="E86" s="198"/>
      <c r="J86" s="198"/>
    </row>
    <row r="87" spans="1:10" x14ac:dyDescent="0.2">
      <c r="E87" s="198"/>
      <c r="J87" s="198"/>
    </row>
    <row r="88" spans="1:10" x14ac:dyDescent="0.2">
      <c r="E88" s="198"/>
      <c r="J88" s="198"/>
    </row>
    <row r="89" spans="1:10" x14ac:dyDescent="0.2">
      <c r="E89" s="198"/>
      <c r="J89" s="198"/>
    </row>
    <row r="90" spans="1:10" x14ac:dyDescent="0.2">
      <c r="E90" s="198"/>
      <c r="J90" s="198"/>
    </row>
    <row r="91" spans="1:10" x14ac:dyDescent="0.2">
      <c r="E91" s="198"/>
      <c r="J91" s="198"/>
    </row>
    <row r="92" spans="1:10" x14ac:dyDescent="0.2">
      <c r="E92" s="198"/>
      <c r="J92" s="198"/>
    </row>
    <row r="93" spans="1:10" x14ac:dyDescent="0.2">
      <c r="E93" s="198"/>
      <c r="J93" s="198"/>
    </row>
    <row r="94" spans="1:10" x14ac:dyDescent="0.2">
      <c r="E94" s="198"/>
    </row>
    <row r="95" spans="1:10" x14ac:dyDescent="0.2">
      <c r="E95" s="198"/>
    </row>
    <row r="96" spans="1:10" x14ac:dyDescent="0.2">
      <c r="E96" s="198"/>
    </row>
  </sheetData>
  <phoneticPr fontId="2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N34"/>
  <sheetViews>
    <sheetView showGridLines="0" zoomScaleNormal="100" workbookViewId="0">
      <pane ySplit="4" topLeftCell="A5" activePane="bottomLeft" state="frozen"/>
      <selection pane="bottomLeft" activeCell="I20" sqref="I20"/>
    </sheetView>
  </sheetViews>
  <sheetFormatPr defaultColWidth="10.625" defaultRowHeight="11.25" x14ac:dyDescent="0.2"/>
  <cols>
    <col min="1" max="1" width="21.125" style="198" customWidth="1"/>
    <col min="2" max="2" width="9.125" style="198" customWidth="1"/>
    <col min="3" max="3" width="11" style="209" bestFit="1" customWidth="1"/>
    <col min="4" max="4" width="9.5" style="209" customWidth="1"/>
    <col min="5" max="5" width="15.625" style="207" bestFit="1" customWidth="1"/>
    <col min="6" max="6" width="18.25" style="198" customWidth="1"/>
    <col min="7" max="7" width="9.625" style="198" customWidth="1"/>
    <col min="8" max="8" width="11.875" style="198" bestFit="1" customWidth="1"/>
    <col min="9" max="9" width="14.75" style="198" customWidth="1"/>
    <col min="10" max="10" width="9.25" style="376" bestFit="1" customWidth="1"/>
    <col min="11" max="16384" width="10.625" style="198"/>
  </cols>
  <sheetData>
    <row r="1" spans="1:14" x14ac:dyDescent="0.2">
      <c r="A1" s="197" t="s">
        <v>1110</v>
      </c>
      <c r="B1" s="197"/>
      <c r="F1" s="200"/>
      <c r="G1" s="200"/>
      <c r="H1" s="200"/>
      <c r="I1" s="200"/>
    </row>
    <row r="2" spans="1:14" x14ac:dyDescent="0.2">
      <c r="A2" s="197" t="s">
        <v>548</v>
      </c>
      <c r="B2" s="197"/>
      <c r="H2" s="156"/>
      <c r="J2" s="391"/>
      <c r="K2" s="207"/>
      <c r="L2" s="207"/>
      <c r="M2" s="207"/>
      <c r="N2" s="207"/>
    </row>
    <row r="3" spans="1:14" x14ac:dyDescent="0.2">
      <c r="A3" s="199" t="s">
        <v>1153</v>
      </c>
      <c r="B3" s="199"/>
      <c r="J3" s="391"/>
      <c r="K3" s="207"/>
      <c r="L3" s="207"/>
      <c r="M3" s="207"/>
      <c r="N3" s="207"/>
    </row>
    <row r="4" spans="1:14" x14ac:dyDescent="0.2">
      <c r="C4" s="208"/>
      <c r="D4" s="208"/>
    </row>
    <row r="5" spans="1:14" x14ac:dyDescent="0.2">
      <c r="A5" s="209" t="s">
        <v>1049</v>
      </c>
      <c r="C5" s="198"/>
      <c r="D5" s="198"/>
      <c r="E5" s="198"/>
      <c r="F5" s="209" t="s">
        <v>1068</v>
      </c>
      <c r="J5" s="198"/>
    </row>
    <row r="6" spans="1:14" x14ac:dyDescent="0.2">
      <c r="J6" s="198"/>
    </row>
    <row r="7" spans="1:14" x14ac:dyDescent="0.2">
      <c r="A7" s="209" t="s">
        <v>1053</v>
      </c>
      <c r="B7" s="209"/>
      <c r="C7" s="542">
        <v>64000</v>
      </c>
      <c r="D7" s="198" t="s">
        <v>1051</v>
      </c>
      <c r="E7" s="198"/>
      <c r="F7" s="198" t="s">
        <v>1050</v>
      </c>
      <c r="G7" s="542">
        <v>200000</v>
      </c>
      <c r="H7" s="198" t="s">
        <v>1051</v>
      </c>
      <c r="J7" s="198"/>
    </row>
    <row r="8" spans="1:14" x14ac:dyDescent="0.2">
      <c r="A8" s="209" t="s">
        <v>1055</v>
      </c>
      <c r="B8" s="209"/>
      <c r="C8" s="542">
        <v>125000</v>
      </c>
      <c r="D8" s="198" t="s">
        <v>1051</v>
      </c>
      <c r="E8" s="198"/>
      <c r="F8" s="198" t="s">
        <v>1052</v>
      </c>
      <c r="G8" s="542">
        <v>509500</v>
      </c>
      <c r="H8" s="198" t="s">
        <v>1051</v>
      </c>
      <c r="J8" s="198"/>
    </row>
    <row r="9" spans="1:14" x14ac:dyDescent="0.2">
      <c r="A9" s="209" t="s">
        <v>1057</v>
      </c>
      <c r="B9" s="209"/>
      <c r="C9" s="542">
        <v>178000</v>
      </c>
      <c r="D9" s="198" t="s">
        <v>1051</v>
      </c>
      <c r="E9" s="198"/>
      <c r="F9" s="198" t="s">
        <v>1054</v>
      </c>
      <c r="G9" s="542">
        <v>178000</v>
      </c>
      <c r="H9" s="198" t="s">
        <v>1051</v>
      </c>
      <c r="J9" s="198"/>
    </row>
    <row r="10" spans="1:14" x14ac:dyDescent="0.2">
      <c r="A10" s="209" t="s">
        <v>1060</v>
      </c>
      <c r="B10" s="209"/>
      <c r="C10" s="542">
        <v>509500</v>
      </c>
      <c r="D10" s="198" t="s">
        <v>1051</v>
      </c>
      <c r="E10" s="198"/>
      <c r="F10" s="198" t="s">
        <v>1056</v>
      </c>
      <c r="G10" s="542">
        <v>83000</v>
      </c>
      <c r="H10" s="198" t="s">
        <v>1051</v>
      </c>
      <c r="J10" s="198"/>
    </row>
    <row r="11" spans="1:14" x14ac:dyDescent="0.2">
      <c r="A11" s="209" t="s">
        <v>1062</v>
      </c>
      <c r="B11" s="209"/>
      <c r="C11" s="542">
        <v>200000</v>
      </c>
      <c r="D11" s="198" t="s">
        <v>1051</v>
      </c>
      <c r="E11" s="198"/>
      <c r="F11" s="198" t="s">
        <v>1059</v>
      </c>
      <c r="G11" s="542">
        <v>42000</v>
      </c>
      <c r="H11" s="198" t="s">
        <v>1051</v>
      </c>
      <c r="J11" s="198"/>
    </row>
    <row r="12" spans="1:14" x14ac:dyDescent="0.2">
      <c r="A12" s="198" t="s">
        <v>1063</v>
      </c>
      <c r="C12" s="543">
        <f>SUM(C7:C11)</f>
        <v>1076500</v>
      </c>
      <c r="D12" s="198" t="s">
        <v>1064</v>
      </c>
      <c r="E12" s="198" t="s">
        <v>1058</v>
      </c>
      <c r="F12" s="198" t="s">
        <v>1061</v>
      </c>
      <c r="G12" s="542">
        <v>64000</v>
      </c>
      <c r="H12" s="198" t="s">
        <v>1051</v>
      </c>
      <c r="J12" s="198"/>
    </row>
    <row r="13" spans="1:14" x14ac:dyDescent="0.2">
      <c r="C13" s="198"/>
      <c r="D13" s="198"/>
      <c r="E13" s="198"/>
      <c r="F13" s="198" t="s">
        <v>1063</v>
      </c>
      <c r="G13" s="543">
        <f>SUM(G7:G12)</f>
        <v>1076500</v>
      </c>
      <c r="H13" s="198" t="s">
        <v>1064</v>
      </c>
      <c r="J13" s="198"/>
    </row>
    <row r="14" spans="1:14" x14ac:dyDescent="0.2">
      <c r="C14" s="198"/>
      <c r="D14" s="198"/>
      <c r="E14" s="198"/>
      <c r="J14" s="198"/>
    </row>
    <row r="15" spans="1:14" x14ac:dyDescent="0.2">
      <c r="C15" s="198"/>
      <c r="D15" s="198"/>
      <c r="E15" s="198"/>
      <c r="J15" s="198"/>
    </row>
    <row r="16" spans="1:14" x14ac:dyDescent="0.2">
      <c r="C16" s="198"/>
      <c r="D16" s="198"/>
      <c r="E16" s="198"/>
      <c r="J16" s="198"/>
    </row>
    <row r="17" spans="1:10" x14ac:dyDescent="0.2">
      <c r="C17" s="198"/>
      <c r="D17" s="198"/>
      <c r="E17" s="198"/>
      <c r="J17" s="198"/>
    </row>
    <row r="18" spans="1:10" x14ac:dyDescent="0.2">
      <c r="C18" s="198"/>
      <c r="D18" s="198"/>
      <c r="E18" s="198"/>
      <c r="J18" s="198"/>
    </row>
    <row r="19" spans="1:10" x14ac:dyDescent="0.2">
      <c r="C19" s="198"/>
      <c r="D19" s="198"/>
      <c r="E19" s="198"/>
      <c r="J19" s="198"/>
    </row>
    <row r="20" spans="1:10" x14ac:dyDescent="0.2">
      <c r="C20" s="198"/>
      <c r="D20" s="198"/>
      <c r="E20" s="198"/>
      <c r="J20" s="198"/>
    </row>
    <row r="21" spans="1:10" x14ac:dyDescent="0.2">
      <c r="C21" s="198"/>
      <c r="D21" s="198"/>
      <c r="E21" s="198"/>
      <c r="J21" s="198"/>
    </row>
    <row r="22" spans="1:10" x14ac:dyDescent="0.2">
      <c r="A22" s="209"/>
      <c r="B22" s="209"/>
      <c r="E22" s="198"/>
      <c r="J22" s="198"/>
    </row>
    <row r="23" spans="1:10" x14ac:dyDescent="0.2">
      <c r="A23" s="209"/>
      <c r="B23" s="209"/>
      <c r="E23" s="198"/>
      <c r="J23" s="198"/>
    </row>
    <row r="24" spans="1:10" x14ac:dyDescent="0.2">
      <c r="A24" s="209"/>
      <c r="B24" s="209"/>
      <c r="E24" s="198"/>
      <c r="J24" s="198"/>
    </row>
    <row r="25" spans="1:10" x14ac:dyDescent="0.2">
      <c r="E25" s="198"/>
      <c r="J25" s="198"/>
    </row>
    <row r="26" spans="1:10" x14ac:dyDescent="0.2">
      <c r="E26" s="198"/>
      <c r="J26" s="198"/>
    </row>
    <row r="27" spans="1:10" x14ac:dyDescent="0.2">
      <c r="E27" s="198"/>
      <c r="J27" s="198"/>
    </row>
    <row r="28" spans="1:10" x14ac:dyDescent="0.2">
      <c r="E28" s="198"/>
      <c r="J28" s="198"/>
    </row>
    <row r="29" spans="1:10" x14ac:dyDescent="0.2">
      <c r="E29" s="198"/>
      <c r="J29" s="198"/>
    </row>
    <row r="30" spans="1:10" x14ac:dyDescent="0.2">
      <c r="E30" s="198"/>
      <c r="J30" s="198"/>
    </row>
    <row r="31" spans="1:10" x14ac:dyDescent="0.2">
      <c r="E31" s="198"/>
      <c r="J31" s="198"/>
    </row>
    <row r="32" spans="1:10" x14ac:dyDescent="0.2">
      <c r="E32" s="198"/>
    </row>
    <row r="33" spans="5:5" x14ac:dyDescent="0.2">
      <c r="E33" s="198"/>
    </row>
    <row r="34" spans="5:5" x14ac:dyDescent="0.2">
      <c r="E34" s="19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H75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G25" sqref="G25"/>
    </sheetView>
  </sheetViews>
  <sheetFormatPr defaultColWidth="9" defaultRowHeight="10.5" customHeight="1" x14ac:dyDescent="0.25"/>
  <cols>
    <col min="1" max="1" width="3.75" style="212" customWidth="1"/>
    <col min="2" max="2" width="3.5" style="236" customWidth="1"/>
    <col min="3" max="3" width="2.625" style="236" customWidth="1"/>
    <col min="4" max="4" width="10.75" style="176" bestFit="1" customWidth="1"/>
    <col min="5" max="5" width="15" style="176" bestFit="1" customWidth="1"/>
    <col min="6" max="6" width="9" style="176" bestFit="1" customWidth="1"/>
    <col min="7" max="7" width="10.5" style="176" customWidth="1"/>
    <col min="8" max="8" width="9.5" style="176" customWidth="1"/>
    <col min="9" max="9" width="10.125" style="176" bestFit="1" customWidth="1"/>
    <col min="10" max="10" width="16" style="176" customWidth="1"/>
    <col min="11" max="11" width="1.625" style="176" customWidth="1"/>
    <col min="12" max="12" width="6.75" style="176" customWidth="1"/>
    <col min="13" max="13" width="11.25" style="176" customWidth="1"/>
    <col min="14" max="14" width="12.5" style="176" customWidth="1"/>
    <col min="15" max="15" width="1.625" style="176" customWidth="1"/>
    <col min="16" max="16" width="7.625" style="176" customWidth="1"/>
    <col min="17" max="17" width="10.625" style="176" customWidth="1"/>
    <col min="18" max="18" width="14.625" style="176" customWidth="1"/>
    <col min="19" max="19" width="1.625" style="176" customWidth="1"/>
    <col min="20" max="20" width="10.5" style="176" customWidth="1"/>
    <col min="21" max="21" width="9.875" style="176" customWidth="1"/>
    <col min="22" max="22" width="1.625" style="176" customWidth="1"/>
    <col min="23" max="23" width="10.25" style="176" customWidth="1"/>
    <col min="24" max="24" width="10" style="176" customWidth="1"/>
    <col min="25" max="25" width="7.75" style="176" customWidth="1"/>
    <col min="26" max="26" width="12" style="176" customWidth="1"/>
    <col min="27" max="27" width="9" style="176"/>
    <col min="28" max="28" width="29.125" style="176" customWidth="1"/>
    <col min="29" max="29" width="4.75" style="176" customWidth="1"/>
    <col min="30" max="30" width="11.75" style="176" customWidth="1"/>
    <col min="31" max="31" width="9" style="176"/>
    <col min="32" max="32" width="10.25" style="176" bestFit="1" customWidth="1"/>
    <col min="33" max="16384" width="9" style="176"/>
  </cols>
  <sheetData>
    <row r="1" spans="1:34" ht="11.25" x14ac:dyDescent="0.25">
      <c r="A1" s="166" t="str">
        <f>Assumption!A1</f>
        <v>Bisnis Truk Thermoking</v>
      </c>
      <c r="B1" s="220"/>
      <c r="C1" s="220"/>
      <c r="D1" s="221"/>
      <c r="I1" s="353"/>
      <c r="J1" s="353"/>
      <c r="O1" s="353"/>
      <c r="P1" s="353"/>
      <c r="Q1" s="353"/>
      <c r="R1" s="353"/>
      <c r="S1" s="254"/>
    </row>
    <row r="2" spans="1:34" ht="11.25" x14ac:dyDescent="0.25">
      <c r="A2" s="166" t="str">
        <f>Assumption!A2</f>
        <v>Financial Pre-Feasibility Study</v>
      </c>
      <c r="B2" s="220"/>
      <c r="C2" s="220"/>
      <c r="D2" s="221"/>
      <c r="K2" s="353"/>
      <c r="L2" s="353"/>
      <c r="M2" s="353"/>
      <c r="N2" s="353"/>
    </row>
    <row r="3" spans="1:34" ht="11.25" x14ac:dyDescent="0.25">
      <c r="A3" s="222" t="s">
        <v>1111</v>
      </c>
      <c r="B3" s="220"/>
      <c r="C3" s="220"/>
      <c r="D3" s="221"/>
      <c r="P3" s="351"/>
      <c r="Q3" s="351"/>
    </row>
    <row r="4" spans="1:34" ht="10.5" customHeight="1" x14ac:dyDescent="0.2">
      <c r="A4" s="223"/>
      <c r="B4" s="220"/>
      <c r="C4" s="220"/>
      <c r="D4" s="224"/>
      <c r="E4" s="224"/>
      <c r="F4" s="224"/>
      <c r="G4" s="224"/>
      <c r="H4" s="221"/>
      <c r="I4" s="221"/>
      <c r="J4" s="221"/>
      <c r="K4" s="221"/>
      <c r="L4" s="221"/>
      <c r="M4" s="221"/>
      <c r="N4" s="221"/>
      <c r="W4" s="424" t="s">
        <v>66</v>
      </c>
      <c r="X4" s="425" t="s">
        <v>707</v>
      </c>
    </row>
    <row r="5" spans="1:34" ht="10.5" customHeight="1" x14ac:dyDescent="0.25">
      <c r="A5" s="223" t="s">
        <v>634</v>
      </c>
      <c r="B5" s="220"/>
      <c r="C5" s="220"/>
      <c r="D5" s="221"/>
      <c r="E5" s="221"/>
      <c r="F5" s="221"/>
      <c r="G5" s="221"/>
      <c r="H5" s="221"/>
      <c r="I5" s="221"/>
      <c r="J5" s="428" t="s">
        <v>640</v>
      </c>
      <c r="K5" s="221"/>
      <c r="M5" s="428" t="s">
        <v>639</v>
      </c>
      <c r="N5" s="221"/>
      <c r="W5" s="425"/>
      <c r="X5" s="425" t="s">
        <v>708</v>
      </c>
    </row>
    <row r="6" spans="1:34" ht="37.9" customHeight="1" x14ac:dyDescent="0.2">
      <c r="A6" s="748" t="s">
        <v>706</v>
      </c>
      <c r="B6" s="748"/>
      <c r="C6" s="220"/>
      <c r="D6" s="749" t="s">
        <v>565</v>
      </c>
      <c r="E6" s="749" t="s">
        <v>568</v>
      </c>
      <c r="F6" s="225"/>
      <c r="G6" s="749" t="s">
        <v>569</v>
      </c>
      <c r="H6" s="749" t="s">
        <v>84</v>
      </c>
      <c r="I6" s="749" t="s">
        <v>172</v>
      </c>
      <c r="J6" s="749" t="s">
        <v>85</v>
      </c>
      <c r="K6" s="220"/>
      <c r="L6" s="427" t="s">
        <v>652</v>
      </c>
      <c r="M6" s="226">
        <f>Assumption!E35/100</f>
        <v>0.12</v>
      </c>
      <c r="N6" s="226"/>
      <c r="O6" s="220"/>
      <c r="P6" s="753" t="s">
        <v>83</v>
      </c>
      <c r="Q6" s="753"/>
      <c r="R6" s="426">
        <v>0.22454782727259442</v>
      </c>
      <c r="T6" s="748" t="s">
        <v>515</v>
      </c>
      <c r="U6" s="748"/>
      <c r="V6" s="354"/>
      <c r="W6" s="748" t="s">
        <v>642</v>
      </c>
      <c r="X6" s="748"/>
      <c r="Y6" s="748"/>
      <c r="Z6" s="748"/>
    </row>
    <row r="7" spans="1:34" ht="49.5" customHeight="1" x14ac:dyDescent="0.2">
      <c r="A7" s="748"/>
      <c r="B7" s="748"/>
      <c r="C7" s="220"/>
      <c r="D7" s="749"/>
      <c r="E7" s="749"/>
      <c r="F7" s="225" t="s">
        <v>677</v>
      </c>
      <c r="G7" s="749"/>
      <c r="H7" s="749"/>
      <c r="I7" s="749"/>
      <c r="J7" s="749"/>
      <c r="K7" s="220"/>
      <c r="L7" s="225" t="s">
        <v>55</v>
      </c>
      <c r="M7" s="225" t="s">
        <v>86</v>
      </c>
      <c r="N7" s="225" t="s">
        <v>87</v>
      </c>
      <c r="O7" s="220"/>
      <c r="P7" s="225" t="s">
        <v>55</v>
      </c>
      <c r="Q7" s="225" t="s">
        <v>86</v>
      </c>
      <c r="R7" s="225" t="s">
        <v>87</v>
      </c>
      <c r="T7" s="225" t="s">
        <v>84</v>
      </c>
      <c r="U7" s="225" t="s">
        <v>265</v>
      </c>
      <c r="V7" s="355"/>
      <c r="W7" s="225" t="s">
        <v>55</v>
      </c>
      <c r="X7" s="225" t="s">
        <v>643</v>
      </c>
      <c r="Y7" s="225" t="s">
        <v>644</v>
      </c>
      <c r="Z7" s="225" t="s">
        <v>645</v>
      </c>
    </row>
    <row r="8" spans="1:34" ht="12.75" customHeight="1" x14ac:dyDescent="0.25">
      <c r="A8" s="748"/>
      <c r="B8" s="748"/>
      <c r="C8" s="220"/>
      <c r="D8" s="228" t="s">
        <v>566</v>
      </c>
      <c r="E8" s="228" t="s">
        <v>56</v>
      </c>
      <c r="F8" s="228" t="s">
        <v>567</v>
      </c>
      <c r="G8" s="228" t="s">
        <v>979</v>
      </c>
      <c r="H8" s="228" t="s">
        <v>980</v>
      </c>
      <c r="I8" s="228" t="s">
        <v>981</v>
      </c>
      <c r="J8" s="228" t="s">
        <v>982</v>
      </c>
      <c r="K8" s="229"/>
      <c r="L8" s="228" t="s">
        <v>57</v>
      </c>
      <c r="M8" s="228" t="s">
        <v>983</v>
      </c>
      <c r="N8" s="228" t="s">
        <v>178</v>
      </c>
      <c r="O8" s="229"/>
      <c r="P8" s="228" t="s">
        <v>57</v>
      </c>
      <c r="Q8" s="228" t="s">
        <v>984</v>
      </c>
      <c r="R8" s="228" t="s">
        <v>985</v>
      </c>
      <c r="T8" s="180"/>
      <c r="U8" s="180"/>
      <c r="V8" s="221"/>
      <c r="W8" s="228" t="s">
        <v>57</v>
      </c>
      <c r="X8" s="228" t="s">
        <v>570</v>
      </c>
      <c r="Y8" s="180" t="s">
        <v>646</v>
      </c>
      <c r="Z8" s="507" t="s">
        <v>986</v>
      </c>
    </row>
    <row r="9" spans="1:34" ht="10.5" customHeight="1" x14ac:dyDescent="0.2">
      <c r="A9" s="397"/>
      <c r="B9" s="595">
        <v>0</v>
      </c>
      <c r="C9" s="365"/>
      <c r="D9" s="224"/>
      <c r="E9" s="224"/>
      <c r="F9" s="224"/>
      <c r="G9" s="224"/>
      <c r="H9" s="224"/>
      <c r="I9" s="224">
        <f>-1*Assumption!E26</f>
        <v>-3813317600</v>
      </c>
      <c r="J9" s="224">
        <f>H9+I9</f>
        <v>-3813317600</v>
      </c>
      <c r="K9" s="365"/>
      <c r="L9" s="231">
        <f t="shared" ref="L9:L19" si="0">1/(1+$M$6)^B9</f>
        <v>1</v>
      </c>
      <c r="M9" s="224">
        <f>L9*J9</f>
        <v>-3813317600</v>
      </c>
      <c r="N9" s="224">
        <f>M9</f>
        <v>-3813317600</v>
      </c>
      <c r="O9" s="365"/>
      <c r="P9" s="231">
        <f t="shared" ref="P9:P19" si="1">1/(1+$R$6)^B9</f>
        <v>1</v>
      </c>
      <c r="Q9" s="224">
        <f>J9*P9</f>
        <v>-3813317600</v>
      </c>
      <c r="R9" s="224">
        <f>Q9</f>
        <v>-3813317600</v>
      </c>
      <c r="U9" s="353">
        <f>-1*I9</f>
        <v>3813317600</v>
      </c>
      <c r="V9" s="353"/>
      <c r="W9" s="419">
        <f>L9</f>
        <v>1</v>
      </c>
      <c r="X9" s="353">
        <f>W9*I9</f>
        <v>-3813317600</v>
      </c>
    </row>
    <row r="10" spans="1:34" ht="10.5" customHeight="1" x14ac:dyDescent="0.2">
      <c r="A10" s="746" t="s">
        <v>571</v>
      </c>
      <c r="B10" s="230">
        <v>1</v>
      </c>
      <c r="C10" s="365"/>
      <c r="D10" s="254">
        <f>IncomeStatement!C21</f>
        <v>549155120</v>
      </c>
      <c r="E10" s="351">
        <f>-1*IncomeStatement!C25</f>
        <v>-37703218.960000001</v>
      </c>
      <c r="F10" s="353">
        <f>-1*IncomeStatement!C23</f>
        <v>-206398584</v>
      </c>
      <c r="G10" s="254">
        <f>Depreciation!F8</f>
        <v>327616800</v>
      </c>
      <c r="H10" s="224">
        <f>D10+E10+F10+G10</f>
        <v>632670117.03999996</v>
      </c>
      <c r="I10" s="224"/>
      <c r="J10" s="224">
        <f>H10+I10</f>
        <v>632670117.03999996</v>
      </c>
      <c r="K10" s="365"/>
      <c r="L10" s="231">
        <f>1/(1+$M$6)^B10</f>
        <v>0.89285714285714279</v>
      </c>
      <c r="M10" s="224">
        <f>L10*J10</f>
        <v>564884033.07142854</v>
      </c>
      <c r="N10" s="224">
        <f>M10+N9</f>
        <v>-3248433566.9285717</v>
      </c>
      <c r="O10" s="365"/>
      <c r="P10" s="231">
        <f t="shared" si="1"/>
        <v>0.81662796481153022</v>
      </c>
      <c r="Q10" s="224">
        <f t="shared" ref="Q10:Q19" si="2">J10*P10</f>
        <v>516656110.0754478</v>
      </c>
      <c r="R10" s="224">
        <f>Q10+R9</f>
        <v>-3296661489.924552</v>
      </c>
      <c r="T10" s="188">
        <f>H10*L10</f>
        <v>564884033.07142854</v>
      </c>
      <c r="U10" s="188">
        <v>0</v>
      </c>
      <c r="V10" s="188"/>
      <c r="W10" s="188"/>
      <c r="X10" s="188"/>
      <c r="Y10" s="357">
        <f t="shared" ref="Y10:Y19" si="3">(1+$M$6)^($B$19-B10)</f>
        <v>2.7730787574501883</v>
      </c>
      <c r="Z10" s="649">
        <f>Y10*H10</f>
        <v>1754444062.0371482</v>
      </c>
    </row>
    <row r="11" spans="1:34" ht="10.5" customHeight="1" x14ac:dyDescent="0.2">
      <c r="A11" s="747"/>
      <c r="B11" s="230">
        <v>2</v>
      </c>
      <c r="C11" s="230"/>
      <c r="D11" s="254">
        <f>IncomeStatement!D21</f>
        <v>934416608</v>
      </c>
      <c r="E11" s="351">
        <f>-1*IncomeStatement!D25</f>
        <v>-80081982.640000001</v>
      </c>
      <c r="F11" s="353">
        <f>-1*IncomeStatement!D23</f>
        <v>-206398584</v>
      </c>
      <c r="G11" s="254">
        <f>Depreciation!F9</f>
        <v>327616800</v>
      </c>
      <c r="H11" s="224">
        <f t="shared" ref="H11:H19" si="4">D11+E11+F11+G11</f>
        <v>975552841.36000001</v>
      </c>
      <c r="I11" s="224"/>
      <c r="J11" s="224">
        <f>H11+I11</f>
        <v>975552841.36000001</v>
      </c>
      <c r="K11" s="220"/>
      <c r="L11" s="231">
        <f t="shared" si="0"/>
        <v>0.79719387755102034</v>
      </c>
      <c r="M11" s="224">
        <f t="shared" ref="M11:M18" si="5">L11*J11</f>
        <v>777704752.35969377</v>
      </c>
      <c r="N11" s="224">
        <f t="shared" ref="N11:N18" si="6">M11+N10</f>
        <v>-2470728814.5688782</v>
      </c>
      <c r="O11" s="232"/>
      <c r="P11" s="231">
        <f t="shared" si="1"/>
        <v>0.66688123291222179</v>
      </c>
      <c r="Q11" s="224">
        <f t="shared" si="2"/>
        <v>650577881.61717796</v>
      </c>
      <c r="R11" s="224">
        <f>Q11+R10</f>
        <v>-2646083608.307374</v>
      </c>
      <c r="S11" s="233"/>
      <c r="T11" s="188">
        <f t="shared" ref="T11:T19" si="7">H11*L11</f>
        <v>777704752.35969377</v>
      </c>
      <c r="U11" s="188">
        <f t="shared" ref="U11:U19" si="8">-1*I11*L11</f>
        <v>0</v>
      </c>
      <c r="V11" s="188"/>
      <c r="W11" s="188"/>
      <c r="X11" s="188"/>
      <c r="Y11" s="357">
        <f t="shared" si="3"/>
        <v>2.4759631762948109</v>
      </c>
      <c r="Z11" s="650">
        <f t="shared" ref="Z11:Z19" si="9">Y11*H11</f>
        <v>2415432911.7371335</v>
      </c>
    </row>
    <row r="12" spans="1:34" ht="10.5" customHeight="1" x14ac:dyDescent="0.2">
      <c r="A12" s="747"/>
      <c r="B12" s="230">
        <v>3</v>
      </c>
      <c r="C12" s="230"/>
      <c r="D12" s="254">
        <f>IncomeStatement!E21</f>
        <v>959797276.15999985</v>
      </c>
      <c r="E12" s="351">
        <f>-1*IncomeStatement!E25</f>
        <v>-82873856.13759999</v>
      </c>
      <c r="F12" s="353">
        <f>-1*IncomeStatement!E23</f>
        <v>-206398584</v>
      </c>
      <c r="G12" s="254">
        <f>Depreciation!F10</f>
        <v>327616800</v>
      </c>
      <c r="H12" s="224">
        <f t="shared" si="4"/>
        <v>998141636.0223999</v>
      </c>
      <c r="I12" s="224"/>
      <c r="J12" s="224">
        <f t="shared" ref="J12:J18" si="10">H12+I12</f>
        <v>998141636.0223999</v>
      </c>
      <c r="K12" s="220"/>
      <c r="L12" s="231">
        <f t="shared" si="0"/>
        <v>0.71178024781341087</v>
      </c>
      <c r="M12" s="224">
        <f t="shared" si="5"/>
        <v>710457501.04090714</v>
      </c>
      <c r="N12" s="224">
        <f t="shared" si="6"/>
        <v>-1760271313.527971</v>
      </c>
      <c r="O12" s="232"/>
      <c r="P12" s="231">
        <f t="shared" si="1"/>
        <v>0.54459386400411169</v>
      </c>
      <c r="Q12" s="224">
        <f t="shared" si="2"/>
        <v>543581810.3848244</v>
      </c>
      <c r="R12" s="224">
        <f t="shared" ref="R12:R19" si="11">Q12+R11</f>
        <v>-2102501797.9225497</v>
      </c>
      <c r="S12" s="233"/>
      <c r="T12" s="188">
        <f t="shared" si="7"/>
        <v>710457501.04090714</v>
      </c>
      <c r="U12" s="188">
        <f t="shared" si="8"/>
        <v>0</v>
      </c>
      <c r="V12" s="188"/>
      <c r="W12" s="188"/>
      <c r="X12" s="188"/>
      <c r="Y12" s="357">
        <f t="shared" si="3"/>
        <v>2.210681407406081</v>
      </c>
      <c r="Z12" s="650">
        <f t="shared" si="9"/>
        <v>2206573156.7126074</v>
      </c>
    </row>
    <row r="13" spans="1:34" ht="10.5" customHeight="1" x14ac:dyDescent="0.2">
      <c r="A13" s="747"/>
      <c r="B13" s="230">
        <v>4</v>
      </c>
      <c r="C13" s="230"/>
      <c r="D13" s="254">
        <f>IncomeStatement!F21</f>
        <v>985685557.68319988</v>
      </c>
      <c r="E13" s="351">
        <f>-1*IncomeStatement!F25</f>
        <v>-85721567.105151981</v>
      </c>
      <c r="F13" s="353">
        <f>-1*IncomeStatement!F23</f>
        <v>-206398584</v>
      </c>
      <c r="G13" s="254">
        <f>Depreciation!F11</f>
        <v>327616800</v>
      </c>
      <c r="H13" s="224">
        <f t="shared" si="4"/>
        <v>1021182206.5780479</v>
      </c>
      <c r="I13" s="224"/>
      <c r="J13" s="224">
        <f t="shared" si="10"/>
        <v>1021182206.5780479</v>
      </c>
      <c r="K13" s="232"/>
      <c r="L13" s="231">
        <f t="shared" si="0"/>
        <v>0.63551807840483121</v>
      </c>
      <c r="M13" s="224">
        <f t="shared" si="5"/>
        <v>648979753.62568641</v>
      </c>
      <c r="N13" s="224">
        <f t="shared" si="6"/>
        <v>-1111291559.9022846</v>
      </c>
      <c r="O13" s="232"/>
      <c r="P13" s="231">
        <f t="shared" si="1"/>
        <v>0.44473057881052502</v>
      </c>
      <c r="Q13" s="224">
        <f t="shared" si="2"/>
        <v>454150953.80246437</v>
      </c>
      <c r="R13" s="224">
        <f t="shared" si="11"/>
        <v>-1648350844.1200852</v>
      </c>
      <c r="S13" s="233"/>
      <c r="T13" s="188">
        <f t="shared" si="7"/>
        <v>648979753.62568641</v>
      </c>
      <c r="U13" s="188">
        <f t="shared" si="8"/>
        <v>0</v>
      </c>
      <c r="V13" s="188"/>
      <c r="W13" s="188"/>
      <c r="X13" s="188"/>
      <c r="Y13" s="357">
        <f t="shared" si="3"/>
        <v>1.9738226851840008</v>
      </c>
      <c r="Z13" s="650">
        <f t="shared" si="9"/>
        <v>2015632605.0500054</v>
      </c>
    </row>
    <row r="14" spans="1:34" ht="10.5" customHeight="1" x14ac:dyDescent="0.2">
      <c r="A14" s="747"/>
      <c r="B14" s="230">
        <v>5</v>
      </c>
      <c r="C14" s="230"/>
      <c r="D14" s="254">
        <f>IncomeStatement!G21</f>
        <v>1012091604.8368642</v>
      </c>
      <c r="E14" s="351">
        <f>-1*IncomeStatement!G25</f>
        <v>-88626232.29205507</v>
      </c>
      <c r="F14" s="353">
        <f>-1*IncomeStatement!G23</f>
        <v>-206398584</v>
      </c>
      <c r="G14" s="254">
        <f>Depreciation!F12</f>
        <v>327616800</v>
      </c>
      <c r="H14" s="224">
        <f t="shared" si="4"/>
        <v>1044683588.5448091</v>
      </c>
      <c r="I14" s="224"/>
      <c r="J14" s="224">
        <f t="shared" si="10"/>
        <v>1044683588.5448091</v>
      </c>
      <c r="K14" s="232"/>
      <c r="L14" s="231">
        <f t="shared" si="0"/>
        <v>0.56742685571859919</v>
      </c>
      <c r="M14" s="224">
        <f t="shared" si="5"/>
        <v>592781523.86880386</v>
      </c>
      <c r="N14" s="224">
        <f t="shared" si="6"/>
        <v>-518510036.03348076</v>
      </c>
      <c r="O14" s="232"/>
      <c r="P14" s="231">
        <f t="shared" si="1"/>
        <v>0.36317942746349285</v>
      </c>
      <c r="Q14" s="224">
        <f t="shared" si="2"/>
        <v>379407587.5682109</v>
      </c>
      <c r="R14" s="224">
        <f t="shared" si="11"/>
        <v>-1268943256.5518744</v>
      </c>
      <c r="S14" s="233"/>
      <c r="T14" s="188">
        <f t="shared" si="7"/>
        <v>592781523.86880386</v>
      </c>
      <c r="U14" s="188">
        <f t="shared" si="8"/>
        <v>0</v>
      </c>
      <c r="V14" s="188"/>
      <c r="W14" s="188"/>
      <c r="X14" s="188"/>
      <c r="Y14" s="357">
        <f t="shared" si="3"/>
        <v>1.7623416832000005</v>
      </c>
      <c r="Z14" s="650">
        <f t="shared" si="9"/>
        <v>1841089433.8474755</v>
      </c>
      <c r="AH14" s="233"/>
    </row>
    <row r="15" spans="1:34" ht="10.5" customHeight="1" x14ac:dyDescent="0.2">
      <c r="A15" s="747"/>
      <c r="B15" s="230">
        <v>6</v>
      </c>
      <c r="C15" s="230"/>
      <c r="D15" s="254">
        <f>IncomeStatement!H21</f>
        <v>973502412.93360114</v>
      </c>
      <c r="E15" s="351">
        <f>-1*IncomeStatement!H25</f>
        <v>-107085265.42269613</v>
      </c>
      <c r="F15" s="353">
        <f>-1*IncomeStatement!H23</f>
        <v>0</v>
      </c>
      <c r="G15" s="254">
        <f>Depreciation!F13</f>
        <v>327616800</v>
      </c>
      <c r="H15" s="224">
        <f t="shared" si="4"/>
        <v>1194033947.510905</v>
      </c>
      <c r="I15" s="224"/>
      <c r="J15" s="224">
        <f t="shared" si="10"/>
        <v>1194033947.510905</v>
      </c>
      <c r="K15" s="232"/>
      <c r="L15" s="231">
        <f t="shared" si="0"/>
        <v>0.50663112117732068</v>
      </c>
      <c r="M15" s="224">
        <f t="shared" si="5"/>
        <v>604934757.55123186</v>
      </c>
      <c r="N15" s="224">
        <f t="shared" si="6"/>
        <v>86424721.517751098</v>
      </c>
      <c r="O15" s="232"/>
      <c r="P15" s="231">
        <f t="shared" si="1"/>
        <v>0.29658247671092891</v>
      </c>
      <c r="Q15" s="224">
        <f t="shared" si="2"/>
        <v>354129545.42971152</v>
      </c>
      <c r="R15" s="224">
        <f t="shared" si="11"/>
        <v>-914813711.12216282</v>
      </c>
      <c r="S15" s="233"/>
      <c r="T15" s="188">
        <f t="shared" si="7"/>
        <v>604934757.55123186</v>
      </c>
      <c r="U15" s="188">
        <f t="shared" si="8"/>
        <v>0</v>
      </c>
      <c r="V15" s="188"/>
      <c r="W15" s="188"/>
      <c r="X15" s="188"/>
      <c r="Y15" s="357">
        <f t="shared" si="3"/>
        <v>1.5735193600000004</v>
      </c>
      <c r="Z15" s="650">
        <f t="shared" si="9"/>
        <v>1878835532.9056332</v>
      </c>
    </row>
    <row r="16" spans="1:34" ht="10.5" customHeight="1" x14ac:dyDescent="0.2">
      <c r="A16" s="747"/>
      <c r="B16" s="230">
        <v>7</v>
      </c>
      <c r="C16" s="230"/>
      <c r="D16" s="254">
        <f>IncomeStatement!I21</f>
        <v>999664797.19227326</v>
      </c>
      <c r="E16" s="351">
        <f>-1*IncomeStatement!I25</f>
        <v>-109963127.69115005</v>
      </c>
      <c r="F16" s="353">
        <f>-1*IncomeStatement!I23</f>
        <v>0</v>
      </c>
      <c r="G16" s="254">
        <f>Depreciation!F14</f>
        <v>327616800</v>
      </c>
      <c r="H16" s="224">
        <f t="shared" si="4"/>
        <v>1217318469.5011232</v>
      </c>
      <c r="I16" s="224"/>
      <c r="J16" s="224">
        <f t="shared" si="10"/>
        <v>1217318469.5011232</v>
      </c>
      <c r="K16" s="232"/>
      <c r="L16" s="231">
        <f t="shared" si="0"/>
        <v>0.45234921533689343</v>
      </c>
      <c r="M16" s="224">
        <f t="shared" si="5"/>
        <v>550653054.49394107</v>
      </c>
      <c r="N16" s="224">
        <f t="shared" si="6"/>
        <v>637077776.01169217</v>
      </c>
      <c r="O16" s="232"/>
      <c r="P16" s="231">
        <f t="shared" si="1"/>
        <v>0.24219754435520896</v>
      </c>
      <c r="Q16" s="224">
        <f t="shared" si="2"/>
        <v>294831544.0114134</v>
      </c>
      <c r="R16" s="224">
        <f t="shared" si="11"/>
        <v>-619982167.11074948</v>
      </c>
      <c r="S16" s="233"/>
      <c r="T16" s="188">
        <f t="shared" si="7"/>
        <v>550653054.49394107</v>
      </c>
      <c r="U16" s="188">
        <f t="shared" si="8"/>
        <v>0</v>
      </c>
      <c r="V16" s="188"/>
      <c r="W16" s="188"/>
      <c r="X16" s="188"/>
      <c r="Y16" s="357">
        <f t="shared" si="3"/>
        <v>1.4049280000000004</v>
      </c>
      <c r="Z16" s="650">
        <f t="shared" si="9"/>
        <v>1710244802.7192745</v>
      </c>
    </row>
    <row r="17" spans="1:34" ht="10.5" customHeight="1" x14ac:dyDescent="0.2">
      <c r="A17" s="747"/>
      <c r="B17" s="230">
        <v>8</v>
      </c>
      <c r="C17" s="230"/>
      <c r="D17" s="254">
        <f>IncomeStatement!J21</f>
        <v>1026350429.1361188</v>
      </c>
      <c r="E17" s="351">
        <f>-1*IncomeStatement!J25</f>
        <v>-112898547.20497307</v>
      </c>
      <c r="F17" s="353">
        <f>-1*IncomeStatement!J23</f>
        <v>0</v>
      </c>
      <c r="G17" s="254">
        <f>Depreciation!F15</f>
        <v>327616800</v>
      </c>
      <c r="H17" s="224">
        <f t="shared" si="4"/>
        <v>1241068681.9311457</v>
      </c>
      <c r="I17" s="224"/>
      <c r="J17" s="224">
        <f t="shared" si="10"/>
        <v>1241068681.9311457</v>
      </c>
      <c r="K17" s="232"/>
      <c r="L17" s="231">
        <f t="shared" si="0"/>
        <v>0.4038832279793691</v>
      </c>
      <c r="M17" s="224">
        <f t="shared" si="5"/>
        <v>501246825.40245199</v>
      </c>
      <c r="N17" s="224">
        <f t="shared" si="6"/>
        <v>1138324601.414144</v>
      </c>
      <c r="O17" s="232"/>
      <c r="P17" s="231">
        <f t="shared" si="1"/>
        <v>0.19778528772914461</v>
      </c>
      <c r="Q17" s="224">
        <f t="shared" si="2"/>
        <v>245465126.34738189</v>
      </c>
      <c r="R17" s="224">
        <f t="shared" si="11"/>
        <v>-374517040.76336759</v>
      </c>
      <c r="S17" s="233"/>
      <c r="T17" s="188">
        <f t="shared" si="7"/>
        <v>501246825.40245199</v>
      </c>
      <c r="U17" s="188">
        <f t="shared" si="8"/>
        <v>0</v>
      </c>
      <c r="V17" s="188"/>
      <c r="W17" s="188"/>
      <c r="X17" s="188"/>
      <c r="Y17" s="357">
        <f t="shared" si="3"/>
        <v>1.2544000000000002</v>
      </c>
      <c r="Z17" s="650">
        <f t="shared" si="9"/>
        <v>1556796554.6144292</v>
      </c>
      <c r="AH17" s="236"/>
    </row>
    <row r="18" spans="1:34" ht="10.5" customHeight="1" x14ac:dyDescent="0.2">
      <c r="A18" s="747"/>
      <c r="B18" s="230">
        <v>9</v>
      </c>
      <c r="C18" s="230"/>
      <c r="D18" s="254">
        <f>IncomeStatement!K21</f>
        <v>1053569773.718841</v>
      </c>
      <c r="E18" s="351">
        <f>-1*IncomeStatement!K25</f>
        <v>-115892675.10907251</v>
      </c>
      <c r="F18" s="353">
        <f>-1*IncomeStatement!K23</f>
        <v>0</v>
      </c>
      <c r="G18" s="254">
        <f>Depreciation!F16</f>
        <v>327616800</v>
      </c>
      <c r="H18" s="224">
        <f t="shared" si="4"/>
        <v>1265293898.6097684</v>
      </c>
      <c r="I18" s="224"/>
      <c r="J18" s="224">
        <f t="shared" si="10"/>
        <v>1265293898.6097684</v>
      </c>
      <c r="K18" s="232"/>
      <c r="L18" s="231">
        <f t="shared" si="0"/>
        <v>0.36061002498157957</v>
      </c>
      <c r="M18" s="224">
        <f t="shared" si="5"/>
        <v>456277664.3867088</v>
      </c>
      <c r="N18" s="224">
        <f t="shared" si="6"/>
        <v>1594602265.8008528</v>
      </c>
      <c r="O18" s="232"/>
      <c r="P18" s="231">
        <f t="shared" si="1"/>
        <v>0.16151699698791425</v>
      </c>
      <c r="Q18" s="224">
        <f t="shared" si="2"/>
        <v>204366470.81058022</v>
      </c>
      <c r="R18" s="224">
        <f t="shared" si="11"/>
        <v>-170150569.95278737</v>
      </c>
      <c r="S18" s="233"/>
      <c r="T18" s="188">
        <f t="shared" si="7"/>
        <v>456277664.3867088</v>
      </c>
      <c r="U18" s="188">
        <f t="shared" si="8"/>
        <v>0</v>
      </c>
      <c r="V18" s="188"/>
      <c r="W18" s="188"/>
      <c r="X18" s="188"/>
      <c r="Y18" s="357">
        <f t="shared" si="3"/>
        <v>1.1200000000000001</v>
      </c>
      <c r="Z18" s="650">
        <f t="shared" si="9"/>
        <v>1417129166.4429407</v>
      </c>
    </row>
    <row r="19" spans="1:34" ht="10.5" customHeight="1" x14ac:dyDescent="0.2">
      <c r="A19" s="747"/>
      <c r="B19" s="230">
        <v>10</v>
      </c>
      <c r="C19" s="230"/>
      <c r="D19" s="254">
        <f>IncomeStatement!L21</f>
        <v>1081333505.193218</v>
      </c>
      <c r="E19" s="351">
        <f>-1*IncomeStatement!L25</f>
        <v>-118946685.57125399</v>
      </c>
      <c r="F19" s="353">
        <f>-1*IncomeStatement!L23</f>
        <v>0</v>
      </c>
      <c r="G19" s="254">
        <f>Depreciation!F17</f>
        <v>327616800</v>
      </c>
      <c r="H19" s="224">
        <f t="shared" si="4"/>
        <v>1290003619.621964</v>
      </c>
      <c r="I19" s="224"/>
      <c r="J19" s="224">
        <f>H19+I19</f>
        <v>1290003619.621964</v>
      </c>
      <c r="K19" s="232"/>
      <c r="L19" s="231">
        <f t="shared" si="0"/>
        <v>0.32197323659069599</v>
      </c>
      <c r="M19" s="224">
        <f>L19*J19</f>
        <v>415346640.62339681</v>
      </c>
      <c r="N19" s="224">
        <f>M19+N18</f>
        <v>2009948906.4242496</v>
      </c>
      <c r="O19" s="232"/>
      <c r="P19" s="231">
        <f t="shared" si="1"/>
        <v>0.13189929653271049</v>
      </c>
      <c r="Q19" s="224">
        <f t="shared" si="2"/>
        <v>170150569.95278728</v>
      </c>
      <c r="R19" s="224">
        <f t="shared" si="11"/>
        <v>0</v>
      </c>
      <c r="S19" s="233"/>
      <c r="T19" s="188">
        <f t="shared" si="7"/>
        <v>415346640.62339681</v>
      </c>
      <c r="U19" s="188">
        <f t="shared" si="8"/>
        <v>0</v>
      </c>
      <c r="V19" s="188"/>
      <c r="W19" s="188"/>
      <c r="X19" s="188"/>
      <c r="Y19" s="357">
        <f t="shared" si="3"/>
        <v>1</v>
      </c>
      <c r="Z19" s="650">
        <f t="shared" si="9"/>
        <v>1290003619.621964</v>
      </c>
    </row>
    <row r="20" spans="1:34" ht="10.5" customHeight="1" x14ac:dyDescent="0.25">
      <c r="A20" s="234"/>
      <c r="B20" s="234"/>
      <c r="C20" s="234"/>
      <c r="D20" s="234"/>
      <c r="E20" s="234"/>
      <c r="F20" s="234"/>
      <c r="G20" s="234" t="s">
        <v>636</v>
      </c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180"/>
      <c r="T20" s="235"/>
      <c r="U20" s="235"/>
      <c r="V20" s="235"/>
      <c r="W20" s="235"/>
      <c r="X20" s="235"/>
      <c r="Y20" s="235"/>
      <c r="Z20" s="235"/>
    </row>
    <row r="21" spans="1:34" ht="10.5" customHeight="1" x14ac:dyDescent="0.25">
      <c r="E21" s="183"/>
      <c r="F21" s="183"/>
      <c r="G21" s="183"/>
      <c r="J21" s="183"/>
    </row>
    <row r="22" spans="1:34" ht="10.5" customHeight="1" x14ac:dyDescent="0.25">
      <c r="E22" s="183"/>
      <c r="F22" s="183"/>
      <c r="G22" s="183"/>
      <c r="J22" s="183"/>
    </row>
    <row r="23" spans="1:34" ht="10.5" customHeight="1" x14ac:dyDescent="0.25">
      <c r="C23" s="176"/>
      <c r="D23" s="237" t="s">
        <v>181</v>
      </c>
      <c r="J23" s="356" t="s">
        <v>647</v>
      </c>
      <c r="Q23" s="191" t="s">
        <v>653</v>
      </c>
    </row>
    <row r="24" spans="1:34" ht="10.5" customHeight="1" x14ac:dyDescent="0.2">
      <c r="C24" s="176"/>
      <c r="D24" s="241" t="s">
        <v>661</v>
      </c>
      <c r="G24" s="242">
        <f>M6*100</f>
        <v>12</v>
      </c>
      <c r="H24" s="214" t="s">
        <v>62</v>
      </c>
      <c r="J24" s="183" t="s">
        <v>648</v>
      </c>
      <c r="N24" s="420">
        <f>-1*X9</f>
        <v>3813317600</v>
      </c>
      <c r="O24" s="176" t="s">
        <v>641</v>
      </c>
      <c r="Q24" s="176" t="s">
        <v>654</v>
      </c>
      <c r="W24" s="353">
        <f>B14</f>
        <v>5</v>
      </c>
      <c r="X24" s="176" t="s">
        <v>521</v>
      </c>
    </row>
    <row r="25" spans="1:34" ht="10.5" customHeight="1" x14ac:dyDescent="0.2">
      <c r="C25" s="176"/>
      <c r="D25" s="241" t="s">
        <v>266</v>
      </c>
      <c r="G25" s="245">
        <f>-1*I9</f>
        <v>3813317600</v>
      </c>
      <c r="H25" s="214" t="s">
        <v>637</v>
      </c>
      <c r="J25" s="183" t="s">
        <v>649</v>
      </c>
      <c r="N25" s="353">
        <f>SUM(Z10:Z19)</f>
        <v>18086181845.68861</v>
      </c>
      <c r="O25" s="176" t="s">
        <v>641</v>
      </c>
      <c r="Q25" s="176" t="s">
        <v>655</v>
      </c>
      <c r="W25" s="353">
        <f>N14</f>
        <v>-518510036.03348076</v>
      </c>
      <c r="X25" s="176" t="s">
        <v>641</v>
      </c>
    </row>
    <row r="26" spans="1:34" ht="10.5" customHeight="1" x14ac:dyDescent="0.2">
      <c r="C26" s="176"/>
      <c r="D26" s="236" t="s">
        <v>81</v>
      </c>
      <c r="G26" s="246">
        <f>NPV(M6,H10:H19)-G25</f>
        <v>2009948906.4242496</v>
      </c>
      <c r="H26" s="214" t="s">
        <v>637</v>
      </c>
      <c r="J26" s="183" t="s">
        <v>650</v>
      </c>
      <c r="N26" s="421">
        <f>M6*100</f>
        <v>12</v>
      </c>
      <c r="O26" s="176" t="s">
        <v>60</v>
      </c>
      <c r="Q26" s="176" t="s">
        <v>656</v>
      </c>
      <c r="W26" s="353">
        <f>M15</f>
        <v>604934757.55123186</v>
      </c>
      <c r="X26" s="176" t="s">
        <v>641</v>
      </c>
    </row>
    <row r="27" spans="1:34" ht="10.5" customHeight="1" x14ac:dyDescent="0.2">
      <c r="C27" s="176"/>
      <c r="D27" s="241" t="s">
        <v>179</v>
      </c>
      <c r="G27" s="247">
        <f>IRR(J9:J19)*100</f>
        <v>22.454782727259449</v>
      </c>
      <c r="H27" s="214" t="s">
        <v>60</v>
      </c>
      <c r="J27" s="183" t="s">
        <v>651</v>
      </c>
      <c r="N27" s="353">
        <f>Assumption!E21</f>
        <v>10</v>
      </c>
      <c r="O27" s="176" t="s">
        <v>521</v>
      </c>
      <c r="Q27" s="176" t="s">
        <v>657</v>
      </c>
      <c r="W27" s="368">
        <f>W24-(W25/W26)</f>
        <v>5.8571338141197291</v>
      </c>
      <c r="X27" s="176" t="s">
        <v>521</v>
      </c>
    </row>
    <row r="28" spans="1:34" ht="10.5" customHeight="1" x14ac:dyDescent="0.25">
      <c r="C28" s="176"/>
      <c r="D28" s="178" t="s">
        <v>662</v>
      </c>
      <c r="G28" s="352">
        <f>MIRR(J9:J19,M6,M6)*100</f>
        <v>16.84345531428777</v>
      </c>
      <c r="H28" s="176" t="s">
        <v>60</v>
      </c>
      <c r="J28" s="183" t="s">
        <v>705</v>
      </c>
      <c r="N28" s="421">
        <f>100*((N25/N24)^(1/N27)-1)</f>
        <v>16.84345531428777</v>
      </c>
      <c r="O28" s="176" t="s">
        <v>60</v>
      </c>
    </row>
    <row r="29" spans="1:34" ht="10.5" customHeight="1" x14ac:dyDescent="0.2">
      <c r="C29" s="176"/>
      <c r="D29" s="241" t="s">
        <v>82</v>
      </c>
      <c r="G29" s="636">
        <f>N33</f>
        <v>1.5270866781262202</v>
      </c>
      <c r="H29" s="214"/>
      <c r="Q29" s="237" t="s">
        <v>262</v>
      </c>
    </row>
    <row r="30" spans="1:34" ht="10.5" customHeight="1" x14ac:dyDescent="0.25">
      <c r="C30" s="176"/>
      <c r="D30" s="241" t="s">
        <v>180</v>
      </c>
      <c r="G30" s="508">
        <f>W27-B9</f>
        <v>5.8571338141197291</v>
      </c>
      <c r="H30" s="236"/>
      <c r="J30" s="356" t="s">
        <v>658</v>
      </c>
      <c r="Q30" s="241" t="s">
        <v>710</v>
      </c>
      <c r="T30" s="421">
        <f>IncomeStatement!N34*100</f>
        <v>33.202989140120685</v>
      </c>
      <c r="U30" s="176" t="s">
        <v>60</v>
      </c>
    </row>
    <row r="31" spans="1:34" ht="10.5" customHeight="1" x14ac:dyDescent="0.25">
      <c r="E31" s="183"/>
      <c r="F31" s="183"/>
      <c r="G31" s="183"/>
      <c r="H31" s="178"/>
      <c r="J31" s="183" t="s">
        <v>659</v>
      </c>
      <c r="N31" s="353">
        <f>SUM(T10:T19)</f>
        <v>5823266506.4242506</v>
      </c>
      <c r="O31" s="176" t="s">
        <v>641</v>
      </c>
      <c r="Q31" s="241" t="s">
        <v>711</v>
      </c>
      <c r="T31" s="421">
        <f>IncomeStatement!N35*100</f>
        <v>20.093371469675724</v>
      </c>
      <c r="U31" s="176" t="s">
        <v>60</v>
      </c>
    </row>
    <row r="32" spans="1:34" ht="10.5" customHeight="1" x14ac:dyDescent="0.25">
      <c r="E32" s="183"/>
      <c r="F32" s="183"/>
      <c r="G32" s="743"/>
      <c r="J32" s="183" t="s">
        <v>660</v>
      </c>
      <c r="N32" s="353">
        <f>SUM(U9:U19)</f>
        <v>3813317600</v>
      </c>
      <c r="O32" s="176" t="s">
        <v>641</v>
      </c>
      <c r="Q32" s="241" t="s">
        <v>1255</v>
      </c>
      <c r="S32" s="422"/>
      <c r="T32" s="251">
        <f>IncomeStatement!N42*100</f>
        <v>50.024875044211591</v>
      </c>
      <c r="U32" s="176" t="s">
        <v>60</v>
      </c>
    </row>
    <row r="33" spans="1:24" ht="10.5" customHeight="1" x14ac:dyDescent="0.2">
      <c r="E33" s="183"/>
      <c r="F33" s="183"/>
      <c r="G33" s="623"/>
      <c r="J33" s="183" t="s">
        <v>82</v>
      </c>
      <c r="N33" s="635">
        <f>N31/N32</f>
        <v>1.5270866781262202</v>
      </c>
      <c r="Q33" s="237"/>
      <c r="T33" s="423"/>
      <c r="U33" s="198"/>
    </row>
    <row r="34" spans="1:24" ht="10.5" customHeight="1" x14ac:dyDescent="0.25">
      <c r="E34" s="183"/>
      <c r="F34" s="623"/>
      <c r="G34" s="743"/>
      <c r="R34" s="252"/>
      <c r="S34" s="241"/>
    </row>
    <row r="35" spans="1:24" ht="10.5" customHeight="1" x14ac:dyDescent="0.25">
      <c r="E35" s="183"/>
      <c r="F35" s="183"/>
      <c r="G35" s="744"/>
      <c r="J35" s="183"/>
      <c r="P35" s="241"/>
      <c r="R35" s="251"/>
      <c r="S35" s="212"/>
      <c r="U35" s="623"/>
    </row>
    <row r="36" spans="1:24" ht="10.5" customHeight="1" x14ac:dyDescent="0.25">
      <c r="E36" s="183"/>
      <c r="F36" s="183"/>
      <c r="G36" s="183"/>
      <c r="J36" s="183"/>
      <c r="P36" s="241"/>
      <c r="R36" s="251"/>
      <c r="S36" s="212"/>
    </row>
    <row r="37" spans="1:24" ht="10.5" customHeight="1" x14ac:dyDescent="0.2">
      <c r="E37" s="183"/>
      <c r="F37" s="183"/>
      <c r="G37" s="183"/>
      <c r="J37" s="183"/>
      <c r="P37" s="241"/>
      <c r="R37" s="253"/>
      <c r="S37" s="198"/>
    </row>
    <row r="38" spans="1:24" ht="10.5" customHeight="1" x14ac:dyDescent="0.25">
      <c r="E38" s="183"/>
      <c r="F38" s="183"/>
      <c r="G38" s="183"/>
      <c r="J38" s="183"/>
    </row>
    <row r="39" spans="1:24" ht="10.5" customHeight="1" x14ac:dyDescent="0.25">
      <c r="E39" s="183"/>
      <c r="F39" s="183"/>
      <c r="G39" s="183"/>
      <c r="J39" s="183"/>
    </row>
    <row r="40" spans="1:24" ht="10.5" customHeight="1" x14ac:dyDescent="0.25">
      <c r="E40" s="183"/>
      <c r="F40" s="183"/>
      <c r="G40" s="183"/>
      <c r="J40" s="183"/>
    </row>
    <row r="41" spans="1:24" ht="10.5" customHeight="1" x14ac:dyDescent="0.25">
      <c r="E41" s="183"/>
      <c r="F41" s="183"/>
      <c r="G41" s="183"/>
      <c r="J41" s="183"/>
    </row>
    <row r="42" spans="1:24" ht="10.5" customHeight="1" x14ac:dyDescent="0.25">
      <c r="E42" s="183"/>
      <c r="F42" s="183"/>
      <c r="G42" s="183"/>
      <c r="J42" s="183"/>
    </row>
    <row r="43" spans="1:24" ht="10.5" customHeight="1" x14ac:dyDescent="0.25">
      <c r="E43" s="183"/>
      <c r="F43" s="183"/>
      <c r="G43" s="183"/>
      <c r="J43" s="183"/>
    </row>
    <row r="44" spans="1:24" ht="10.5" customHeight="1" x14ac:dyDescent="0.25">
      <c r="A44" s="350" t="s">
        <v>638</v>
      </c>
    </row>
    <row r="45" spans="1:24" ht="10.5" customHeight="1" x14ac:dyDescent="0.25">
      <c r="A45" s="176"/>
    </row>
    <row r="46" spans="1:24" ht="10.5" customHeight="1" x14ac:dyDescent="0.25">
      <c r="A46" s="176"/>
      <c r="P46" s="752"/>
      <c r="Q46" s="752"/>
      <c r="R46" s="752"/>
      <c r="S46" s="752"/>
      <c r="T46" s="358"/>
      <c r="U46" s="359"/>
      <c r="V46" s="359"/>
      <c r="W46" s="359"/>
      <c r="X46" s="359"/>
    </row>
    <row r="47" spans="1:24" ht="10.5" customHeight="1" x14ac:dyDescent="0.25">
      <c r="A47" s="176"/>
      <c r="P47" s="750"/>
      <c r="Q47" s="750"/>
      <c r="R47" s="750"/>
      <c r="S47" s="750"/>
      <c r="T47" s="221"/>
      <c r="U47" s="221"/>
      <c r="V47" s="360"/>
      <c r="W47" s="221"/>
      <c r="X47" s="221"/>
    </row>
    <row r="48" spans="1:24" ht="10.5" customHeight="1" x14ac:dyDescent="0.25">
      <c r="A48" s="176"/>
      <c r="P48" s="751"/>
      <c r="Q48" s="751"/>
      <c r="R48" s="751"/>
      <c r="S48" s="751"/>
      <c r="T48" s="221"/>
      <c r="U48" s="351"/>
      <c r="V48" s="360"/>
      <c r="W48" s="351"/>
      <c r="X48" s="351"/>
    </row>
    <row r="49" spans="1:24" ht="10.5" customHeight="1" x14ac:dyDescent="0.25">
      <c r="A49" s="176"/>
      <c r="P49" s="751"/>
      <c r="Q49" s="751"/>
      <c r="R49" s="751"/>
      <c r="S49" s="751"/>
      <c r="T49" s="221"/>
      <c r="U49" s="351"/>
      <c r="V49" s="360"/>
      <c r="W49" s="351"/>
      <c r="X49" s="351"/>
    </row>
    <row r="50" spans="1:24" ht="10.5" customHeight="1" x14ac:dyDescent="0.25">
      <c r="A50" s="176"/>
      <c r="P50" s="751"/>
      <c r="Q50" s="751"/>
      <c r="R50" s="751"/>
      <c r="S50" s="751"/>
      <c r="T50" s="221"/>
      <c r="U50" s="361"/>
      <c r="V50" s="362"/>
      <c r="W50" s="361"/>
      <c r="X50" s="363"/>
    </row>
    <row r="51" spans="1:24" ht="10.5" customHeight="1" x14ac:dyDescent="0.25">
      <c r="H51" s="236"/>
      <c r="P51" s="751"/>
      <c r="Q51" s="751"/>
      <c r="R51" s="751"/>
      <c r="S51" s="751"/>
      <c r="T51" s="221"/>
      <c r="U51" s="351"/>
      <c r="V51" s="360"/>
      <c r="W51" s="364"/>
      <c r="X51" s="364"/>
    </row>
    <row r="52" spans="1:24" ht="10.5" customHeight="1" x14ac:dyDescent="0.25">
      <c r="H52" s="236"/>
      <c r="P52" s="751"/>
      <c r="Q52" s="751"/>
      <c r="R52" s="751"/>
      <c r="S52" s="751"/>
      <c r="T52" s="221"/>
      <c r="U52" s="365"/>
      <c r="V52" s="366"/>
      <c r="W52" s="365"/>
      <c r="X52" s="367"/>
    </row>
    <row r="53" spans="1:24" ht="10.5" customHeight="1" x14ac:dyDescent="0.25">
      <c r="P53" s="751"/>
      <c r="Q53" s="751"/>
      <c r="R53" s="751"/>
      <c r="S53" s="751"/>
      <c r="T53" s="221"/>
      <c r="U53" s="221"/>
      <c r="V53" s="368"/>
      <c r="W53" s="221"/>
      <c r="X53" s="221"/>
    </row>
    <row r="54" spans="1:24" ht="10.5" customHeight="1" x14ac:dyDescent="0.25">
      <c r="A54" s="176"/>
      <c r="B54" s="176"/>
    </row>
    <row r="55" spans="1:24" ht="10.5" customHeight="1" x14ac:dyDescent="0.25">
      <c r="A55" s="176"/>
      <c r="B55" s="176"/>
      <c r="C55" s="241"/>
    </row>
    <row r="56" spans="1:24" ht="10.5" customHeight="1" x14ac:dyDescent="0.25">
      <c r="A56" s="176"/>
      <c r="B56" s="176"/>
      <c r="C56" s="241"/>
      <c r="L56" s="338" t="s">
        <v>163</v>
      </c>
      <c r="M56" s="239"/>
      <c r="N56" s="239"/>
      <c r="O56" s="341"/>
      <c r="P56" s="240"/>
      <c r="R56" s="338" t="s">
        <v>163</v>
      </c>
      <c r="S56" s="239"/>
      <c r="T56" s="238" t="s">
        <v>129</v>
      </c>
      <c r="U56" s="240"/>
      <c r="V56" s="243"/>
      <c r="W56" s="243"/>
      <c r="X56" s="243"/>
    </row>
    <row r="57" spans="1:24" ht="10.5" customHeight="1" x14ac:dyDescent="0.25">
      <c r="A57" s="176"/>
      <c r="B57" s="176"/>
      <c r="C57" s="241"/>
      <c r="L57" s="339" t="s">
        <v>606</v>
      </c>
      <c r="M57" s="243"/>
      <c r="N57" s="243"/>
      <c r="O57" s="343" t="s">
        <v>607</v>
      </c>
      <c r="P57" s="244"/>
      <c r="R57" s="339" t="s">
        <v>606</v>
      </c>
      <c r="S57" s="243"/>
      <c r="T57" s="342" t="s">
        <v>129</v>
      </c>
      <c r="U57" s="345" t="s">
        <v>607</v>
      </c>
      <c r="V57" s="343"/>
      <c r="W57" s="343"/>
      <c r="X57" s="343"/>
    </row>
    <row r="58" spans="1:24" ht="10.5" customHeight="1" x14ac:dyDescent="0.25">
      <c r="A58" s="176"/>
      <c r="B58" s="176"/>
      <c r="C58" s="241"/>
      <c r="L58" s="339" t="s">
        <v>283</v>
      </c>
      <c r="M58" s="243"/>
      <c r="N58" s="243"/>
      <c r="O58" s="343"/>
      <c r="P58" s="244"/>
      <c r="R58" s="339" t="s">
        <v>283</v>
      </c>
      <c r="S58" s="243"/>
      <c r="T58" s="344" t="s">
        <v>129</v>
      </c>
      <c r="U58" s="345"/>
      <c r="V58" s="343"/>
      <c r="W58" s="343"/>
      <c r="X58" s="343"/>
    </row>
    <row r="59" spans="1:24" ht="10.5" customHeight="1" x14ac:dyDescent="0.25">
      <c r="A59" s="176"/>
      <c r="B59" s="176"/>
      <c r="C59" s="241"/>
      <c r="L59" s="339" t="s">
        <v>149</v>
      </c>
      <c r="M59" s="243"/>
      <c r="N59" s="243"/>
      <c r="O59" s="343" t="s">
        <v>607</v>
      </c>
      <c r="P59" s="244"/>
      <c r="R59" s="339" t="s">
        <v>149</v>
      </c>
      <c r="S59" s="243"/>
      <c r="T59" s="342" t="s">
        <v>129</v>
      </c>
      <c r="U59" s="345" t="s">
        <v>607</v>
      </c>
      <c r="V59" s="343"/>
      <c r="W59" s="343"/>
      <c r="X59" s="343"/>
    </row>
    <row r="60" spans="1:24" ht="10.5" customHeight="1" x14ac:dyDescent="0.25">
      <c r="A60" s="176"/>
      <c r="B60" s="176"/>
      <c r="C60" s="212"/>
      <c r="L60" s="339" t="s">
        <v>612</v>
      </c>
      <c r="M60" s="243"/>
      <c r="N60" s="243"/>
      <c r="O60" s="343"/>
      <c r="P60" s="244"/>
      <c r="R60" s="339" t="s">
        <v>610</v>
      </c>
      <c r="S60" s="243"/>
      <c r="T60" s="344" t="s">
        <v>129</v>
      </c>
      <c r="U60" s="345"/>
      <c r="V60" s="343"/>
      <c r="W60" s="343"/>
      <c r="X60" s="343"/>
    </row>
    <row r="61" spans="1:24" ht="10.5" customHeight="1" x14ac:dyDescent="0.25">
      <c r="A61" s="176"/>
      <c r="B61" s="176"/>
      <c r="C61" s="212"/>
      <c r="L61" s="339" t="s">
        <v>356</v>
      </c>
      <c r="M61" s="243"/>
      <c r="N61" s="243"/>
      <c r="O61" s="343" t="s">
        <v>607</v>
      </c>
      <c r="P61" s="244"/>
      <c r="R61" s="339" t="s">
        <v>608</v>
      </c>
      <c r="S61" s="243"/>
      <c r="T61" s="342" t="s">
        <v>129</v>
      </c>
      <c r="U61" s="345" t="s">
        <v>607</v>
      </c>
      <c r="V61" s="343"/>
      <c r="W61" s="343"/>
      <c r="X61" s="343"/>
    </row>
    <row r="62" spans="1:24" ht="10.5" customHeight="1" x14ac:dyDescent="0.25">
      <c r="A62" s="176"/>
      <c r="B62" s="176"/>
      <c r="L62" s="339" t="s">
        <v>80</v>
      </c>
      <c r="M62" s="243"/>
      <c r="N62" s="243"/>
      <c r="O62" s="343"/>
      <c r="P62" s="244"/>
      <c r="R62" s="339" t="s">
        <v>609</v>
      </c>
      <c r="S62" s="243"/>
      <c r="T62" s="344" t="s">
        <v>129</v>
      </c>
      <c r="U62" s="345"/>
      <c r="V62" s="343"/>
      <c r="W62" s="343"/>
      <c r="X62" s="343"/>
    </row>
    <row r="63" spans="1:24" ht="10.5" customHeight="1" x14ac:dyDescent="0.25">
      <c r="L63" s="339" t="s">
        <v>611</v>
      </c>
      <c r="M63" s="243"/>
      <c r="N63" s="243"/>
      <c r="O63" s="343" t="s">
        <v>607</v>
      </c>
      <c r="P63" s="244"/>
      <c r="R63" s="339" t="s">
        <v>356</v>
      </c>
      <c r="S63" s="243"/>
      <c r="T63" s="342" t="s">
        <v>129</v>
      </c>
      <c r="U63" s="345" t="s">
        <v>607</v>
      </c>
      <c r="V63" s="343"/>
      <c r="W63" s="343"/>
      <c r="X63" s="343"/>
    </row>
    <row r="64" spans="1:24" ht="10.5" customHeight="1" x14ac:dyDescent="0.25">
      <c r="A64" s="176"/>
      <c r="L64" s="339" t="s">
        <v>171</v>
      </c>
      <c r="M64" s="243"/>
      <c r="N64" s="243"/>
      <c r="O64" s="343" t="s">
        <v>607</v>
      </c>
      <c r="P64" s="244"/>
      <c r="R64" s="339" t="s">
        <v>80</v>
      </c>
      <c r="S64" s="243"/>
      <c r="T64" s="344" t="s">
        <v>129</v>
      </c>
      <c r="U64" s="345"/>
      <c r="V64" s="343"/>
      <c r="W64" s="343"/>
      <c r="X64" s="343"/>
    </row>
    <row r="65" spans="12:24" ht="10.5" customHeight="1" x14ac:dyDescent="0.25">
      <c r="L65" s="336"/>
      <c r="M65" s="243"/>
      <c r="N65" s="243"/>
      <c r="O65" s="243"/>
      <c r="P65" s="244"/>
      <c r="R65" s="339" t="s">
        <v>611</v>
      </c>
      <c r="S65" s="243"/>
      <c r="T65" s="342" t="s">
        <v>129</v>
      </c>
      <c r="U65" s="345" t="s">
        <v>607</v>
      </c>
      <c r="V65" s="343"/>
      <c r="W65" s="343"/>
      <c r="X65" s="343"/>
    </row>
    <row r="66" spans="12:24" ht="10.5" customHeight="1" x14ac:dyDescent="0.25">
      <c r="L66" s="337"/>
      <c r="M66" s="249"/>
      <c r="N66" s="249"/>
      <c r="O66" s="249"/>
      <c r="P66" s="250"/>
      <c r="R66" s="340" t="s">
        <v>171</v>
      </c>
      <c r="S66" s="249"/>
      <c r="T66" s="248" t="s">
        <v>129</v>
      </c>
      <c r="U66" s="346" t="s">
        <v>607</v>
      </c>
      <c r="V66" s="343"/>
      <c r="W66" s="343"/>
      <c r="X66" s="343"/>
    </row>
    <row r="67" spans="12:24" ht="10.5" customHeight="1" x14ac:dyDescent="0.25">
      <c r="T67" s="335"/>
    </row>
    <row r="68" spans="12:24" ht="10.5" customHeight="1" x14ac:dyDescent="0.25">
      <c r="L68" s="338" t="s">
        <v>613</v>
      </c>
      <c r="M68" s="239"/>
      <c r="N68" s="239"/>
      <c r="O68" s="239"/>
      <c r="P68" s="240"/>
      <c r="R68" s="338" t="s">
        <v>613</v>
      </c>
      <c r="S68" s="239"/>
      <c r="T68" s="240"/>
    </row>
    <row r="69" spans="12:24" ht="10.5" customHeight="1" x14ac:dyDescent="0.25">
      <c r="L69" s="339"/>
      <c r="M69" s="243" t="s">
        <v>615</v>
      </c>
      <c r="N69" s="243"/>
      <c r="O69" s="243"/>
      <c r="P69" s="244"/>
      <c r="R69" s="339"/>
      <c r="S69" s="243"/>
      <c r="T69" s="244"/>
    </row>
    <row r="70" spans="12:24" ht="10.5" customHeight="1" x14ac:dyDescent="0.25">
      <c r="L70" s="339"/>
      <c r="M70" s="243" t="s">
        <v>616</v>
      </c>
      <c r="N70" s="243"/>
      <c r="O70" s="243"/>
      <c r="P70" s="244"/>
      <c r="R70" s="339"/>
      <c r="S70" s="243"/>
      <c r="T70" s="244"/>
    </row>
    <row r="71" spans="12:24" ht="10.5" customHeight="1" x14ac:dyDescent="0.25">
      <c r="L71" s="339"/>
      <c r="M71" s="243" t="s">
        <v>617</v>
      </c>
      <c r="N71" s="243"/>
      <c r="O71" s="243"/>
      <c r="P71" s="244"/>
      <c r="R71" s="339"/>
      <c r="S71" s="243"/>
      <c r="T71" s="244"/>
    </row>
    <row r="72" spans="12:24" ht="10.5" customHeight="1" x14ac:dyDescent="0.25">
      <c r="L72" s="339"/>
      <c r="M72" s="243" t="s">
        <v>499</v>
      </c>
      <c r="N72" s="243"/>
      <c r="O72" s="243"/>
      <c r="P72" s="244"/>
      <c r="R72" s="339"/>
      <c r="S72" s="243"/>
      <c r="T72" s="244"/>
    </row>
    <row r="73" spans="12:24" ht="10.5" customHeight="1" x14ac:dyDescent="0.25">
      <c r="L73" s="339" t="s">
        <v>618</v>
      </c>
      <c r="M73" s="243"/>
      <c r="N73" s="243"/>
      <c r="O73" s="243"/>
      <c r="P73" s="244"/>
      <c r="R73" s="340" t="s">
        <v>614</v>
      </c>
      <c r="S73" s="249"/>
      <c r="T73" s="250"/>
    </row>
    <row r="74" spans="12:24" ht="10.5" customHeight="1" x14ac:dyDescent="0.25">
      <c r="L74" s="336"/>
      <c r="M74" s="243" t="s">
        <v>615</v>
      </c>
      <c r="N74" s="243"/>
      <c r="O74" s="243"/>
      <c r="P74" s="244"/>
    </row>
    <row r="75" spans="12:24" ht="10.5" customHeight="1" x14ac:dyDescent="0.25">
      <c r="L75" s="337"/>
      <c r="M75" s="249" t="s">
        <v>617</v>
      </c>
      <c r="N75" s="249"/>
      <c r="O75" s="249"/>
      <c r="P75" s="250"/>
    </row>
  </sheetData>
  <mergeCells count="19">
    <mergeCell ref="W6:Z6"/>
    <mergeCell ref="P47:S47"/>
    <mergeCell ref="P53:S53"/>
    <mergeCell ref="P52:S52"/>
    <mergeCell ref="P51:S51"/>
    <mergeCell ref="P50:S50"/>
    <mergeCell ref="P49:S49"/>
    <mergeCell ref="P48:S48"/>
    <mergeCell ref="P46:S46"/>
    <mergeCell ref="T6:U6"/>
    <mergeCell ref="P6:Q6"/>
    <mergeCell ref="A10:A19"/>
    <mergeCell ref="A6:B8"/>
    <mergeCell ref="J6:J7"/>
    <mergeCell ref="I6:I7"/>
    <mergeCell ref="D6:D7"/>
    <mergeCell ref="E6:E7"/>
    <mergeCell ref="G6:G7"/>
    <mergeCell ref="H6:H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W50"/>
  <sheetViews>
    <sheetView showGridLines="0" zoomScaleNormal="100" workbookViewId="0">
      <pane ySplit="6" topLeftCell="A7" activePane="bottomLeft" state="frozen"/>
      <selection pane="bottomLeft" activeCell="V8" sqref="V8"/>
    </sheetView>
  </sheetViews>
  <sheetFormatPr defaultColWidth="9.125" defaultRowHeight="11.25" x14ac:dyDescent="0.25"/>
  <cols>
    <col min="1" max="1" width="2.75" style="285" customWidth="1"/>
    <col min="2" max="2" width="17.25" style="285" customWidth="1"/>
    <col min="3" max="3" width="8.125" style="285" bestFit="1" customWidth="1"/>
    <col min="4" max="4" width="14.25" style="285" customWidth="1"/>
    <col min="5" max="5" width="4.625" style="266" customWidth="1"/>
    <col min="6" max="6" width="3.625" style="285" customWidth="1"/>
    <col min="7" max="7" width="15.625" style="285" bestFit="1" customWidth="1"/>
    <col min="8" max="8" width="16.125" style="430" customWidth="1"/>
    <col min="9" max="9" width="13" style="291" customWidth="1"/>
    <col min="10" max="10" width="12.5" style="285" customWidth="1"/>
    <col min="11" max="11" width="2.75" style="285" customWidth="1"/>
    <col min="12" max="12" width="5.625" style="285" customWidth="1"/>
    <col min="13" max="13" width="9.125" style="285"/>
    <col min="14" max="14" width="9.375" style="285" bestFit="1" customWidth="1"/>
    <col min="15" max="16" width="9.125" style="285" bestFit="1" customWidth="1"/>
    <col min="17" max="17" width="9.25" style="285" customWidth="1"/>
    <col min="18" max="18" width="9.375" style="285" bestFit="1" customWidth="1"/>
    <col min="19" max="19" width="10.375" style="285" customWidth="1"/>
    <col min="20" max="21" width="9.375" style="285" bestFit="1" customWidth="1"/>
    <col min="22" max="22" width="9.375" style="285" customWidth="1"/>
    <col min="23" max="23" width="15.125" style="285" bestFit="1" customWidth="1"/>
    <col min="24" max="24" width="9.125" style="285"/>
    <col min="25" max="25" width="13.125" style="285" bestFit="1" customWidth="1"/>
    <col min="26" max="16384" width="9.125" style="285"/>
  </cols>
  <sheetData>
    <row r="1" spans="1:23" x14ac:dyDescent="0.2">
      <c r="A1" s="545" t="str">
        <f>Assumption!A1</f>
        <v>Bisnis Truk Thermoking</v>
      </c>
    </row>
    <row r="2" spans="1:23" x14ac:dyDescent="0.2">
      <c r="A2" s="286" t="str">
        <f>[1]Assumption!A2</f>
        <v>Financial Pre-Feasibility Study</v>
      </c>
    </row>
    <row r="3" spans="1:23" x14ac:dyDescent="0.25">
      <c r="A3" s="287" t="s">
        <v>727</v>
      </c>
    </row>
    <row r="5" spans="1:23" x14ac:dyDescent="0.25">
      <c r="M5" s="300" t="s">
        <v>973</v>
      </c>
      <c r="W5" s="304" t="s">
        <v>587</v>
      </c>
    </row>
    <row r="6" spans="1:23" ht="22.15" customHeight="1" x14ac:dyDescent="0.25">
      <c r="A6" s="258" t="s">
        <v>547</v>
      </c>
      <c r="B6" s="276"/>
      <c r="C6" s="276"/>
      <c r="D6" s="276"/>
      <c r="F6" s="258" t="s">
        <v>968</v>
      </c>
      <c r="G6" s="276"/>
      <c r="H6" s="500"/>
      <c r="I6" s="499"/>
      <c r="J6" s="276"/>
      <c r="K6" s="276"/>
      <c r="M6" s="227" t="s">
        <v>972</v>
      </c>
      <c r="N6" s="372" t="str">
        <f>G7</f>
        <v>Solar BTJ -JKT</v>
      </c>
      <c r="O6" s="372" t="str">
        <f>G15</f>
        <v>Solar JKT -MDN - BTJ</v>
      </c>
      <c r="P6" s="372" t="str">
        <f>G22</f>
        <v>Gaji Driver</v>
      </c>
      <c r="Q6" s="372" t="str">
        <f>G26</f>
        <v>Penyebrangan</v>
      </c>
      <c r="R6" s="372" t="str">
        <f>G30</f>
        <v xml:space="preserve">Biaya Tol </v>
      </c>
      <c r="S6" s="227" t="s">
        <v>519</v>
      </c>
    </row>
    <row r="7" spans="1:23" x14ac:dyDescent="0.25">
      <c r="A7" s="219" t="s">
        <v>150</v>
      </c>
      <c r="B7" s="547" t="str">
        <f>Assumption!A14</f>
        <v>Volume Pengiriman</v>
      </c>
      <c r="C7" s="491">
        <f>Assumption!E14</f>
        <v>20000</v>
      </c>
      <c r="D7" s="285" t="str">
        <f>Assumption!F14</f>
        <v>Kg/trip</v>
      </c>
      <c r="F7" s="285" t="s">
        <v>150</v>
      </c>
      <c r="G7" s="285" t="s">
        <v>1071</v>
      </c>
      <c r="H7" s="430" t="s">
        <v>1075</v>
      </c>
      <c r="I7" s="291">
        <f>Assumption!C55</f>
        <v>2493</v>
      </c>
      <c r="J7" s="285" t="s">
        <v>1046</v>
      </c>
      <c r="M7" s="290">
        <v>1</v>
      </c>
      <c r="N7" s="292">
        <f>I14</f>
        <v>406857600</v>
      </c>
      <c r="O7" s="292">
        <f>I21</f>
        <v>410448000</v>
      </c>
      <c r="P7" s="292">
        <f>I25</f>
        <v>480000000</v>
      </c>
      <c r="Q7" s="292">
        <f>I29</f>
        <v>196800000</v>
      </c>
      <c r="R7" s="292">
        <f>I33</f>
        <v>103344000</v>
      </c>
      <c r="S7" s="292">
        <f>SUM(N7:R7)</f>
        <v>1597449600</v>
      </c>
      <c r="T7" s="606">
        <f>S7/2</f>
        <v>798724800</v>
      </c>
      <c r="U7" s="606">
        <f>T7/12</f>
        <v>66560400</v>
      </c>
      <c r="V7" s="606">
        <f>U7/4</f>
        <v>16640100</v>
      </c>
    </row>
    <row r="8" spans="1:23" x14ac:dyDescent="0.25">
      <c r="A8" s="285" t="s">
        <v>151</v>
      </c>
      <c r="B8" s="285" t="s">
        <v>1161</v>
      </c>
      <c r="C8" s="285">
        <f>Assumption!E8</f>
        <v>12</v>
      </c>
      <c r="D8" s="285" t="s">
        <v>550</v>
      </c>
      <c r="E8" s="306"/>
      <c r="F8" s="289"/>
      <c r="G8" s="289"/>
      <c r="H8" s="430" t="s">
        <v>1076</v>
      </c>
      <c r="I8" s="548" t="str">
        <f>Assumption!C56</f>
        <v xml:space="preserve"> 1:2</v>
      </c>
      <c r="J8" s="285" t="s">
        <v>1157</v>
      </c>
      <c r="K8" s="292"/>
      <c r="L8" s="292"/>
      <c r="M8" s="290">
        <f>M7+1</f>
        <v>2</v>
      </c>
      <c r="N8" s="293">
        <f>N7*(1+$O$22)</f>
        <v>414994752</v>
      </c>
      <c r="O8" s="293">
        <f t="shared" ref="O8:O16" si="0">O7*(1+$O$23)</f>
        <v>418656960</v>
      </c>
      <c r="P8" s="293">
        <f t="shared" ref="P8:P16" si="1">P7*(1+$O$24)</f>
        <v>489600000</v>
      </c>
      <c r="Q8" s="293">
        <f t="shared" ref="Q8:Q16" si="2">Q7*(1+$O$25)</f>
        <v>200736000</v>
      </c>
      <c r="R8" s="293">
        <f t="shared" ref="R8:R16" si="3">R7*(1+$O$26)</f>
        <v>105410880</v>
      </c>
      <c r="S8" s="292">
        <f t="shared" ref="S8:S16" si="4">SUM(N8:R8)</f>
        <v>1629398592</v>
      </c>
    </row>
    <row r="9" spans="1:23" x14ac:dyDescent="0.25">
      <c r="A9" s="219" t="s">
        <v>152</v>
      </c>
      <c r="B9" s="549" t="str">
        <f>Assumption!A11</f>
        <v>Jumlah trip</v>
      </c>
      <c r="C9" s="622">
        <v>4</v>
      </c>
      <c r="D9" s="285" t="str">
        <f>Assumption!F11</f>
        <v>trip/bulan</v>
      </c>
      <c r="E9" s="492"/>
      <c r="F9" s="389"/>
      <c r="G9" s="389"/>
      <c r="H9" s="448" t="s">
        <v>1077</v>
      </c>
      <c r="I9" s="291">
        <f>Assumption!C57</f>
        <v>1246.5</v>
      </c>
      <c r="J9" s="288" t="s">
        <v>1085</v>
      </c>
      <c r="K9" s="292"/>
      <c r="L9" s="292"/>
      <c r="M9" s="290">
        <f t="shared" ref="M9:M16" si="5">M8+1</f>
        <v>3</v>
      </c>
      <c r="N9" s="293">
        <f>N8*(1+$O$22)</f>
        <v>423294647.04000002</v>
      </c>
      <c r="O9" s="293">
        <f t="shared" si="0"/>
        <v>427030099.19999999</v>
      </c>
      <c r="P9" s="293">
        <f t="shared" si="1"/>
        <v>499392000</v>
      </c>
      <c r="Q9" s="293">
        <f t="shared" si="2"/>
        <v>204750720</v>
      </c>
      <c r="R9" s="293">
        <f t="shared" si="3"/>
        <v>107519097.60000001</v>
      </c>
      <c r="S9" s="292">
        <f t="shared" si="4"/>
        <v>1661986563.8399999</v>
      </c>
    </row>
    <row r="10" spans="1:23" x14ac:dyDescent="0.2">
      <c r="B10" s="206" t="s">
        <v>1162</v>
      </c>
      <c r="C10" s="550">
        <f>Assumption!E12</f>
        <v>2</v>
      </c>
      <c r="D10" s="285" t="str">
        <f>Assumption!F12</f>
        <v>trip/bulan</v>
      </c>
      <c r="E10" s="493"/>
      <c r="F10" s="390"/>
      <c r="G10" s="390"/>
      <c r="H10" s="448" t="s">
        <v>1078</v>
      </c>
      <c r="I10" s="291">
        <f>Assumption!C54</f>
        <v>6800</v>
      </c>
      <c r="J10" s="288" t="s">
        <v>969</v>
      </c>
      <c r="K10" s="292"/>
      <c r="L10" s="292"/>
      <c r="M10" s="290">
        <f t="shared" si="5"/>
        <v>4</v>
      </c>
      <c r="N10" s="293">
        <f>N9*(1+$O$22)</f>
        <v>431760539.98080003</v>
      </c>
      <c r="O10" s="293">
        <f t="shared" si="0"/>
        <v>435570701.18400002</v>
      </c>
      <c r="P10" s="293">
        <f t="shared" si="1"/>
        <v>509379840</v>
      </c>
      <c r="Q10" s="293">
        <f t="shared" si="2"/>
        <v>208845734.40000001</v>
      </c>
      <c r="R10" s="293">
        <f t="shared" si="3"/>
        <v>109669479.55200002</v>
      </c>
      <c r="S10" s="292">
        <f t="shared" si="4"/>
        <v>1695226295.1168003</v>
      </c>
    </row>
    <row r="11" spans="1:23" x14ac:dyDescent="0.2">
      <c r="B11" s="206" t="s">
        <v>1163</v>
      </c>
      <c r="C11" s="285">
        <f>Assumption!E13</f>
        <v>2</v>
      </c>
      <c r="D11" s="285" t="str">
        <f>Assumption!F13</f>
        <v>trip/bulan</v>
      </c>
      <c r="E11" s="492"/>
      <c r="F11" s="389"/>
      <c r="G11" s="389"/>
      <c r="H11" s="448" t="s">
        <v>971</v>
      </c>
      <c r="I11" s="291">
        <f>I9*I10</f>
        <v>8476200</v>
      </c>
      <c r="J11" s="288" t="s">
        <v>1159</v>
      </c>
      <c r="K11" s="292"/>
      <c r="L11" s="292"/>
      <c r="M11" s="290">
        <f t="shared" si="5"/>
        <v>5</v>
      </c>
      <c r="N11" s="293">
        <f>N10*(1+$O$22)</f>
        <v>440395750.78041601</v>
      </c>
      <c r="O11" s="293">
        <f t="shared" si="0"/>
        <v>444282115.20768005</v>
      </c>
      <c r="P11" s="293">
        <f t="shared" si="1"/>
        <v>519567436.80000001</v>
      </c>
      <c r="Q11" s="293">
        <f t="shared" si="2"/>
        <v>213022649.088</v>
      </c>
      <c r="R11" s="293">
        <f t="shared" si="3"/>
        <v>111862869.14304002</v>
      </c>
      <c r="S11" s="292">
        <f t="shared" si="4"/>
        <v>1729130821.019136</v>
      </c>
    </row>
    <row r="12" spans="1:23" x14ac:dyDescent="0.25">
      <c r="A12" s="219" t="s">
        <v>153</v>
      </c>
      <c r="B12" s="285" t="str">
        <f>Assumption!A9</f>
        <v>Waktu Perjalanan</v>
      </c>
      <c r="C12" s="550">
        <f>Assumption!E9</f>
        <v>5</v>
      </c>
      <c r="D12" s="291" t="str">
        <f>Assumption!F9</f>
        <v>hari/trip BTJ - JKT</v>
      </c>
      <c r="H12" s="448"/>
      <c r="I12" s="291">
        <f>(I11*C10)</f>
        <v>16952400</v>
      </c>
      <c r="J12" s="288" t="s">
        <v>1160</v>
      </c>
      <c r="K12" s="292"/>
      <c r="L12" s="292"/>
      <c r="M12" s="290">
        <f t="shared" si="5"/>
        <v>6</v>
      </c>
      <c r="N12" s="293">
        <f>N11*(1+$O$22)</f>
        <v>449203665.79602432</v>
      </c>
      <c r="O12" s="293">
        <f t="shared" si="0"/>
        <v>453167757.51183367</v>
      </c>
      <c r="P12" s="293">
        <f t="shared" si="1"/>
        <v>529958785.53600001</v>
      </c>
      <c r="Q12" s="293">
        <f t="shared" si="2"/>
        <v>217283102.06975999</v>
      </c>
      <c r="R12" s="293">
        <f t="shared" si="3"/>
        <v>114100126.52590083</v>
      </c>
      <c r="S12" s="292">
        <f t="shared" si="4"/>
        <v>1763713437.4395189</v>
      </c>
    </row>
    <row r="13" spans="1:23" x14ac:dyDescent="0.25">
      <c r="A13" s="219" t="s">
        <v>154</v>
      </c>
      <c r="B13" s="285" t="str">
        <f>B12</f>
        <v>Waktu Perjalanan</v>
      </c>
      <c r="C13" s="496">
        <f>Assumption!E10</f>
        <v>7</v>
      </c>
      <c r="D13" s="291" t="str">
        <f>Assumption!F10</f>
        <v>hari/trip JKT - MDN - BTJ</v>
      </c>
      <c r="E13" s="492"/>
      <c r="H13" s="448"/>
      <c r="I13" s="291">
        <f>I12*C8</f>
        <v>203428800</v>
      </c>
      <c r="J13" s="288" t="s">
        <v>1158</v>
      </c>
      <c r="K13" s="299"/>
      <c r="L13" s="299"/>
      <c r="M13" s="290">
        <f t="shared" si="5"/>
        <v>7</v>
      </c>
      <c r="N13" s="293">
        <f t="shared" ref="N13:N16" si="6">N12*(1+$O$22)</f>
        <v>458187739.11194479</v>
      </c>
      <c r="O13" s="293">
        <f t="shared" si="0"/>
        <v>462231112.66207033</v>
      </c>
      <c r="P13" s="293">
        <f t="shared" si="1"/>
        <v>540557961.24672008</v>
      </c>
      <c r="Q13" s="293">
        <f t="shared" si="2"/>
        <v>221628764.11115521</v>
      </c>
      <c r="R13" s="293">
        <f t="shared" si="3"/>
        <v>116382129.05641885</v>
      </c>
      <c r="S13" s="292">
        <f t="shared" si="4"/>
        <v>1798987706.1883094</v>
      </c>
    </row>
    <row r="14" spans="1:23" x14ac:dyDescent="0.25">
      <c r="A14" s="219" t="s">
        <v>155</v>
      </c>
      <c r="B14" s="285" t="s">
        <v>1165</v>
      </c>
      <c r="C14" s="496">
        <f>Assumption!E7</f>
        <v>2</v>
      </c>
      <c r="D14" s="393" t="s">
        <v>1088</v>
      </c>
      <c r="E14" s="492"/>
      <c r="F14" s="620"/>
      <c r="G14" s="620"/>
      <c r="H14" s="495" t="s">
        <v>23</v>
      </c>
      <c r="I14" s="497">
        <f>I13*C14</f>
        <v>406857600</v>
      </c>
      <c r="J14" s="498" t="s">
        <v>589</v>
      </c>
      <c r="K14" s="299"/>
      <c r="L14" s="299"/>
      <c r="M14" s="290">
        <f t="shared" si="5"/>
        <v>8</v>
      </c>
      <c r="N14" s="293">
        <f t="shared" si="6"/>
        <v>467351493.8941837</v>
      </c>
      <c r="O14" s="293">
        <f t="shared" si="0"/>
        <v>471475734.91531175</v>
      </c>
      <c r="P14" s="293">
        <f t="shared" si="1"/>
        <v>551369120.47165453</v>
      </c>
      <c r="Q14" s="293">
        <f t="shared" si="2"/>
        <v>226061339.39337832</v>
      </c>
      <c r="R14" s="293">
        <f t="shared" si="3"/>
        <v>118709771.63754722</v>
      </c>
      <c r="S14" s="292">
        <f t="shared" si="4"/>
        <v>1834967460.3120754</v>
      </c>
    </row>
    <row r="15" spans="1:23" x14ac:dyDescent="0.25">
      <c r="A15" s="285" t="s">
        <v>1164</v>
      </c>
      <c r="B15" s="289" t="s">
        <v>974</v>
      </c>
      <c r="C15" s="289"/>
      <c r="E15" s="492"/>
      <c r="F15" s="285" t="s">
        <v>151</v>
      </c>
      <c r="G15" s="285" t="s">
        <v>1072</v>
      </c>
      <c r="H15" s="430" t="s">
        <v>1079</v>
      </c>
      <c r="I15" s="291">
        <f>Assumption!C59+Assumption!C60</f>
        <v>2515</v>
      </c>
      <c r="J15" s="285" t="s">
        <v>1046</v>
      </c>
      <c r="K15" s="299"/>
      <c r="L15" s="299"/>
      <c r="M15" s="290">
        <f t="shared" si="5"/>
        <v>9</v>
      </c>
      <c r="N15" s="293">
        <f t="shared" si="6"/>
        <v>476698523.77206737</v>
      </c>
      <c r="O15" s="293">
        <f t="shared" si="0"/>
        <v>480905249.61361802</v>
      </c>
      <c r="P15" s="293">
        <f t="shared" si="1"/>
        <v>562396502.88108766</v>
      </c>
      <c r="Q15" s="293">
        <f t="shared" si="2"/>
        <v>230582566.18124589</v>
      </c>
      <c r="R15" s="293">
        <f t="shared" si="3"/>
        <v>121083967.07029817</v>
      </c>
      <c r="S15" s="292">
        <f t="shared" si="4"/>
        <v>1871666809.5183172</v>
      </c>
    </row>
    <row r="16" spans="1:23" x14ac:dyDescent="0.25">
      <c r="B16" s="263" t="s">
        <v>975</v>
      </c>
      <c r="C16" s="443"/>
      <c r="E16" s="263"/>
      <c r="H16" s="430" t="s">
        <v>1076</v>
      </c>
      <c r="I16" s="548" t="str">
        <f>Assumption!C56</f>
        <v xml:space="preserve"> 1:2</v>
      </c>
      <c r="J16" s="285" t="s">
        <v>1157</v>
      </c>
      <c r="K16" s="299"/>
      <c r="L16" s="299"/>
      <c r="M16" s="290">
        <f t="shared" si="5"/>
        <v>10</v>
      </c>
      <c r="N16" s="293">
        <f t="shared" si="6"/>
        <v>486232494.2475087</v>
      </c>
      <c r="O16" s="293">
        <f t="shared" si="0"/>
        <v>490523354.60589039</v>
      </c>
      <c r="P16" s="293">
        <f t="shared" si="1"/>
        <v>573644432.93870938</v>
      </c>
      <c r="Q16" s="293">
        <f t="shared" si="2"/>
        <v>235194217.5048708</v>
      </c>
      <c r="R16" s="293">
        <f t="shared" si="3"/>
        <v>123505646.41170414</v>
      </c>
      <c r="S16" s="292">
        <f t="shared" si="4"/>
        <v>1909100145.7086835</v>
      </c>
    </row>
    <row r="17" spans="1:19" x14ac:dyDescent="0.25">
      <c r="F17" s="289"/>
      <c r="G17" s="289"/>
      <c r="H17" s="448" t="s">
        <v>1077</v>
      </c>
      <c r="I17" s="291">
        <f>Assumption!C61</f>
        <v>1257.5</v>
      </c>
      <c r="J17" s="288" t="s">
        <v>1085</v>
      </c>
      <c r="L17" s="291"/>
      <c r="M17" s="279"/>
      <c r="N17" s="279"/>
      <c r="O17" s="279"/>
      <c r="P17" s="295"/>
      <c r="Q17" s="295"/>
      <c r="R17" s="295"/>
      <c r="S17" s="296">
        <f>AVERAGE(S7:S16)</f>
        <v>1749162743.1142838</v>
      </c>
    </row>
    <row r="18" spans="1:19" x14ac:dyDescent="0.25">
      <c r="A18" s="300"/>
      <c r="F18" s="389"/>
      <c r="G18" s="389"/>
      <c r="H18" s="448" t="s">
        <v>1078</v>
      </c>
      <c r="I18" s="291">
        <f>Assumption!E19</f>
        <v>6800</v>
      </c>
      <c r="J18" s="288" t="s">
        <v>969</v>
      </c>
      <c r="N18" s="291"/>
    </row>
    <row r="19" spans="1:19" x14ac:dyDescent="0.25">
      <c r="A19" s="431"/>
      <c r="B19" s="289"/>
      <c r="C19" s="289"/>
      <c r="F19" s="390"/>
      <c r="G19" s="390"/>
      <c r="H19" s="448" t="s">
        <v>971</v>
      </c>
      <c r="I19" s="291">
        <f>I18*I17</f>
        <v>8551000</v>
      </c>
      <c r="J19" s="288" t="s">
        <v>1154</v>
      </c>
      <c r="N19" s="291"/>
    </row>
    <row r="20" spans="1:19" x14ac:dyDescent="0.25">
      <c r="C20" s="389"/>
      <c r="D20" s="432"/>
      <c r="E20" s="492"/>
      <c r="F20" s="389"/>
      <c r="G20" s="389"/>
      <c r="H20" s="448"/>
      <c r="I20" s="291">
        <f>(I19*C11)</f>
        <v>17102000</v>
      </c>
      <c r="J20" s="288" t="s">
        <v>1160</v>
      </c>
      <c r="M20" s="300" t="s">
        <v>66</v>
      </c>
      <c r="N20" s="300"/>
      <c r="O20" s="293"/>
      <c r="P20" s="293"/>
      <c r="Q20" s="293"/>
    </row>
    <row r="21" spans="1:19" x14ac:dyDescent="0.2">
      <c r="C21" s="434"/>
      <c r="F21" s="496"/>
      <c r="G21" s="496"/>
      <c r="H21" s="495" t="s">
        <v>23</v>
      </c>
      <c r="I21" s="497">
        <f>I20*C14*C8</f>
        <v>410448000</v>
      </c>
      <c r="J21" s="498" t="s">
        <v>589</v>
      </c>
      <c r="M21" s="285" t="s">
        <v>175</v>
      </c>
      <c r="O21" s="301"/>
      <c r="P21" s="301"/>
      <c r="Q21" s="301"/>
    </row>
    <row r="22" spans="1:19" x14ac:dyDescent="0.2">
      <c r="C22" s="433"/>
      <c r="D22" s="539"/>
      <c r="F22" s="285" t="s">
        <v>152</v>
      </c>
      <c r="G22" s="285" t="s">
        <v>1069</v>
      </c>
      <c r="H22" s="430" t="s">
        <v>1144</v>
      </c>
      <c r="I22" s="291">
        <f>Assumption!C51</f>
        <v>2</v>
      </c>
      <c r="J22" s="285" t="s">
        <v>1166</v>
      </c>
      <c r="M22" s="285" t="str">
        <f>G7</f>
        <v>Solar BTJ -JKT</v>
      </c>
      <c r="O22" s="303">
        <v>0.02</v>
      </c>
      <c r="P22" s="303" t="s">
        <v>177</v>
      </c>
    </row>
    <row r="23" spans="1:19" x14ac:dyDescent="0.2">
      <c r="C23" s="434"/>
      <c r="D23" s="433"/>
      <c r="F23" s="289"/>
      <c r="H23" s="448" t="s">
        <v>1044</v>
      </c>
      <c r="I23" s="291">
        <f>Assumption!C52</f>
        <v>5000000</v>
      </c>
      <c r="J23" s="288" t="s">
        <v>1159</v>
      </c>
      <c r="M23" s="285" t="str">
        <f>G15</f>
        <v>Solar JKT -MDN - BTJ</v>
      </c>
      <c r="N23" s="219"/>
      <c r="O23" s="303">
        <v>0.02</v>
      </c>
      <c r="P23" s="303" t="s">
        <v>177</v>
      </c>
    </row>
    <row r="24" spans="1:19" x14ac:dyDescent="0.25">
      <c r="E24" s="539"/>
      <c r="F24" s="445"/>
      <c r="H24" s="448" t="s">
        <v>971</v>
      </c>
      <c r="I24" s="291">
        <f>I23*C10*C11</f>
        <v>20000000</v>
      </c>
      <c r="J24" s="288" t="s">
        <v>1160</v>
      </c>
      <c r="M24" s="285" t="str">
        <f>G22</f>
        <v>Gaji Driver</v>
      </c>
      <c r="O24" s="303">
        <v>0.02</v>
      </c>
      <c r="P24" s="303" t="s">
        <v>177</v>
      </c>
    </row>
    <row r="25" spans="1:19" x14ac:dyDescent="0.2">
      <c r="E25" s="198"/>
      <c r="F25" s="496"/>
      <c r="G25" s="496"/>
      <c r="H25" s="495"/>
      <c r="I25" s="497">
        <f>I24*C8*C14</f>
        <v>480000000</v>
      </c>
      <c r="J25" s="498" t="s">
        <v>589</v>
      </c>
      <c r="M25" s="285" t="str">
        <f>G26</f>
        <v>Penyebrangan</v>
      </c>
      <c r="O25" s="303">
        <v>0.02</v>
      </c>
      <c r="P25" s="303" t="s">
        <v>177</v>
      </c>
    </row>
    <row r="26" spans="1:19" x14ac:dyDescent="0.25">
      <c r="F26" s="285" t="s">
        <v>153</v>
      </c>
      <c r="G26" s="285" t="s">
        <v>1081</v>
      </c>
      <c r="H26" s="448" t="s">
        <v>1082</v>
      </c>
      <c r="I26" s="291">
        <f>C9</f>
        <v>4</v>
      </c>
      <c r="J26" s="288" t="s">
        <v>1035</v>
      </c>
      <c r="M26" s="285" t="str">
        <f>G30</f>
        <v xml:space="preserve">Biaya Tol </v>
      </c>
      <c r="O26" s="303">
        <v>0.02</v>
      </c>
      <c r="P26" s="303" t="s">
        <v>177</v>
      </c>
    </row>
    <row r="27" spans="1:19" x14ac:dyDescent="0.25">
      <c r="F27" s="289"/>
      <c r="H27" s="448" t="s">
        <v>970</v>
      </c>
      <c r="I27" s="291">
        <f>Assumption!C63</f>
        <v>2050000</v>
      </c>
      <c r="J27" s="288" t="s">
        <v>1159</v>
      </c>
    </row>
    <row r="28" spans="1:19" x14ac:dyDescent="0.25">
      <c r="F28" s="389"/>
      <c r="H28" s="448" t="s">
        <v>971</v>
      </c>
      <c r="I28" s="291">
        <f>I27*I26</f>
        <v>8200000</v>
      </c>
      <c r="J28" s="288" t="s">
        <v>1160</v>
      </c>
    </row>
    <row r="29" spans="1:19" x14ac:dyDescent="0.25">
      <c r="A29" s="445"/>
      <c r="B29" s="219"/>
      <c r="C29" s="444"/>
      <c r="D29" s="303"/>
      <c r="F29" s="496"/>
      <c r="G29" s="496"/>
      <c r="H29" s="495"/>
      <c r="I29" s="497">
        <f>I28*C8*C14</f>
        <v>196800000</v>
      </c>
      <c r="J29" s="498" t="s">
        <v>589</v>
      </c>
      <c r="M29" s="303"/>
    </row>
    <row r="30" spans="1:19" x14ac:dyDescent="0.25">
      <c r="A30" s="445"/>
      <c r="B30" s="219"/>
      <c r="C30" s="444"/>
      <c r="D30" s="303"/>
      <c r="F30" s="285" t="s">
        <v>154</v>
      </c>
      <c r="G30" s="285" t="s">
        <v>1086</v>
      </c>
      <c r="H30" s="448" t="s">
        <v>1083</v>
      </c>
      <c r="I30" s="291">
        <f>C9</f>
        <v>4</v>
      </c>
      <c r="J30" s="288" t="s">
        <v>1035</v>
      </c>
    </row>
    <row r="31" spans="1:19" x14ac:dyDescent="0.25">
      <c r="A31" s="445"/>
      <c r="C31" s="444"/>
      <c r="D31" s="303"/>
      <c r="H31" s="448" t="s">
        <v>1084</v>
      </c>
      <c r="I31" s="291">
        <f>Assumption!C65</f>
        <v>1076500</v>
      </c>
      <c r="J31" s="288" t="s">
        <v>1159</v>
      </c>
    </row>
    <row r="32" spans="1:19" x14ac:dyDescent="0.25">
      <c r="A32" s="445"/>
      <c r="C32" s="444"/>
      <c r="D32" s="303"/>
      <c r="H32" s="448" t="s">
        <v>971</v>
      </c>
      <c r="I32" s="291">
        <f>I31*I30</f>
        <v>4306000</v>
      </c>
      <c r="J32" s="288" t="s">
        <v>1160</v>
      </c>
    </row>
    <row r="33" spans="1:10" x14ac:dyDescent="0.25">
      <c r="C33" s="444"/>
      <c r="F33" s="496"/>
      <c r="G33" s="496"/>
      <c r="H33" s="495"/>
      <c r="I33" s="497">
        <f>I32*C8*C14</f>
        <v>103344000</v>
      </c>
      <c r="J33" s="498" t="s">
        <v>589</v>
      </c>
    </row>
    <row r="34" spans="1:10" x14ac:dyDescent="0.25">
      <c r="A34" s="431"/>
      <c r="C34" s="219"/>
      <c r="D34" s="219"/>
      <c r="E34" s="263"/>
    </row>
    <row r="39" spans="1:10" x14ac:dyDescent="0.25">
      <c r="F39" s="289"/>
    </row>
    <row r="40" spans="1:10" x14ac:dyDescent="0.25">
      <c r="F40" s="389"/>
    </row>
    <row r="49" spans="14:14" x14ac:dyDescent="0.25">
      <c r="N49" s="293"/>
    </row>
    <row r="50" spans="14:14" x14ac:dyDescent="0.25">
      <c r="N50" s="301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Z79"/>
  <sheetViews>
    <sheetView topLeftCell="P1" zoomScaleNormal="100" workbookViewId="0">
      <pane ySplit="6" topLeftCell="A19" activePane="bottomLeft" state="frozen"/>
      <selection pane="bottomLeft" activeCell="Z8" sqref="Z8"/>
    </sheetView>
  </sheetViews>
  <sheetFormatPr defaultColWidth="9.125" defaultRowHeight="11.25" x14ac:dyDescent="0.25"/>
  <cols>
    <col min="1" max="1" width="2.75" style="285" customWidth="1"/>
    <col min="2" max="2" width="13.5" style="285" customWidth="1"/>
    <col min="3" max="3" width="3.25" style="285" bestFit="1" customWidth="1"/>
    <col min="4" max="4" width="9.375" style="285" bestFit="1" customWidth="1"/>
    <col min="5" max="5" width="10" style="285" customWidth="1"/>
    <col min="6" max="6" width="6.75" style="285" customWidth="1"/>
    <col min="7" max="7" width="4.25" style="285" customWidth="1"/>
    <col min="8" max="8" width="7.875" style="285" customWidth="1"/>
    <col min="9" max="9" width="5.625" style="285" customWidth="1"/>
    <col min="10" max="10" width="9.125" style="285"/>
    <col min="11" max="12" width="9.125" style="285" customWidth="1"/>
    <col min="13" max="13" width="11.75" style="285" bestFit="1" customWidth="1"/>
    <col min="14" max="17" width="9.125" style="285" customWidth="1"/>
    <col min="18" max="18" width="9.375" style="285" bestFit="1" customWidth="1"/>
    <col min="19" max="22" width="9.125" style="285" customWidth="1"/>
    <col min="23" max="23" width="10.25" style="285" bestFit="1" customWidth="1"/>
    <col min="24" max="24" width="9.125" style="285"/>
    <col min="25" max="25" width="13.125" style="285" bestFit="1" customWidth="1"/>
    <col min="26" max="16384" width="9.125" style="285"/>
  </cols>
  <sheetData>
    <row r="1" spans="1:26" x14ac:dyDescent="0.2">
      <c r="A1" s="545" t="str">
        <f>Assumption!A1</f>
        <v>Bisnis Truk Thermoking</v>
      </c>
    </row>
    <row r="2" spans="1:26" x14ac:dyDescent="0.2">
      <c r="A2" s="286" t="str">
        <f>[1]Assumption!A2</f>
        <v>Financial Pre-Feasibility Study</v>
      </c>
    </row>
    <row r="3" spans="1:26" x14ac:dyDescent="0.25">
      <c r="A3" s="287" t="s">
        <v>729</v>
      </c>
    </row>
    <row r="5" spans="1:26" x14ac:dyDescent="0.25">
      <c r="W5" s="304" t="s">
        <v>586</v>
      </c>
    </row>
    <row r="6" spans="1:26" ht="22.5" x14ac:dyDescent="0.25">
      <c r="A6" s="258" t="s">
        <v>547</v>
      </c>
      <c r="B6" s="276"/>
      <c r="C6" s="276"/>
      <c r="D6" s="276"/>
      <c r="E6" s="276"/>
      <c r="F6" s="276"/>
      <c r="G6" s="276"/>
      <c r="H6" s="276"/>
      <c r="J6" s="227" t="s">
        <v>521</v>
      </c>
      <c r="K6" s="372" t="s">
        <v>1089</v>
      </c>
      <c r="L6" s="372" t="s">
        <v>1090</v>
      </c>
      <c r="M6" s="372" t="s">
        <v>1091</v>
      </c>
      <c r="N6" s="372" t="s">
        <v>1092</v>
      </c>
      <c r="O6" s="372" t="s">
        <v>1093</v>
      </c>
      <c r="P6" s="372" t="s">
        <v>1168</v>
      </c>
      <c r="Q6" s="372" t="s">
        <v>1169</v>
      </c>
      <c r="R6" s="372" t="s">
        <v>1094</v>
      </c>
      <c r="S6" s="372" t="s">
        <v>1103</v>
      </c>
      <c r="T6" s="372" t="s">
        <v>1102</v>
      </c>
      <c r="U6" s="372" t="s">
        <v>1042</v>
      </c>
      <c r="V6" s="372" t="s">
        <v>740</v>
      </c>
      <c r="W6" s="227" t="s">
        <v>519</v>
      </c>
    </row>
    <row r="7" spans="1:26" x14ac:dyDescent="0.25">
      <c r="A7" s="219" t="s">
        <v>977</v>
      </c>
      <c r="C7" s="291"/>
      <c r="D7" s="291"/>
      <c r="G7" s="414"/>
      <c r="H7" s="414"/>
      <c r="J7" s="290">
        <v>1</v>
      </c>
      <c r="K7" s="292">
        <f>E11</f>
        <v>36000000</v>
      </c>
      <c r="L7" s="292">
        <f>E18</f>
        <v>28800000</v>
      </c>
      <c r="M7" s="292">
        <f>E22</f>
        <v>145000000</v>
      </c>
      <c r="N7" s="292">
        <f>E29</f>
        <v>31200000</v>
      </c>
      <c r="O7" s="292">
        <f>E35</f>
        <v>96000000</v>
      </c>
      <c r="P7" s="292">
        <f>E60</f>
        <v>1200000</v>
      </c>
      <c r="Q7" s="292">
        <f>E65</f>
        <v>1800000</v>
      </c>
      <c r="R7" s="292">
        <f>E40</f>
        <v>800000</v>
      </c>
      <c r="S7" s="292">
        <f>E44</f>
        <v>7000000</v>
      </c>
      <c r="T7" s="292">
        <f>E50</f>
        <v>327616800</v>
      </c>
      <c r="U7" s="292">
        <f>E55</f>
        <v>3600000</v>
      </c>
      <c r="V7" s="292">
        <f>Depreciation!F8</f>
        <v>327616800</v>
      </c>
      <c r="W7" s="594">
        <f>SUM(K7:V7)</f>
        <v>1006633600</v>
      </c>
      <c r="X7" s="606">
        <f>W7/2</f>
        <v>503316800</v>
      </c>
      <c r="Y7" s="632">
        <f>X7/12</f>
        <v>41943066.666666664</v>
      </c>
      <c r="Z7" s="723">
        <f>Y7/4</f>
        <v>10485766.666666666</v>
      </c>
    </row>
    <row r="8" spans="1:26" x14ac:dyDescent="0.25">
      <c r="A8" s="501">
        <v>1</v>
      </c>
      <c r="B8" s="219" t="s">
        <v>1089</v>
      </c>
      <c r="C8" s="494"/>
      <c r="D8" s="291" t="s">
        <v>1119</v>
      </c>
      <c r="E8" s="597">
        <v>1500000</v>
      </c>
      <c r="F8" s="430" t="s">
        <v>1115</v>
      </c>
      <c r="G8" s="505"/>
      <c r="I8" s="292"/>
      <c r="J8" s="290">
        <f>J7+1</f>
        <v>2</v>
      </c>
      <c r="K8" s="293">
        <f t="shared" ref="K8:K16" si="0">K7*(1+$D$71)</f>
        <v>36720000</v>
      </c>
      <c r="L8" s="293">
        <f t="shared" ref="L8:L16" si="1">L7*(1+$D$72)</f>
        <v>29376000</v>
      </c>
      <c r="M8" s="293">
        <f t="shared" ref="M8:M16" si="2">M7*(1+$D$73)</f>
        <v>147900000</v>
      </c>
      <c r="N8" s="293">
        <f t="shared" ref="N8:N16" si="3">N7*(1+$D$74)</f>
        <v>31824000</v>
      </c>
      <c r="O8" s="293">
        <f t="shared" ref="O8:Q16" si="4">O7*(1+$D$75)</f>
        <v>97920000</v>
      </c>
      <c r="P8" s="292">
        <f>P7*(1+$D$75)</f>
        <v>1224000</v>
      </c>
      <c r="Q8" s="293">
        <f>Q7*(1+$D$75)</f>
        <v>1836000</v>
      </c>
      <c r="R8" s="293">
        <f t="shared" ref="R8:R16" si="5">R7*(1+$D$76)</f>
        <v>816000</v>
      </c>
      <c r="S8" s="293">
        <f>S7</f>
        <v>7000000</v>
      </c>
      <c r="T8" s="292"/>
      <c r="U8" s="292">
        <f>U7*(1+$D$77)</f>
        <v>3672000</v>
      </c>
      <c r="V8" s="292">
        <f>Depreciation!F9</f>
        <v>327616800</v>
      </c>
      <c r="W8" s="594">
        <f t="shared" ref="W8:W16" si="6">SUM(K8:V8)</f>
        <v>685904800</v>
      </c>
      <c r="X8" s="606">
        <f>W8/2</f>
        <v>342952400</v>
      </c>
      <c r="Y8" s="632">
        <f>X8/12</f>
        <v>28579366.666666668</v>
      </c>
      <c r="Z8" s="723">
        <f>Y8/4</f>
        <v>7144841.666666667</v>
      </c>
    </row>
    <row r="9" spans="1:26" x14ac:dyDescent="0.25">
      <c r="D9" s="285" t="s">
        <v>1120</v>
      </c>
      <c r="E9" s="602">
        <f>Assumption!E7</f>
        <v>2</v>
      </c>
      <c r="F9" s="285" t="s">
        <v>1122</v>
      </c>
      <c r="G9" s="506"/>
      <c r="H9" s="291"/>
      <c r="I9" s="292"/>
      <c r="J9" s="290">
        <f t="shared" ref="J9:J16" si="7">J8+1</f>
        <v>3</v>
      </c>
      <c r="K9" s="293">
        <f t="shared" si="0"/>
        <v>37454400</v>
      </c>
      <c r="L9" s="293">
        <f t="shared" si="1"/>
        <v>29963520</v>
      </c>
      <c r="M9" s="293">
        <f t="shared" si="2"/>
        <v>150858000</v>
      </c>
      <c r="N9" s="293">
        <f t="shared" si="3"/>
        <v>32460480</v>
      </c>
      <c r="O9" s="293">
        <f t="shared" si="4"/>
        <v>99878400</v>
      </c>
      <c r="P9" s="292">
        <f t="shared" si="4"/>
        <v>1248480</v>
      </c>
      <c r="Q9" s="293">
        <f t="shared" si="4"/>
        <v>1872720</v>
      </c>
      <c r="R9" s="293">
        <f t="shared" si="5"/>
        <v>832320</v>
      </c>
      <c r="S9" s="293">
        <f>S8</f>
        <v>7000000</v>
      </c>
      <c r="T9" s="292"/>
      <c r="U9" s="292">
        <f t="shared" ref="U9:U16" si="8">U8*(1+$D$77)</f>
        <v>3745440</v>
      </c>
      <c r="V9" s="292">
        <f>Depreciation!F10</f>
        <v>327616800</v>
      </c>
      <c r="W9" s="594">
        <f t="shared" si="6"/>
        <v>692930560</v>
      </c>
      <c r="X9" s="606">
        <f t="shared" ref="X9:X11" si="9">W9/2</f>
        <v>346465280</v>
      </c>
      <c r="Y9" s="632">
        <f t="shared" ref="Y9:Y11" si="10">X9/12</f>
        <v>28872106.666666668</v>
      </c>
      <c r="Z9" s="723">
        <f t="shared" ref="Z9:Z11" si="11">Y9/4</f>
        <v>7218026.666666667</v>
      </c>
    </row>
    <row r="10" spans="1:26" x14ac:dyDescent="0.25">
      <c r="D10" s="285" t="s">
        <v>1124</v>
      </c>
      <c r="E10" s="598">
        <f>E8*E9</f>
        <v>3000000</v>
      </c>
      <c r="F10" s="285" t="s">
        <v>1116</v>
      </c>
      <c r="G10" s="603"/>
      <c r="H10" s="443"/>
      <c r="I10" s="292"/>
      <c r="J10" s="290">
        <f t="shared" si="7"/>
        <v>4</v>
      </c>
      <c r="K10" s="293">
        <f t="shared" si="0"/>
        <v>38203488</v>
      </c>
      <c r="L10" s="293">
        <f t="shared" si="1"/>
        <v>30562790.400000002</v>
      </c>
      <c r="M10" s="293">
        <f t="shared" si="2"/>
        <v>153875160</v>
      </c>
      <c r="N10" s="293">
        <f t="shared" si="3"/>
        <v>33109689.600000001</v>
      </c>
      <c r="O10" s="293">
        <f t="shared" si="4"/>
        <v>101875968</v>
      </c>
      <c r="P10" s="292">
        <f t="shared" si="4"/>
        <v>1273449.6000000001</v>
      </c>
      <c r="Q10" s="293">
        <f t="shared" si="4"/>
        <v>1910174.4000000001</v>
      </c>
      <c r="R10" s="293">
        <f t="shared" si="5"/>
        <v>848966.4</v>
      </c>
      <c r="S10" s="293">
        <f>S9</f>
        <v>7000000</v>
      </c>
      <c r="T10" s="292"/>
      <c r="U10" s="292">
        <f t="shared" si="8"/>
        <v>3820348.8000000003</v>
      </c>
      <c r="V10" s="292">
        <f>Depreciation!F11</f>
        <v>327616800</v>
      </c>
      <c r="W10" s="594">
        <f t="shared" si="6"/>
        <v>700096835.20000005</v>
      </c>
      <c r="X10" s="606">
        <f t="shared" si="9"/>
        <v>350048417.60000002</v>
      </c>
      <c r="Y10" s="632">
        <f t="shared" si="10"/>
        <v>29170701.466666669</v>
      </c>
      <c r="Z10" s="723">
        <f t="shared" si="11"/>
        <v>7292675.3666666672</v>
      </c>
    </row>
    <row r="11" spans="1:26" x14ac:dyDescent="0.25">
      <c r="A11" s="496"/>
      <c r="B11" s="496"/>
      <c r="C11" s="496"/>
      <c r="D11" s="496" t="s">
        <v>1125</v>
      </c>
      <c r="E11" s="600">
        <f>E10*Assumption!E8</f>
        <v>36000000</v>
      </c>
      <c r="F11" s="496" t="s">
        <v>1117</v>
      </c>
      <c r="G11" s="604"/>
      <c r="H11" s="605"/>
      <c r="I11" s="292"/>
      <c r="J11" s="290">
        <f t="shared" si="7"/>
        <v>5</v>
      </c>
      <c r="K11" s="293">
        <f t="shared" si="0"/>
        <v>38967557.759999998</v>
      </c>
      <c r="L11" s="293">
        <f t="shared" si="1"/>
        <v>31174046.208000004</v>
      </c>
      <c r="M11" s="293">
        <f t="shared" si="2"/>
        <v>156952663.19999999</v>
      </c>
      <c r="N11" s="293">
        <f t="shared" si="3"/>
        <v>33771883.392000005</v>
      </c>
      <c r="O11" s="293">
        <f t="shared" si="4"/>
        <v>103913487.36</v>
      </c>
      <c r="P11" s="292">
        <f t="shared" si="4"/>
        <v>1298918.5920000002</v>
      </c>
      <c r="Q11" s="293">
        <f t="shared" si="4"/>
        <v>1948377.8880000003</v>
      </c>
      <c r="R11" s="293">
        <f t="shared" si="5"/>
        <v>865945.728</v>
      </c>
      <c r="S11" s="293">
        <f>S10</f>
        <v>7000000</v>
      </c>
      <c r="T11" s="292"/>
      <c r="U11" s="292">
        <f t="shared" si="8"/>
        <v>3896755.7760000005</v>
      </c>
      <c r="V11" s="292">
        <f>Depreciation!F12</f>
        <v>327616800</v>
      </c>
      <c r="W11" s="594">
        <f t="shared" si="6"/>
        <v>707406435.90400004</v>
      </c>
      <c r="X11" s="606">
        <f t="shared" si="9"/>
        <v>353703217.95200002</v>
      </c>
      <c r="Y11" s="632">
        <f t="shared" si="10"/>
        <v>29475268.162666667</v>
      </c>
      <c r="Z11" s="723">
        <f t="shared" si="11"/>
        <v>7368817.0406666668</v>
      </c>
    </row>
    <row r="12" spans="1:26" x14ac:dyDescent="0.25">
      <c r="G12" s="287"/>
      <c r="H12" s="443"/>
      <c r="I12" s="292"/>
      <c r="J12" s="290">
        <f t="shared" si="7"/>
        <v>6</v>
      </c>
      <c r="K12" s="293">
        <f t="shared" si="0"/>
        <v>39746908.915199995</v>
      </c>
      <c r="L12" s="293">
        <f t="shared" si="1"/>
        <v>31797527.132160004</v>
      </c>
      <c r="M12" s="293">
        <f t="shared" si="2"/>
        <v>160091716.46399999</v>
      </c>
      <c r="N12" s="293">
        <f t="shared" si="3"/>
        <v>34447321.059840009</v>
      </c>
      <c r="O12" s="293">
        <f t="shared" si="4"/>
        <v>105991757.1072</v>
      </c>
      <c r="P12" s="292">
        <f t="shared" si="4"/>
        <v>1324896.9638400001</v>
      </c>
      <c r="Q12" s="293">
        <f t="shared" si="4"/>
        <v>1987345.4457600003</v>
      </c>
      <c r="R12" s="293">
        <f t="shared" si="5"/>
        <v>883264.64256000007</v>
      </c>
      <c r="S12" s="293">
        <f t="shared" ref="S12:S16" si="12">S11</f>
        <v>7000000</v>
      </c>
      <c r="T12" s="292">
        <f>E49</f>
        <v>65523360</v>
      </c>
      <c r="U12" s="292">
        <f t="shared" si="8"/>
        <v>3974690.8915200005</v>
      </c>
      <c r="V12" s="292">
        <f>Depreciation!F13</f>
        <v>327616800</v>
      </c>
      <c r="W12" s="594">
        <f t="shared" si="6"/>
        <v>780385588.62208009</v>
      </c>
      <c r="X12" s="606"/>
      <c r="Y12" s="632"/>
      <c r="Z12" s="606"/>
    </row>
    <row r="13" spans="1:26" x14ac:dyDescent="0.25">
      <c r="A13" s="288">
        <v>2</v>
      </c>
      <c r="B13" s="219" t="s">
        <v>1090</v>
      </c>
      <c r="C13" s="494"/>
      <c r="D13" s="291" t="s">
        <v>1121</v>
      </c>
      <c r="E13" s="647">
        <v>10</v>
      </c>
      <c r="F13" s="430" t="s">
        <v>1118</v>
      </c>
      <c r="G13" s="287"/>
      <c r="H13" s="443"/>
      <c r="I13" s="299"/>
      <c r="J13" s="290">
        <f t="shared" si="7"/>
        <v>7</v>
      </c>
      <c r="K13" s="293">
        <f t="shared" si="0"/>
        <v>40541847.093503997</v>
      </c>
      <c r="L13" s="293">
        <f t="shared" si="1"/>
        <v>32433477.674803205</v>
      </c>
      <c r="M13" s="293">
        <f t="shared" si="2"/>
        <v>163293550.79327998</v>
      </c>
      <c r="N13" s="293">
        <f t="shared" si="3"/>
        <v>35136267.481036812</v>
      </c>
      <c r="O13" s="293">
        <f t="shared" si="4"/>
        <v>108111592.24934399</v>
      </c>
      <c r="P13" s="292">
        <f t="shared" si="4"/>
        <v>1351394.9031168001</v>
      </c>
      <c r="Q13" s="293">
        <f t="shared" si="4"/>
        <v>2027092.3546752003</v>
      </c>
      <c r="R13" s="293">
        <f t="shared" si="5"/>
        <v>900929.93541120004</v>
      </c>
      <c r="S13" s="293">
        <f t="shared" si="12"/>
        <v>7000000</v>
      </c>
      <c r="T13" s="292">
        <f t="shared" ref="T13:T16" si="13">T12*(1+$D$77)</f>
        <v>66833827.200000003</v>
      </c>
      <c r="U13" s="292">
        <f t="shared" si="8"/>
        <v>4054184.7093504006</v>
      </c>
      <c r="V13" s="292">
        <f>Depreciation!F14</f>
        <v>327616800</v>
      </c>
      <c r="W13" s="594">
        <f t="shared" si="6"/>
        <v>789300964.39452159</v>
      </c>
      <c r="X13" s="606"/>
      <c r="Y13" s="632"/>
      <c r="Z13" s="606"/>
    </row>
    <row r="14" spans="1:26" x14ac:dyDescent="0.25">
      <c r="D14" s="285" t="s">
        <v>970</v>
      </c>
      <c r="E14" s="599">
        <v>600000</v>
      </c>
      <c r="F14" s="285" t="s">
        <v>1041</v>
      </c>
      <c r="G14" s="287"/>
      <c r="H14" s="443"/>
      <c r="I14" s="299"/>
      <c r="J14" s="290">
        <f t="shared" si="7"/>
        <v>8</v>
      </c>
      <c r="K14" s="293">
        <f t="shared" si="0"/>
        <v>41352684.035374075</v>
      </c>
      <c r="L14" s="293">
        <f t="shared" si="1"/>
        <v>33082147.228299271</v>
      </c>
      <c r="M14" s="293">
        <f t="shared" si="2"/>
        <v>166559421.80914557</v>
      </c>
      <c r="N14" s="293">
        <f t="shared" si="3"/>
        <v>35838992.830657549</v>
      </c>
      <c r="O14" s="293">
        <f t="shared" si="4"/>
        <v>110273824.09433088</v>
      </c>
      <c r="P14" s="292">
        <f t="shared" si="4"/>
        <v>1378422.8011791361</v>
      </c>
      <c r="Q14" s="293">
        <f t="shared" si="4"/>
        <v>2067634.2017687045</v>
      </c>
      <c r="R14" s="293">
        <f t="shared" si="5"/>
        <v>918948.53411942406</v>
      </c>
      <c r="S14" s="293">
        <f t="shared" si="12"/>
        <v>7000000</v>
      </c>
      <c r="T14" s="292">
        <f t="shared" si="13"/>
        <v>68170503.744000003</v>
      </c>
      <c r="U14" s="292">
        <f t="shared" si="8"/>
        <v>4135268.4035374089</v>
      </c>
      <c r="V14" s="292">
        <f>Depreciation!F15</f>
        <v>327616800</v>
      </c>
      <c r="W14" s="594">
        <f t="shared" si="6"/>
        <v>798394647.68241203</v>
      </c>
      <c r="X14" s="606"/>
      <c r="Y14" s="632"/>
      <c r="Z14" s="606"/>
    </row>
    <row r="15" spans="1:26" x14ac:dyDescent="0.25">
      <c r="E15" s="606">
        <f>E14*2</f>
        <v>1200000</v>
      </c>
      <c r="F15" s="285" t="s">
        <v>1198</v>
      </c>
      <c r="G15" s="287"/>
      <c r="H15" s="443"/>
      <c r="I15" s="299"/>
      <c r="J15" s="290">
        <f t="shared" si="7"/>
        <v>9</v>
      </c>
      <c r="K15" s="293">
        <f t="shared" si="0"/>
        <v>42179737.71608156</v>
      </c>
      <c r="L15" s="293">
        <f t="shared" si="1"/>
        <v>33743790.172865257</v>
      </c>
      <c r="M15" s="293">
        <f t="shared" si="2"/>
        <v>169890610.24532849</v>
      </c>
      <c r="N15" s="293">
        <f t="shared" si="3"/>
        <v>36555772.687270701</v>
      </c>
      <c r="O15" s="293">
        <f t="shared" si="4"/>
        <v>112479300.5762175</v>
      </c>
      <c r="P15" s="292">
        <f t="shared" si="4"/>
        <v>1405991.2572027189</v>
      </c>
      <c r="Q15" s="293">
        <f t="shared" si="4"/>
        <v>2108986.8858040785</v>
      </c>
      <c r="R15" s="293">
        <f t="shared" si="5"/>
        <v>937327.50480181258</v>
      </c>
      <c r="S15" s="293">
        <f t="shared" si="12"/>
        <v>7000000</v>
      </c>
      <c r="T15" s="292">
        <f t="shared" si="13"/>
        <v>69533913.818880007</v>
      </c>
      <c r="U15" s="292">
        <f t="shared" si="8"/>
        <v>4217973.7716081571</v>
      </c>
      <c r="V15" s="292">
        <f>Depreciation!F16</f>
        <v>327616800</v>
      </c>
      <c r="W15" s="594">
        <f t="shared" si="6"/>
        <v>807670204.63606024</v>
      </c>
      <c r="X15" s="606"/>
      <c r="Y15" s="632"/>
      <c r="Z15" s="606"/>
    </row>
    <row r="16" spans="1:26" x14ac:dyDescent="0.25">
      <c r="D16" s="285" t="s">
        <v>1120</v>
      </c>
      <c r="E16" s="285">
        <f>Assumption!E7</f>
        <v>2</v>
      </c>
      <c r="F16" s="285" t="s">
        <v>1122</v>
      </c>
      <c r="I16" s="299"/>
      <c r="J16" s="290">
        <f t="shared" si="7"/>
        <v>10</v>
      </c>
      <c r="K16" s="293">
        <f t="shared" si="0"/>
        <v>43023332.470403194</v>
      </c>
      <c r="L16" s="293">
        <f t="shared" si="1"/>
        <v>34418665.976322562</v>
      </c>
      <c r="M16" s="293">
        <f t="shared" si="2"/>
        <v>173288422.45023507</v>
      </c>
      <c r="N16" s="293">
        <f t="shared" si="3"/>
        <v>37286888.141016118</v>
      </c>
      <c r="O16" s="293">
        <f t="shared" si="4"/>
        <v>114728886.58774185</v>
      </c>
      <c r="P16" s="292">
        <f t="shared" si="4"/>
        <v>1434111.0823467732</v>
      </c>
      <c r="Q16" s="293">
        <f t="shared" si="4"/>
        <v>2151166.6235201601</v>
      </c>
      <c r="R16" s="293">
        <f t="shared" si="5"/>
        <v>956074.05489784887</v>
      </c>
      <c r="S16" s="293">
        <f t="shared" si="12"/>
        <v>7000000</v>
      </c>
      <c r="T16" s="292">
        <f t="shared" si="13"/>
        <v>70924592.09525761</v>
      </c>
      <c r="U16" s="292">
        <f t="shared" si="8"/>
        <v>4302333.2470403202</v>
      </c>
      <c r="V16" s="292">
        <f>Depreciation!F17</f>
        <v>327616800</v>
      </c>
      <c r="W16" s="594">
        <f t="shared" si="6"/>
        <v>817131272.72878146</v>
      </c>
      <c r="X16" s="606"/>
      <c r="Y16" s="632"/>
      <c r="Z16" s="606"/>
    </row>
    <row r="17" spans="1:25" x14ac:dyDescent="0.25">
      <c r="D17" s="285" t="s">
        <v>1126</v>
      </c>
      <c r="E17" s="606">
        <f>E15*E16</f>
        <v>2400000</v>
      </c>
      <c r="F17" s="285" t="s">
        <v>1114</v>
      </c>
      <c r="I17" s="299"/>
      <c r="J17" s="593" t="s">
        <v>507</v>
      </c>
      <c r="K17" s="592">
        <f t="shared" ref="K17:S17" si="14">AVERAGE(K7:K16)</f>
        <v>39418995.599056289</v>
      </c>
      <c r="L17" s="592">
        <f t="shared" si="14"/>
        <v>31535196.479245029</v>
      </c>
      <c r="M17" s="592">
        <f t="shared" si="14"/>
        <v>158770954.49619892</v>
      </c>
      <c r="N17" s="592">
        <f t="shared" si="14"/>
        <v>34163129.519182123</v>
      </c>
      <c r="O17" s="592">
        <f t="shared" si="14"/>
        <v>105117321.59748343</v>
      </c>
      <c r="P17" s="592">
        <f t="shared" si="14"/>
        <v>1313966.5199685427</v>
      </c>
      <c r="Q17" s="592">
        <f t="shared" si="14"/>
        <v>1970949.7799528143</v>
      </c>
      <c r="R17" s="592">
        <f t="shared" si="14"/>
        <v>875977.67997902853</v>
      </c>
      <c r="S17" s="592">
        <f t="shared" si="14"/>
        <v>7000000</v>
      </c>
      <c r="T17" s="592">
        <f>AVERAGE(T7:T16)</f>
        <v>111433832.8096896</v>
      </c>
      <c r="U17" s="592">
        <f>AVERAGE(U7:U16)</f>
        <v>3941899.5599056287</v>
      </c>
      <c r="V17" s="592">
        <f>AVERAGE(V7:V16)</f>
        <v>327616800</v>
      </c>
      <c r="W17" s="592">
        <f>SUM(W7:W16)</f>
        <v>7785854909.1678553</v>
      </c>
      <c r="Y17" s="291"/>
    </row>
    <row r="18" spans="1:25" x14ac:dyDescent="0.25">
      <c r="A18" s="496"/>
      <c r="B18" s="496"/>
      <c r="C18" s="496"/>
      <c r="D18" s="496" t="s">
        <v>1127</v>
      </c>
      <c r="E18" s="601">
        <f>E17*Assumption!E8</f>
        <v>28800000</v>
      </c>
      <c r="F18" s="496" t="s">
        <v>386</v>
      </c>
      <c r="G18" s="496"/>
      <c r="H18" s="496"/>
      <c r="J18" s="290"/>
      <c r="K18" s="449"/>
      <c r="L18" s="449"/>
      <c r="M18" s="449"/>
      <c r="N18" s="449"/>
      <c r="O18" s="449"/>
      <c r="P18" s="449"/>
      <c r="Q18" s="449"/>
      <c r="R18" s="449"/>
      <c r="S18" s="449"/>
      <c r="T18" s="449"/>
      <c r="U18" s="449"/>
      <c r="V18" s="449"/>
      <c r="W18" s="449"/>
      <c r="Y18" s="291"/>
    </row>
    <row r="19" spans="1:25" x14ac:dyDescent="0.25">
      <c r="A19" s="501">
        <v>3</v>
      </c>
      <c r="B19" s="219" t="s">
        <v>1091</v>
      </c>
      <c r="C19" s="494"/>
      <c r="D19" s="285" t="s">
        <v>1121</v>
      </c>
      <c r="E19" s="287">
        <v>20</v>
      </c>
      <c r="F19" s="285" t="s">
        <v>1123</v>
      </c>
      <c r="J19" s="290"/>
      <c r="Y19" s="291"/>
    </row>
    <row r="20" spans="1:25" x14ac:dyDescent="0.25">
      <c r="D20" s="291" t="s">
        <v>1078</v>
      </c>
      <c r="E20" s="299">
        <v>3625000</v>
      </c>
      <c r="F20" s="430" t="s">
        <v>1043</v>
      </c>
      <c r="Y20" s="291"/>
    </row>
    <row r="21" spans="1:25" x14ac:dyDescent="0.25">
      <c r="D21" s="285" t="s">
        <v>1120</v>
      </c>
      <c r="E21" s="285">
        <f>Assumption!E7</f>
        <v>2</v>
      </c>
      <c r="F21" s="285" t="s">
        <v>1122</v>
      </c>
      <c r="J21" s="290"/>
      <c r="Y21" s="291"/>
    </row>
    <row r="22" spans="1:25" x14ac:dyDescent="0.25">
      <c r="A22" s="496"/>
      <c r="B22" s="496"/>
      <c r="C22" s="496"/>
      <c r="D22" s="496" t="s">
        <v>1127</v>
      </c>
      <c r="E22" s="596">
        <f>E20*E21*E19</f>
        <v>145000000</v>
      </c>
      <c r="F22" s="496" t="s">
        <v>386</v>
      </c>
      <c r="G22" s="496"/>
      <c r="H22" s="496"/>
      <c r="Y22" s="291"/>
    </row>
    <row r="24" spans="1:25" x14ac:dyDescent="0.25">
      <c r="A24" s="288">
        <v>4</v>
      </c>
      <c r="B24" s="219" t="s">
        <v>1092</v>
      </c>
      <c r="C24" s="494"/>
    </row>
    <row r="25" spans="1:25" x14ac:dyDescent="0.25">
      <c r="B25" s="219" t="s">
        <v>1128</v>
      </c>
      <c r="D25" s="291" t="s">
        <v>1078</v>
      </c>
      <c r="E25" s="299">
        <v>500000</v>
      </c>
      <c r="F25" s="430" t="s">
        <v>1115</v>
      </c>
    </row>
    <row r="26" spans="1:25" x14ac:dyDescent="0.25">
      <c r="B26" s="219" t="s">
        <v>1129</v>
      </c>
      <c r="D26" s="291" t="s">
        <v>1078</v>
      </c>
      <c r="E26" s="599">
        <v>800000</v>
      </c>
      <c r="F26" s="430" t="s">
        <v>1115</v>
      </c>
    </row>
    <row r="27" spans="1:25" x14ac:dyDescent="0.25">
      <c r="D27" s="285" t="s">
        <v>1120</v>
      </c>
      <c r="E27" s="285">
        <f>Assumption!E7</f>
        <v>2</v>
      </c>
      <c r="F27" s="285" t="s">
        <v>1122</v>
      </c>
    </row>
    <row r="28" spans="1:25" x14ac:dyDescent="0.25">
      <c r="D28" s="285" t="s">
        <v>1126</v>
      </c>
      <c r="E28" s="293">
        <f>(E25*E27)+(E26*E27)</f>
        <v>2600000</v>
      </c>
      <c r="F28" s="285" t="s">
        <v>1114</v>
      </c>
    </row>
    <row r="29" spans="1:25" x14ac:dyDescent="0.25">
      <c r="A29" s="496"/>
      <c r="B29" s="496"/>
      <c r="C29" s="496"/>
      <c r="D29" s="496" t="s">
        <v>1127</v>
      </c>
      <c r="E29" s="596">
        <f>E28*Assumption!E8</f>
        <v>31200000</v>
      </c>
      <c r="F29" s="496" t="s">
        <v>386</v>
      </c>
      <c r="G29" s="496"/>
      <c r="H29" s="496"/>
      <c r="L29" s="637"/>
      <c r="M29" s="638" t="s">
        <v>1197</v>
      </c>
      <c r="N29" s="639"/>
      <c r="O29" s="639"/>
      <c r="P29" s="640"/>
    </row>
    <row r="30" spans="1:25" x14ac:dyDescent="0.25">
      <c r="L30" s="641"/>
      <c r="M30" s="642" t="s">
        <v>1195</v>
      </c>
      <c r="N30" s="290" t="s">
        <v>1193</v>
      </c>
      <c r="O30" s="290" t="s">
        <v>1194</v>
      </c>
      <c r="P30" s="643" t="s">
        <v>1196</v>
      </c>
    </row>
    <row r="31" spans="1:25" x14ac:dyDescent="0.25">
      <c r="A31" s="501">
        <v>5</v>
      </c>
      <c r="B31" s="219" t="s">
        <v>1093</v>
      </c>
      <c r="C31" s="494"/>
      <c r="D31" s="291" t="s">
        <v>1121</v>
      </c>
      <c r="E31" s="299">
        <v>2</v>
      </c>
      <c r="F31" s="448" t="s">
        <v>1130</v>
      </c>
      <c r="L31" s="641">
        <v>1</v>
      </c>
      <c r="M31" s="292">
        <v>517869144</v>
      </c>
      <c r="N31" s="606">
        <f>M31/12</f>
        <v>43155762</v>
      </c>
      <c r="O31" s="606">
        <f>N31*2</f>
        <v>86311524</v>
      </c>
      <c r="P31" s="644">
        <f>M32/M31</f>
        <v>0.90090373100120447</v>
      </c>
    </row>
    <row r="32" spans="1:25" x14ac:dyDescent="0.25">
      <c r="D32" s="291" t="s">
        <v>1078</v>
      </c>
      <c r="E32" s="599">
        <v>2000000</v>
      </c>
      <c r="F32" s="285" t="s">
        <v>1043</v>
      </c>
      <c r="L32" s="641">
        <v>2</v>
      </c>
      <c r="M32" s="292">
        <v>466550244</v>
      </c>
      <c r="N32" s="606">
        <f t="shared" ref="N32:N35" si="15">M32/12</f>
        <v>38879187</v>
      </c>
      <c r="O32" s="606">
        <f t="shared" ref="O32:O35" si="16">N32*2</f>
        <v>77758374</v>
      </c>
      <c r="P32" s="644">
        <f t="shared" ref="P32" si="17">M33/M32</f>
        <v>0.89000343551422512</v>
      </c>
    </row>
    <row r="33" spans="1:16" x14ac:dyDescent="0.25">
      <c r="D33" s="285" t="s">
        <v>1120</v>
      </c>
      <c r="E33" s="285">
        <f>Assumption!E7</f>
        <v>2</v>
      </c>
      <c r="F33" s="285" t="s">
        <v>1122</v>
      </c>
      <c r="I33" s="299"/>
      <c r="L33" s="641">
        <v>3</v>
      </c>
      <c r="M33" s="292">
        <v>415231320</v>
      </c>
      <c r="N33" s="606">
        <f t="shared" si="15"/>
        <v>34602610</v>
      </c>
      <c r="O33" s="606">
        <f t="shared" si="16"/>
        <v>69205220</v>
      </c>
      <c r="P33" s="644">
        <f>M34/M33</f>
        <v>0.87640883158813743</v>
      </c>
    </row>
    <row r="34" spans="1:16" x14ac:dyDescent="0.25">
      <c r="D34" s="285" t="s">
        <v>1126</v>
      </c>
      <c r="E34" s="552">
        <f>E31*E32*E33</f>
        <v>8000000</v>
      </c>
      <c r="F34" s="285" t="s">
        <v>1114</v>
      </c>
      <c r="I34" s="299"/>
      <c r="L34" s="641">
        <v>4</v>
      </c>
      <c r="M34" s="292">
        <v>363912396</v>
      </c>
      <c r="N34" s="606">
        <f t="shared" si="15"/>
        <v>30326033</v>
      </c>
      <c r="O34" s="606">
        <f t="shared" si="16"/>
        <v>60652066</v>
      </c>
      <c r="P34" s="644">
        <f>M35/M34</f>
        <v>1</v>
      </c>
    </row>
    <row r="35" spans="1:16" x14ac:dyDescent="0.25">
      <c r="A35" s="496"/>
      <c r="B35" s="496"/>
      <c r="C35" s="496"/>
      <c r="D35" s="496" t="s">
        <v>1127</v>
      </c>
      <c r="E35" s="607">
        <f>E34*Assumption!E8</f>
        <v>96000000</v>
      </c>
      <c r="F35" s="496" t="s">
        <v>386</v>
      </c>
      <c r="G35" s="496"/>
      <c r="H35" s="496"/>
      <c r="I35" s="294"/>
      <c r="L35" s="641">
        <v>5</v>
      </c>
      <c r="M35" s="292">
        <v>363912396</v>
      </c>
      <c r="N35" s="606">
        <f t="shared" si="15"/>
        <v>30326033</v>
      </c>
      <c r="O35" s="606">
        <f t="shared" si="16"/>
        <v>60652066</v>
      </c>
      <c r="P35" s="644"/>
    </row>
    <row r="36" spans="1:16" x14ac:dyDescent="0.25">
      <c r="L36" s="645"/>
      <c r="M36" s="648">
        <f>SUM(M31:M35)</f>
        <v>2127475500</v>
      </c>
      <c r="N36" s="648">
        <f t="shared" ref="N36:O36" si="18">SUM(N31:N35)</f>
        <v>177289625</v>
      </c>
      <c r="O36" s="648">
        <f t="shared" si="18"/>
        <v>354579250</v>
      </c>
      <c r="P36" s="646"/>
    </row>
    <row r="37" spans="1:16" x14ac:dyDescent="0.25">
      <c r="A37" s="288">
        <v>6</v>
      </c>
      <c r="B37" s="219" t="s">
        <v>1094</v>
      </c>
      <c r="C37" s="494"/>
      <c r="D37" s="291" t="s">
        <v>1078</v>
      </c>
      <c r="E37" s="299">
        <v>200000</v>
      </c>
      <c r="F37" s="430" t="s">
        <v>1131</v>
      </c>
    </row>
    <row r="38" spans="1:16" x14ac:dyDescent="0.25">
      <c r="D38" s="285" t="s">
        <v>1120</v>
      </c>
      <c r="E38" s="285">
        <f>Assumption!E7</f>
        <v>2</v>
      </c>
      <c r="F38" s="285" t="s">
        <v>1122</v>
      </c>
    </row>
    <row r="39" spans="1:16" x14ac:dyDescent="0.25">
      <c r="D39" s="285" t="s">
        <v>1132</v>
      </c>
      <c r="E39" s="285">
        <v>2</v>
      </c>
      <c r="F39" s="285" t="s">
        <v>1133</v>
      </c>
    </row>
    <row r="40" spans="1:16" x14ac:dyDescent="0.25">
      <c r="A40" s="496"/>
      <c r="B40" s="496"/>
      <c r="C40" s="496"/>
      <c r="D40" s="496" t="s">
        <v>1127</v>
      </c>
      <c r="E40" s="596">
        <f>E37*E38*E39</f>
        <v>800000</v>
      </c>
      <c r="F40" s="496" t="s">
        <v>386</v>
      </c>
      <c r="G40" s="496"/>
      <c r="H40" s="496"/>
    </row>
    <row r="42" spans="1:16" x14ac:dyDescent="0.25">
      <c r="A42" s="501">
        <v>7</v>
      </c>
      <c r="B42" s="219" t="s">
        <v>1103</v>
      </c>
      <c r="C42" s="494"/>
      <c r="D42" s="291" t="s">
        <v>1078</v>
      </c>
      <c r="E42" s="299">
        <v>3500000</v>
      </c>
      <c r="F42" s="430" t="s">
        <v>1134</v>
      </c>
    </row>
    <row r="43" spans="1:16" x14ac:dyDescent="0.25">
      <c r="D43" s="285" t="s">
        <v>1120</v>
      </c>
      <c r="E43" s="285">
        <f>Assumption!E7</f>
        <v>2</v>
      </c>
      <c r="F43" s="285" t="s">
        <v>1122</v>
      </c>
    </row>
    <row r="44" spans="1:16" x14ac:dyDescent="0.25">
      <c r="A44" s="496"/>
      <c r="B44" s="496"/>
      <c r="C44" s="496"/>
      <c r="D44" s="496" t="s">
        <v>1127</v>
      </c>
      <c r="E44" s="596">
        <f>E42*E43</f>
        <v>7000000</v>
      </c>
      <c r="F44" s="496" t="s">
        <v>589</v>
      </c>
      <c r="G44" s="496"/>
      <c r="H44" s="496"/>
    </row>
    <row r="46" spans="1:16" x14ac:dyDescent="0.25">
      <c r="A46" s="288">
        <v>8</v>
      </c>
      <c r="B46" s="219" t="s">
        <v>1102</v>
      </c>
      <c r="C46" s="494"/>
      <c r="D46" s="291" t="s">
        <v>1135</v>
      </c>
      <c r="E46" s="610">
        <v>2</v>
      </c>
      <c r="F46" s="389" t="s">
        <v>1139</v>
      </c>
      <c r="I46" s="294"/>
    </row>
    <row r="47" spans="1:16" x14ac:dyDescent="0.25">
      <c r="D47" s="285" t="s">
        <v>1137</v>
      </c>
      <c r="E47" s="552">
        <f>Assumption!E24</f>
        <v>1638084000</v>
      </c>
      <c r="F47" s="285" t="s">
        <v>1138</v>
      </c>
      <c r="G47" s="300" t="s">
        <v>1136</v>
      </c>
      <c r="I47" s="292"/>
    </row>
    <row r="48" spans="1:16" x14ac:dyDescent="0.25">
      <c r="D48" s="285" t="s">
        <v>1120</v>
      </c>
      <c r="E48" s="285">
        <f>Assumption!E7</f>
        <v>2</v>
      </c>
      <c r="F48" s="285" t="s">
        <v>1122</v>
      </c>
      <c r="I48" s="292"/>
    </row>
    <row r="49" spans="1:9" x14ac:dyDescent="0.25">
      <c r="D49" s="285" t="s">
        <v>1127</v>
      </c>
      <c r="E49" s="292">
        <f>E46*E47*E48/100</f>
        <v>65523360</v>
      </c>
      <c r="F49" s="285" t="s">
        <v>386</v>
      </c>
      <c r="I49" s="292"/>
    </row>
    <row r="50" spans="1:9" x14ac:dyDescent="0.25">
      <c r="A50" s="496"/>
      <c r="B50" s="496"/>
      <c r="C50" s="496"/>
      <c r="D50" s="496" t="s">
        <v>1204</v>
      </c>
      <c r="E50" s="601">
        <f>E49*5</f>
        <v>327616800</v>
      </c>
      <c r="F50" s="496" t="s">
        <v>386</v>
      </c>
      <c r="G50" s="496"/>
      <c r="H50" s="496"/>
    </row>
    <row r="52" spans="1:9" x14ac:dyDescent="0.25">
      <c r="A52" s="501">
        <v>9</v>
      </c>
      <c r="B52" s="285" t="s">
        <v>1042</v>
      </c>
      <c r="D52" s="285" t="s">
        <v>1121</v>
      </c>
      <c r="E52" s="287">
        <v>12</v>
      </c>
      <c r="F52" s="285" t="s">
        <v>1123</v>
      </c>
    </row>
    <row r="53" spans="1:9" x14ac:dyDescent="0.25">
      <c r="D53" s="285" t="s">
        <v>1078</v>
      </c>
      <c r="E53" s="599">
        <v>150000</v>
      </c>
      <c r="F53" s="285" t="s">
        <v>1043</v>
      </c>
    </row>
    <row r="54" spans="1:9" x14ac:dyDescent="0.25">
      <c r="D54" s="285" t="s">
        <v>1120</v>
      </c>
      <c r="E54" s="285">
        <f>Assumption!E7</f>
        <v>2</v>
      </c>
      <c r="F54" s="285" t="s">
        <v>1122</v>
      </c>
    </row>
    <row r="55" spans="1:9" x14ac:dyDescent="0.25">
      <c r="A55" s="496"/>
      <c r="B55" s="496"/>
      <c r="C55" s="496"/>
      <c r="D55" s="496" t="s">
        <v>1127</v>
      </c>
      <c r="E55" s="607">
        <f>E52*E53*E54</f>
        <v>3600000</v>
      </c>
      <c r="F55" s="496" t="s">
        <v>386</v>
      </c>
      <c r="G55" s="496"/>
      <c r="H55" s="496"/>
    </row>
    <row r="57" spans="1:9" x14ac:dyDescent="0.25">
      <c r="A57" s="501">
        <v>10</v>
      </c>
      <c r="B57" s="285" t="s">
        <v>1168</v>
      </c>
      <c r="D57" s="285" t="s">
        <v>1121</v>
      </c>
      <c r="E57" s="287">
        <v>4</v>
      </c>
      <c r="F57" s="285" t="s">
        <v>1140</v>
      </c>
    </row>
    <row r="58" spans="1:9" x14ac:dyDescent="0.25">
      <c r="D58" s="285" t="s">
        <v>1078</v>
      </c>
      <c r="E58" s="599">
        <v>150000</v>
      </c>
      <c r="F58" s="285" t="s">
        <v>1043</v>
      </c>
    </row>
    <row r="59" spans="1:9" x14ac:dyDescent="0.25">
      <c r="D59" s="285" t="s">
        <v>1120</v>
      </c>
      <c r="E59" s="285">
        <f>Assumption!E7</f>
        <v>2</v>
      </c>
      <c r="F59" s="285" t="s">
        <v>1122</v>
      </c>
    </row>
    <row r="60" spans="1:9" x14ac:dyDescent="0.25">
      <c r="A60" s="496"/>
      <c r="B60" s="496"/>
      <c r="C60" s="496"/>
      <c r="D60" s="496" t="s">
        <v>1127</v>
      </c>
      <c r="E60" s="607">
        <f>E57*E58*E59</f>
        <v>1200000</v>
      </c>
      <c r="F60" s="496" t="s">
        <v>386</v>
      </c>
      <c r="G60" s="496"/>
      <c r="H60" s="496"/>
    </row>
    <row r="62" spans="1:9" x14ac:dyDescent="0.25">
      <c r="A62" s="501">
        <v>11</v>
      </c>
      <c r="B62" s="285" t="s">
        <v>1169</v>
      </c>
      <c r="D62" s="285" t="s">
        <v>1121</v>
      </c>
      <c r="E62" s="287">
        <v>6</v>
      </c>
      <c r="F62" s="285" t="s">
        <v>1140</v>
      </c>
    </row>
    <row r="63" spans="1:9" x14ac:dyDescent="0.25">
      <c r="D63" s="285" t="s">
        <v>1078</v>
      </c>
      <c r="E63" s="599">
        <v>150000</v>
      </c>
      <c r="F63" s="285" t="s">
        <v>1043</v>
      </c>
    </row>
    <row r="64" spans="1:9" x14ac:dyDescent="0.25">
      <c r="D64" s="285" t="s">
        <v>1120</v>
      </c>
      <c r="E64" s="285">
        <f>Assumption!E7</f>
        <v>2</v>
      </c>
      <c r="F64" s="285" t="s">
        <v>1122</v>
      </c>
    </row>
    <row r="65" spans="1:8" x14ac:dyDescent="0.25">
      <c r="A65" s="496"/>
      <c r="B65" s="496"/>
      <c r="C65" s="496"/>
      <c r="D65" s="496" t="s">
        <v>1127</v>
      </c>
      <c r="E65" s="607">
        <f>E62*E63*E64</f>
        <v>1800000</v>
      </c>
      <c r="F65" s="496" t="s">
        <v>386</v>
      </c>
      <c r="G65" s="496"/>
      <c r="H65" s="496"/>
    </row>
    <row r="66" spans="1:8" x14ac:dyDescent="0.25">
      <c r="A66" s="498">
        <v>12</v>
      </c>
      <c r="B66" s="608" t="s">
        <v>740</v>
      </c>
      <c r="C66" s="496"/>
      <c r="D66" s="496"/>
      <c r="E66" s="496" t="s">
        <v>976</v>
      </c>
      <c r="F66" s="496"/>
      <c r="G66" s="496"/>
      <c r="H66" s="496"/>
    </row>
    <row r="68" spans="1:8" x14ac:dyDescent="0.25">
      <c r="A68" s="300" t="s">
        <v>66</v>
      </c>
      <c r="B68" s="300"/>
    </row>
    <row r="69" spans="1:8" x14ac:dyDescent="0.25">
      <c r="A69" s="285" t="s">
        <v>175</v>
      </c>
    </row>
    <row r="70" spans="1:8" x14ac:dyDescent="0.25">
      <c r="A70" s="285" t="s">
        <v>978</v>
      </c>
      <c r="B70" s="219"/>
      <c r="C70" s="494"/>
      <c r="D70" s="291"/>
    </row>
    <row r="71" spans="1:8" x14ac:dyDescent="0.25">
      <c r="B71" s="219" t="s">
        <v>1095</v>
      </c>
      <c r="D71" s="302">
        <v>0.02</v>
      </c>
      <c r="E71" s="303" t="s">
        <v>177</v>
      </c>
    </row>
    <row r="72" spans="1:8" x14ac:dyDescent="0.25">
      <c r="B72" s="219" t="s">
        <v>1096</v>
      </c>
      <c r="D72" s="302">
        <v>0.02</v>
      </c>
      <c r="E72" s="303" t="s">
        <v>177</v>
      </c>
    </row>
    <row r="73" spans="1:8" x14ac:dyDescent="0.25">
      <c r="B73" s="219" t="s">
        <v>1097</v>
      </c>
      <c r="D73" s="302">
        <v>0.02</v>
      </c>
      <c r="E73" s="303" t="s">
        <v>177</v>
      </c>
    </row>
    <row r="74" spans="1:8" x14ac:dyDescent="0.25">
      <c r="B74" s="219" t="s">
        <v>1098</v>
      </c>
      <c r="D74" s="302">
        <v>0.02</v>
      </c>
      <c r="E74" s="303" t="s">
        <v>177</v>
      </c>
    </row>
    <row r="75" spans="1:8" x14ac:dyDescent="0.25">
      <c r="B75" s="219" t="s">
        <v>1099</v>
      </c>
      <c r="D75" s="302">
        <v>0.02</v>
      </c>
      <c r="E75" s="303" t="s">
        <v>177</v>
      </c>
    </row>
    <row r="76" spans="1:8" x14ac:dyDescent="0.25">
      <c r="B76" s="219" t="s">
        <v>1100</v>
      </c>
      <c r="D76" s="302">
        <v>0.02</v>
      </c>
      <c r="E76" s="303" t="s">
        <v>177</v>
      </c>
    </row>
    <row r="77" spans="1:8" x14ac:dyDescent="0.25">
      <c r="B77" s="219" t="s">
        <v>1101</v>
      </c>
      <c r="D77" s="302">
        <v>0.02</v>
      </c>
      <c r="E77" s="303" t="s">
        <v>177</v>
      </c>
    </row>
    <row r="78" spans="1:8" x14ac:dyDescent="0.25">
      <c r="B78" s="219" t="s">
        <v>1141</v>
      </c>
      <c r="D78" s="302">
        <v>0.02</v>
      </c>
      <c r="E78" s="303" t="s">
        <v>177</v>
      </c>
    </row>
    <row r="79" spans="1:8" x14ac:dyDescent="0.25">
      <c r="A79" s="297"/>
      <c r="B79" s="297"/>
      <c r="C79" s="279"/>
      <c r="D79" s="297"/>
      <c r="E79" s="297"/>
      <c r="F79" s="298"/>
      <c r="G79" s="298"/>
      <c r="H79" s="279"/>
    </row>
  </sheetData>
  <pageMargins left="0.7" right="0.7" top="0.75" bottom="0.75" header="0.3" footer="0.3"/>
  <pageSetup orientation="portrait" horizontalDpi="360" verticalDpi="360" r:id="rId1"/>
  <ignoredErrors>
    <ignoredError sqref="M8 M9:M1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X59"/>
  <sheetViews>
    <sheetView showGridLines="0" zoomScaleNormal="100" workbookViewId="0">
      <pane ySplit="7" topLeftCell="A8" activePane="bottomLeft" state="frozen"/>
      <selection pane="bottomLeft" activeCell="K36" sqref="K36"/>
    </sheetView>
  </sheetViews>
  <sheetFormatPr defaultColWidth="9.125" defaultRowHeight="11.25" x14ac:dyDescent="0.25"/>
  <cols>
    <col min="1" max="1" width="2.75" style="266" customWidth="1"/>
    <col min="2" max="2" width="18.375" style="266" customWidth="1"/>
    <col min="3" max="3" width="6.875" style="266" bestFit="1" customWidth="1"/>
    <col min="4" max="4" width="18.625" style="266" customWidth="1"/>
    <col min="5" max="5" width="5.625" style="266" customWidth="1"/>
    <col min="6" max="6" width="6.625" style="266" bestFit="1" customWidth="1"/>
    <col min="7" max="7" width="10" style="266" bestFit="1" customWidth="1"/>
    <col min="8" max="8" width="16.25" style="266" customWidth="1"/>
    <col min="9" max="9" width="14.25" style="266" customWidth="1"/>
    <col min="10" max="10" width="5.625" style="266" customWidth="1"/>
    <col min="11" max="11" width="5.25" style="266" customWidth="1"/>
    <col min="12" max="12" width="7.125" style="266" bestFit="1" customWidth="1"/>
    <col min="13" max="13" width="7.625" style="266" customWidth="1"/>
    <col min="14" max="14" width="11" style="266" bestFit="1" customWidth="1"/>
    <col min="15" max="15" width="11.25" style="266" bestFit="1" customWidth="1"/>
    <col min="16" max="16" width="10.25" style="266" bestFit="1" customWidth="1"/>
    <col min="17" max="17" width="9.125" style="266"/>
    <col min="18" max="20" width="10.25" style="266" bestFit="1" customWidth="1"/>
    <col min="21" max="21" width="11.25" style="266" bestFit="1" customWidth="1"/>
    <col min="22" max="24" width="10.25" style="270" bestFit="1" customWidth="1"/>
    <col min="25" max="16384" width="9.125" style="266"/>
  </cols>
  <sheetData>
    <row r="1" spans="1:24" x14ac:dyDescent="0.2">
      <c r="A1" s="269" t="str">
        <f>Assumption!A1</f>
        <v>Bisnis Truk Thermoking</v>
      </c>
      <c r="C1" s="269"/>
    </row>
    <row r="2" spans="1:24" x14ac:dyDescent="0.2">
      <c r="A2" s="269" t="str">
        <f>Assumption!A2</f>
        <v>Financial Pre-Feasibility Study</v>
      </c>
      <c r="C2" s="269"/>
    </row>
    <row r="3" spans="1:24" x14ac:dyDescent="0.25">
      <c r="A3" s="271" t="s">
        <v>670</v>
      </c>
      <c r="C3" s="271"/>
    </row>
    <row r="5" spans="1:24" x14ac:dyDescent="0.25">
      <c r="O5" s="270"/>
      <c r="P5" s="270"/>
      <c r="Q5" s="270"/>
      <c r="V5" s="266"/>
      <c r="W5" s="266"/>
      <c r="X5" s="266"/>
    </row>
    <row r="6" spans="1:24" ht="22.5" x14ac:dyDescent="0.25">
      <c r="A6" s="258" t="s">
        <v>547</v>
      </c>
      <c r="B6" s="258"/>
      <c r="C6" s="258"/>
      <c r="D6" s="259"/>
      <c r="F6" s="748" t="s">
        <v>521</v>
      </c>
      <c r="G6" s="227" t="s">
        <v>1036</v>
      </c>
      <c r="H6" s="227" t="s">
        <v>728</v>
      </c>
      <c r="L6" s="270"/>
      <c r="M6" s="270"/>
      <c r="N6" s="270"/>
      <c r="V6" s="266"/>
      <c r="W6" s="266"/>
      <c r="X6" s="266"/>
    </row>
    <row r="7" spans="1:24" x14ac:dyDescent="0.25">
      <c r="A7" s="273"/>
      <c r="B7" s="273"/>
      <c r="C7" s="273"/>
      <c r="D7" s="274"/>
      <c r="F7" s="748"/>
      <c r="G7" s="275"/>
      <c r="H7" s="227"/>
      <c r="L7" s="270"/>
      <c r="M7" s="270"/>
      <c r="N7" s="270"/>
      <c r="V7" s="266"/>
      <c r="W7" s="266"/>
      <c r="X7" s="266"/>
    </row>
    <row r="8" spans="1:24" x14ac:dyDescent="0.25">
      <c r="A8" s="266" t="s">
        <v>150</v>
      </c>
      <c r="B8" s="266" t="s">
        <v>1036</v>
      </c>
      <c r="C8" s="446">
        <f>Assumption!E16</f>
        <v>1920000</v>
      </c>
      <c r="D8" s="266" t="s">
        <v>665</v>
      </c>
      <c r="F8" s="277">
        <v>1</v>
      </c>
      <c r="G8" s="165">
        <f>C8</f>
        <v>1920000</v>
      </c>
      <c r="H8" s="164">
        <f>G8*C9</f>
        <v>3456000000</v>
      </c>
      <c r="L8" s="270"/>
      <c r="M8" s="270"/>
      <c r="N8" s="270"/>
      <c r="V8" s="266"/>
      <c r="W8" s="266"/>
      <c r="X8" s="266"/>
    </row>
    <row r="9" spans="1:24" x14ac:dyDescent="0.2">
      <c r="A9" s="263" t="s">
        <v>151</v>
      </c>
      <c r="B9" s="263" t="s">
        <v>1104</v>
      </c>
      <c r="C9" s="447">
        <f>Assumption!E18</f>
        <v>1800</v>
      </c>
      <c r="D9" s="156" t="s">
        <v>369</v>
      </c>
      <c r="F9" s="277">
        <f>F8+1</f>
        <v>2</v>
      </c>
      <c r="G9" s="165">
        <f t="shared" ref="G9:G17" si="0">G8</f>
        <v>1920000</v>
      </c>
      <c r="H9" s="164">
        <f>H8*(1+$C$18)</f>
        <v>3525120000</v>
      </c>
      <c r="L9" s="270"/>
      <c r="M9" s="270"/>
      <c r="N9" s="270"/>
      <c r="V9" s="266"/>
      <c r="W9" s="266"/>
      <c r="X9" s="266"/>
    </row>
    <row r="10" spans="1:24" x14ac:dyDescent="0.2">
      <c r="B10" s="263"/>
      <c r="C10" s="263"/>
      <c r="D10" s="156"/>
      <c r="E10" s="278"/>
      <c r="F10" s="277">
        <f t="shared" ref="F10:F17" si="1">F9+1</f>
        <v>3</v>
      </c>
      <c r="G10" s="165">
        <f t="shared" si="0"/>
        <v>1920000</v>
      </c>
      <c r="H10" s="164">
        <f t="shared" ref="H10:H17" si="2">H9*(1+$C$18)</f>
        <v>3595622400</v>
      </c>
      <c r="L10" s="270"/>
      <c r="M10" s="270"/>
      <c r="N10" s="270"/>
      <c r="V10" s="266"/>
      <c r="W10" s="266"/>
      <c r="X10" s="266"/>
    </row>
    <row r="11" spans="1:24" x14ac:dyDescent="0.2">
      <c r="B11" s="263"/>
      <c r="C11" s="263"/>
      <c r="D11" s="156"/>
      <c r="E11" s="278"/>
      <c r="F11" s="277">
        <f t="shared" si="1"/>
        <v>4</v>
      </c>
      <c r="G11" s="165">
        <f t="shared" si="0"/>
        <v>1920000</v>
      </c>
      <c r="H11" s="164">
        <f t="shared" si="2"/>
        <v>3667534848</v>
      </c>
      <c r="L11" s="270"/>
      <c r="M11" s="270"/>
      <c r="N11" s="270"/>
      <c r="V11" s="266"/>
      <c r="W11" s="266"/>
      <c r="X11" s="266"/>
    </row>
    <row r="12" spans="1:24" x14ac:dyDescent="0.2">
      <c r="B12" s="263"/>
      <c r="C12" s="263"/>
      <c r="D12" s="156"/>
      <c r="E12" s="278"/>
      <c r="F12" s="277">
        <f t="shared" si="1"/>
        <v>5</v>
      </c>
      <c r="G12" s="165">
        <f t="shared" si="0"/>
        <v>1920000</v>
      </c>
      <c r="H12" s="164">
        <f t="shared" si="2"/>
        <v>3740885544.96</v>
      </c>
      <c r="L12" s="270"/>
      <c r="M12" s="270"/>
      <c r="N12" s="270"/>
      <c r="V12" s="266"/>
      <c r="W12" s="266"/>
      <c r="X12" s="266"/>
    </row>
    <row r="13" spans="1:24" x14ac:dyDescent="0.2">
      <c r="B13" s="263"/>
      <c r="C13" s="263"/>
      <c r="D13" s="156"/>
      <c r="E13" s="278"/>
      <c r="F13" s="277">
        <f t="shared" si="1"/>
        <v>6</v>
      </c>
      <c r="G13" s="165">
        <f t="shared" si="0"/>
        <v>1920000</v>
      </c>
      <c r="H13" s="164">
        <f t="shared" si="2"/>
        <v>3815703255.8592</v>
      </c>
      <c r="L13" s="270"/>
      <c r="M13" s="270"/>
      <c r="N13" s="270"/>
      <c r="V13" s="266"/>
      <c r="W13" s="266"/>
      <c r="X13" s="266"/>
    </row>
    <row r="14" spans="1:24" x14ac:dyDescent="0.2">
      <c r="B14" s="263"/>
      <c r="C14" s="263"/>
      <c r="D14" s="156"/>
      <c r="E14" s="278"/>
      <c r="F14" s="277">
        <f t="shared" si="1"/>
        <v>7</v>
      </c>
      <c r="G14" s="165">
        <f t="shared" si="0"/>
        <v>1920000</v>
      </c>
      <c r="H14" s="164">
        <f t="shared" si="2"/>
        <v>3892017320.9763842</v>
      </c>
      <c r="L14" s="270"/>
      <c r="M14" s="270"/>
      <c r="N14" s="270"/>
      <c r="V14" s="266"/>
      <c r="W14" s="266"/>
      <c r="X14" s="266"/>
    </row>
    <row r="15" spans="1:24" x14ac:dyDescent="0.25">
      <c r="A15" s="279"/>
      <c r="B15" s="279"/>
      <c r="C15" s="279"/>
      <c r="D15" s="279"/>
      <c r="E15" s="278"/>
      <c r="F15" s="277">
        <f t="shared" si="1"/>
        <v>8</v>
      </c>
      <c r="G15" s="165">
        <f t="shared" si="0"/>
        <v>1920000</v>
      </c>
      <c r="H15" s="164">
        <f t="shared" si="2"/>
        <v>3969857667.3959117</v>
      </c>
      <c r="L15" s="270"/>
      <c r="M15" s="270"/>
      <c r="N15" s="270"/>
      <c r="V15" s="266"/>
      <c r="W15" s="266"/>
      <c r="X15" s="266"/>
    </row>
    <row r="16" spans="1:24" x14ac:dyDescent="0.25">
      <c r="E16" s="278"/>
      <c r="F16" s="277">
        <f t="shared" si="1"/>
        <v>9</v>
      </c>
      <c r="G16" s="165">
        <f t="shared" si="0"/>
        <v>1920000</v>
      </c>
      <c r="H16" s="164">
        <f t="shared" si="2"/>
        <v>4049254820.7438302</v>
      </c>
      <c r="L16" s="270"/>
      <c r="M16" s="270"/>
      <c r="N16" s="270"/>
      <c r="V16" s="266"/>
      <c r="W16" s="266"/>
      <c r="X16" s="266"/>
    </row>
    <row r="17" spans="1:24" x14ac:dyDescent="0.25">
      <c r="A17" s="285" t="s">
        <v>175</v>
      </c>
      <c r="B17" s="285"/>
      <c r="C17" s="301"/>
      <c r="D17" s="301"/>
      <c r="E17" s="278"/>
      <c r="F17" s="277">
        <f t="shared" si="1"/>
        <v>10</v>
      </c>
      <c r="G17" s="165">
        <f t="shared" si="0"/>
        <v>1920000</v>
      </c>
      <c r="H17" s="164">
        <f t="shared" si="2"/>
        <v>4130239917.1587067</v>
      </c>
      <c r="L17" s="270"/>
      <c r="M17" s="270"/>
      <c r="N17" s="270"/>
      <c r="V17" s="266"/>
      <c r="W17" s="266"/>
      <c r="X17" s="266"/>
    </row>
    <row r="18" spans="1:24" x14ac:dyDescent="0.25">
      <c r="A18" s="389" t="s">
        <v>1105</v>
      </c>
      <c r="B18" s="285"/>
      <c r="C18" s="554">
        <v>0.02</v>
      </c>
      <c r="D18" s="303" t="s">
        <v>177</v>
      </c>
      <c r="E18" s="278"/>
      <c r="F18" s="280" t="s">
        <v>74</v>
      </c>
      <c r="G18" s="281">
        <f>SUM(G8:G17)</f>
        <v>19200000</v>
      </c>
      <c r="H18" s="281">
        <f>SUM(H8:H17)</f>
        <v>37842235775.094032</v>
      </c>
      <c r="L18" s="270"/>
      <c r="M18" s="270"/>
      <c r="N18" s="270"/>
      <c r="V18" s="266"/>
      <c r="W18" s="266"/>
      <c r="X18" s="266"/>
    </row>
    <row r="19" spans="1:24" x14ac:dyDescent="0.25">
      <c r="A19" s="389"/>
      <c r="B19" s="219"/>
      <c r="C19" s="444"/>
      <c r="D19" s="303"/>
      <c r="E19" s="278"/>
      <c r="F19" s="280" t="s">
        <v>507</v>
      </c>
      <c r="G19" s="282">
        <f>AVERAGE(G8:G17)</f>
        <v>1920000</v>
      </c>
      <c r="H19" s="282">
        <f>AVERAGE(H8:H17)</f>
        <v>3784223577.5094032</v>
      </c>
      <c r="L19" s="270"/>
      <c r="M19" s="270"/>
      <c r="N19" s="270"/>
      <c r="V19" s="266"/>
      <c r="W19" s="266"/>
      <c r="X19" s="266"/>
    </row>
    <row r="20" spans="1:24" x14ac:dyDescent="0.25">
      <c r="A20" s="445"/>
      <c r="B20" s="219"/>
      <c r="C20" s="444"/>
      <c r="D20" s="303"/>
      <c r="E20" s="301"/>
      <c r="L20" s="270"/>
      <c r="M20" s="270"/>
      <c r="N20" s="270"/>
      <c r="V20" s="266"/>
      <c r="W20" s="266"/>
      <c r="X20" s="266"/>
    </row>
    <row r="21" spans="1:24" x14ac:dyDescent="0.25">
      <c r="E21" s="285"/>
      <c r="L21" s="270"/>
      <c r="M21" s="270"/>
      <c r="N21" s="270"/>
      <c r="V21" s="266"/>
      <c r="W21" s="266"/>
      <c r="X21" s="266"/>
    </row>
    <row r="22" spans="1:24" x14ac:dyDescent="0.25">
      <c r="E22" s="285"/>
      <c r="L22" s="270"/>
      <c r="M22" s="270"/>
      <c r="N22" s="270"/>
      <c r="V22" s="266"/>
      <c r="W22" s="266"/>
      <c r="X22" s="266"/>
    </row>
    <row r="23" spans="1:24" x14ac:dyDescent="0.25">
      <c r="E23" s="285"/>
      <c r="L23" s="270"/>
      <c r="M23" s="270"/>
      <c r="N23" s="270"/>
      <c r="V23" s="266"/>
      <c r="W23" s="266"/>
      <c r="X23" s="266"/>
    </row>
    <row r="24" spans="1:24" x14ac:dyDescent="0.25">
      <c r="E24" s="278"/>
      <c r="L24" s="270"/>
      <c r="M24" s="270"/>
      <c r="N24" s="270"/>
      <c r="V24" s="266"/>
      <c r="W24" s="266"/>
      <c r="X24" s="266"/>
    </row>
    <row r="25" spans="1:24" x14ac:dyDescent="0.25">
      <c r="L25" s="270"/>
      <c r="M25" s="270"/>
      <c r="N25" s="270"/>
      <c r="V25" s="266"/>
      <c r="W25" s="266"/>
      <c r="X25" s="266"/>
    </row>
    <row r="26" spans="1:24" x14ac:dyDescent="0.25">
      <c r="L26" s="270"/>
      <c r="M26" s="270"/>
      <c r="N26" s="270"/>
      <c r="V26" s="266"/>
      <c r="W26" s="266"/>
      <c r="X26" s="266"/>
    </row>
    <row r="27" spans="1:24" x14ac:dyDescent="0.25">
      <c r="L27" s="270"/>
      <c r="M27" s="270"/>
      <c r="N27" s="270"/>
      <c r="V27" s="266"/>
      <c r="W27" s="266"/>
      <c r="X27" s="266"/>
    </row>
    <row r="28" spans="1:24" x14ac:dyDescent="0.25">
      <c r="S28" s="270"/>
      <c r="T28" s="270"/>
      <c r="U28" s="270"/>
      <c r="V28" s="266"/>
      <c r="W28" s="266"/>
      <c r="X28" s="266"/>
    </row>
    <row r="29" spans="1:24" x14ac:dyDescent="0.25">
      <c r="T29" s="270"/>
      <c r="U29" s="270"/>
      <c r="W29" s="266"/>
      <c r="X29" s="266"/>
    </row>
    <row r="35" spans="17:24" x14ac:dyDescent="0.25">
      <c r="Q35" s="270"/>
      <c r="R35" s="270"/>
      <c r="S35" s="270"/>
      <c r="V35" s="266"/>
      <c r="W35" s="266"/>
      <c r="X35" s="266"/>
    </row>
    <row r="36" spans="17:24" x14ac:dyDescent="0.25">
      <c r="Q36" s="270"/>
      <c r="R36" s="270"/>
      <c r="S36" s="270"/>
      <c r="V36" s="266"/>
      <c r="W36" s="266"/>
      <c r="X36" s="266"/>
    </row>
    <row r="37" spans="17:24" x14ac:dyDescent="0.25">
      <c r="Q37" s="270"/>
      <c r="R37" s="270"/>
      <c r="S37" s="270"/>
      <c r="V37" s="266"/>
      <c r="W37" s="266"/>
      <c r="X37" s="266"/>
    </row>
    <row r="38" spans="17:24" x14ac:dyDescent="0.25">
      <c r="Q38" s="270"/>
      <c r="R38" s="270"/>
      <c r="S38" s="270"/>
      <c r="V38" s="266"/>
      <c r="W38" s="266"/>
      <c r="X38" s="266"/>
    </row>
    <row r="39" spans="17:24" x14ac:dyDescent="0.25">
      <c r="Q39" s="270"/>
      <c r="R39" s="270"/>
      <c r="S39" s="270"/>
      <c r="V39" s="266"/>
      <c r="W39" s="266"/>
      <c r="X39" s="266"/>
    </row>
    <row r="40" spans="17:24" x14ac:dyDescent="0.25">
      <c r="Q40" s="270"/>
      <c r="R40" s="270"/>
      <c r="S40" s="270"/>
      <c r="V40" s="266"/>
      <c r="W40" s="266"/>
      <c r="X40" s="266"/>
    </row>
    <row r="41" spans="17:24" x14ac:dyDescent="0.25">
      <c r="Q41" s="270"/>
      <c r="R41" s="270"/>
      <c r="S41" s="270"/>
      <c r="V41" s="266"/>
      <c r="W41" s="266"/>
      <c r="X41" s="266"/>
    </row>
    <row r="42" spans="17:24" x14ac:dyDescent="0.25">
      <c r="Q42" s="270"/>
      <c r="R42" s="270"/>
      <c r="S42" s="270"/>
      <c r="V42" s="266"/>
      <c r="W42" s="266"/>
      <c r="X42" s="266"/>
    </row>
    <row r="43" spans="17:24" x14ac:dyDescent="0.25">
      <c r="Q43" s="270"/>
      <c r="R43" s="270"/>
      <c r="S43" s="270"/>
      <c r="V43" s="266"/>
      <c r="W43" s="266"/>
      <c r="X43" s="266"/>
    </row>
    <row r="44" spans="17:24" x14ac:dyDescent="0.25">
      <c r="Q44" s="270"/>
      <c r="R44" s="270"/>
      <c r="S44" s="270"/>
      <c r="V44" s="266"/>
      <c r="W44" s="266"/>
      <c r="X44" s="266"/>
    </row>
    <row r="45" spans="17:24" x14ac:dyDescent="0.25">
      <c r="Q45" s="270"/>
      <c r="R45" s="270"/>
      <c r="S45" s="270"/>
      <c r="V45" s="266"/>
      <c r="W45" s="266"/>
      <c r="X45" s="266"/>
    </row>
    <row r="46" spans="17:24" x14ac:dyDescent="0.25">
      <c r="Q46" s="270"/>
      <c r="R46" s="270"/>
      <c r="S46" s="270"/>
      <c r="V46" s="266"/>
      <c r="W46" s="266"/>
      <c r="X46" s="266"/>
    </row>
    <row r="47" spans="17:24" x14ac:dyDescent="0.25">
      <c r="Q47" s="270"/>
      <c r="R47" s="270"/>
      <c r="S47" s="270"/>
      <c r="V47" s="266"/>
      <c r="W47" s="266"/>
      <c r="X47" s="266"/>
    </row>
    <row r="48" spans="17:24" x14ac:dyDescent="0.25">
      <c r="Q48" s="270"/>
      <c r="R48" s="270"/>
      <c r="S48" s="270"/>
      <c r="V48" s="266"/>
      <c r="W48" s="266"/>
      <c r="X48" s="266"/>
    </row>
    <row r="49" spans="17:24" x14ac:dyDescent="0.25">
      <c r="Q49" s="270"/>
      <c r="R49" s="270"/>
      <c r="S49" s="270"/>
      <c r="V49" s="266"/>
      <c r="W49" s="266"/>
      <c r="X49" s="266"/>
    </row>
    <row r="50" spans="17:24" x14ac:dyDescent="0.25">
      <c r="Q50" s="270"/>
      <c r="R50" s="270"/>
      <c r="S50" s="270"/>
      <c r="V50" s="266"/>
      <c r="W50" s="266"/>
      <c r="X50" s="266"/>
    </row>
    <row r="51" spans="17:24" x14ac:dyDescent="0.25">
      <c r="Q51" s="270"/>
      <c r="R51" s="270"/>
      <c r="S51" s="270"/>
      <c r="V51" s="266"/>
      <c r="W51" s="266"/>
      <c r="X51" s="266"/>
    </row>
    <row r="52" spans="17:24" x14ac:dyDescent="0.25">
      <c r="Q52" s="270"/>
      <c r="R52" s="270"/>
      <c r="S52" s="270"/>
      <c r="V52" s="266"/>
      <c r="W52" s="266"/>
      <c r="X52" s="266"/>
    </row>
    <row r="53" spans="17:24" x14ac:dyDescent="0.25">
      <c r="Q53" s="270"/>
      <c r="R53" s="270"/>
      <c r="S53" s="270"/>
      <c r="V53" s="266"/>
      <c r="W53" s="266"/>
      <c r="X53" s="266"/>
    </row>
    <row r="54" spans="17:24" x14ac:dyDescent="0.25">
      <c r="Q54" s="270"/>
      <c r="R54" s="270"/>
      <c r="S54" s="270"/>
      <c r="V54" s="266"/>
      <c r="W54" s="266"/>
      <c r="X54" s="266"/>
    </row>
    <row r="55" spans="17:24" x14ac:dyDescent="0.25">
      <c r="Q55" s="270"/>
      <c r="R55" s="270"/>
      <c r="S55" s="270"/>
      <c r="V55" s="266"/>
      <c r="W55" s="266"/>
      <c r="X55" s="266"/>
    </row>
    <row r="56" spans="17:24" x14ac:dyDescent="0.25">
      <c r="Q56" s="270"/>
      <c r="R56" s="270"/>
      <c r="S56" s="270"/>
      <c r="V56" s="266"/>
      <c r="W56" s="266"/>
      <c r="X56" s="266"/>
    </row>
    <row r="57" spans="17:24" x14ac:dyDescent="0.25">
      <c r="Q57" s="270"/>
      <c r="R57" s="270"/>
      <c r="S57" s="270"/>
      <c r="V57" s="266"/>
      <c r="W57" s="266"/>
      <c r="X57" s="266"/>
    </row>
    <row r="58" spans="17:24" x14ac:dyDescent="0.25">
      <c r="Q58" s="270"/>
      <c r="R58" s="270"/>
      <c r="S58" s="270"/>
      <c r="V58" s="266"/>
      <c r="W58" s="266"/>
      <c r="X58" s="266"/>
    </row>
    <row r="59" spans="17:24" x14ac:dyDescent="0.25">
      <c r="Q59" s="270"/>
      <c r="R59" s="270"/>
      <c r="S59" s="270"/>
      <c r="V59" s="266"/>
      <c r="W59" s="266"/>
      <c r="X59" s="266"/>
    </row>
  </sheetData>
  <mergeCells count="1">
    <mergeCell ref="F6:F7"/>
  </mergeCells>
  <phoneticPr fontId="2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V49"/>
  <sheetViews>
    <sheetView showGridLines="0" zoomScaleNormal="100" workbookViewId="0">
      <pane xSplit="2" ySplit="7" topLeftCell="C11" activePane="bottomRight" state="frozen"/>
      <selection pane="topRight" activeCell="B1" sqref="B1"/>
      <selection pane="bottomLeft" activeCell="A8" sqref="A8"/>
      <selection pane="bottomRight" activeCell="S8" sqref="S8"/>
    </sheetView>
  </sheetViews>
  <sheetFormatPr defaultColWidth="9" defaultRowHeight="11.25" x14ac:dyDescent="0.2"/>
  <cols>
    <col min="1" max="1" width="2.25" style="198" customWidth="1"/>
    <col min="2" max="2" width="21.875" style="198" customWidth="1"/>
    <col min="3" max="12" width="9.75" style="198" bestFit="1" customWidth="1"/>
    <col min="13" max="13" width="2.75" style="198" customWidth="1"/>
    <col min="14" max="14" width="10.5" style="198" bestFit="1" customWidth="1"/>
    <col min="15" max="15" width="4.125" style="198" customWidth="1"/>
    <col min="16" max="16" width="3.25" style="269" customWidth="1"/>
    <col min="17" max="17" width="9.5" style="198" bestFit="1" customWidth="1"/>
    <col min="18" max="18" width="9" style="198"/>
    <col min="19" max="19" width="9.75" style="198" bestFit="1" customWidth="1"/>
    <col min="20" max="21" width="9" style="198"/>
    <col min="22" max="22" width="11" style="198" bestFit="1" customWidth="1"/>
    <col min="23" max="16384" width="9" style="198"/>
  </cols>
  <sheetData>
    <row r="1" spans="1:22" x14ac:dyDescent="0.2">
      <c r="A1" s="197" t="str">
        <f>ProjectValuation!A1</f>
        <v>Bisnis Truk Thermoking</v>
      </c>
      <c r="K1" s="263"/>
    </row>
    <row r="2" spans="1:22" x14ac:dyDescent="0.2">
      <c r="A2" s="197" t="str">
        <f>ProjectValuation!A2</f>
        <v>Financial Pre-Feasibility Study</v>
      </c>
      <c r="K2" s="219"/>
    </row>
    <row r="3" spans="1:22" x14ac:dyDescent="0.2">
      <c r="A3" s="199" t="s">
        <v>526</v>
      </c>
      <c r="K3" s="263"/>
    </row>
    <row r="4" spans="1:22" x14ac:dyDescent="0.2">
      <c r="K4" s="209"/>
    </row>
    <row r="5" spans="1:22" x14ac:dyDescent="0.2">
      <c r="I5" s="200"/>
      <c r="K5" s="263"/>
    </row>
    <row r="6" spans="1:22" x14ac:dyDescent="0.2">
      <c r="A6" s="198" t="s">
        <v>634</v>
      </c>
      <c r="K6" s="266"/>
    </row>
    <row r="7" spans="1:22" ht="20.100000000000001" customHeight="1" x14ac:dyDescent="0.2">
      <c r="A7" s="181" t="s">
        <v>521</v>
      </c>
      <c r="B7" s="181"/>
      <c r="C7" s="182">
        <v>1</v>
      </c>
      <c r="D7" s="182">
        <f>C7+1</f>
        <v>2</v>
      </c>
      <c r="E7" s="182">
        <f t="shared" ref="E7:L7" si="0">D7+1</f>
        <v>3</v>
      </c>
      <c r="F7" s="182">
        <f t="shared" si="0"/>
        <v>4</v>
      </c>
      <c r="G7" s="182">
        <f t="shared" si="0"/>
        <v>5</v>
      </c>
      <c r="H7" s="182">
        <f t="shared" si="0"/>
        <v>6</v>
      </c>
      <c r="I7" s="182">
        <f t="shared" si="0"/>
        <v>7</v>
      </c>
      <c r="J7" s="182">
        <f t="shared" si="0"/>
        <v>8</v>
      </c>
      <c r="K7" s="182">
        <f t="shared" si="0"/>
        <v>9</v>
      </c>
      <c r="L7" s="182">
        <f t="shared" si="0"/>
        <v>10</v>
      </c>
      <c r="M7" s="202"/>
      <c r="N7" s="203" t="s">
        <v>74</v>
      </c>
    </row>
    <row r="8" spans="1:22" x14ac:dyDescent="0.2">
      <c r="A8" s="269" t="s">
        <v>676</v>
      </c>
      <c r="C8" s="308">
        <f>Revenue!H8</f>
        <v>3456000000</v>
      </c>
      <c r="D8" s="308">
        <f>Revenue!H9</f>
        <v>3525120000</v>
      </c>
      <c r="E8" s="308">
        <f>Revenue!H10</f>
        <v>3595622400</v>
      </c>
      <c r="F8" s="308">
        <f>Revenue!H11</f>
        <v>3667534848</v>
      </c>
      <c r="G8" s="308">
        <f>Revenue!H12</f>
        <v>3740885544.96</v>
      </c>
      <c r="H8" s="308">
        <f>Revenue!H13</f>
        <v>3815703255.8592</v>
      </c>
      <c r="I8" s="308">
        <f>Revenue!H14</f>
        <v>3892017320.9763842</v>
      </c>
      <c r="J8" s="308">
        <f>Revenue!H15</f>
        <v>3969857667.3959117</v>
      </c>
      <c r="K8" s="308">
        <f>Revenue!H16</f>
        <v>4049254820.7438302</v>
      </c>
      <c r="L8" s="308">
        <f>Revenue!H17</f>
        <v>4130239917.1587067</v>
      </c>
      <c r="M8" s="204"/>
      <c r="N8" s="490">
        <f>SUM(C8:L8)</f>
        <v>37842235775.094032</v>
      </c>
      <c r="P8" s="269" t="s">
        <v>163</v>
      </c>
      <c r="S8" s="490">
        <f>AVERAGE(C8:L8)</f>
        <v>3784223577.5094032</v>
      </c>
    </row>
    <row r="9" spans="1:22" x14ac:dyDescent="0.2">
      <c r="A9" s="269" t="s">
        <v>730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204"/>
      <c r="N9" s="201"/>
      <c r="P9" s="269" t="s">
        <v>684</v>
      </c>
    </row>
    <row r="10" spans="1:22" x14ac:dyDescent="0.2">
      <c r="B10" s="394" t="s">
        <v>727</v>
      </c>
      <c r="C10" s="156">
        <f>'Variable Cost'!S7</f>
        <v>1597449600</v>
      </c>
      <c r="D10" s="156">
        <f>'Variable Cost'!S8</f>
        <v>1629398592</v>
      </c>
      <c r="E10" s="156">
        <f>'Variable Cost'!S9</f>
        <v>1661986563.8399999</v>
      </c>
      <c r="F10" s="156">
        <f>'Variable Cost'!S10</f>
        <v>1695226295.1168003</v>
      </c>
      <c r="G10" s="156">
        <f>'Variable Cost'!S11</f>
        <v>1729130821.019136</v>
      </c>
      <c r="H10" s="156">
        <f>'Variable Cost'!S12</f>
        <v>1763713437.4395189</v>
      </c>
      <c r="I10" s="156">
        <f>'Variable Cost'!S13</f>
        <v>1798987706.1883094</v>
      </c>
      <c r="J10" s="156">
        <f>'Variable Cost'!S14</f>
        <v>1834967460.3120754</v>
      </c>
      <c r="K10" s="156">
        <f>'Variable Cost'!S15</f>
        <v>1871666809.5183172</v>
      </c>
      <c r="L10" s="156">
        <f>'Variable Cost'!S16</f>
        <v>1909100145.7086835</v>
      </c>
      <c r="M10" s="204"/>
      <c r="N10" s="201">
        <f>SUM(C10:L10)</f>
        <v>17491627431.142838</v>
      </c>
      <c r="O10" s="198">
        <f>N10/($N$12+$N$20)</f>
        <v>0.61880752991534693</v>
      </c>
      <c r="Q10" s="198" t="s">
        <v>727</v>
      </c>
    </row>
    <row r="11" spans="1:22" x14ac:dyDescent="0.2">
      <c r="B11" s="395" t="s">
        <v>1237</v>
      </c>
      <c r="C11" s="156">
        <f>'Ovh Cost'!W7</f>
        <v>1006633600</v>
      </c>
      <c r="D11" s="156">
        <f>'Ovh Cost'!W8</f>
        <v>685904800</v>
      </c>
      <c r="E11" s="156">
        <f>'Ovh Cost'!W9</f>
        <v>692930560</v>
      </c>
      <c r="F11" s="156">
        <f>'Ovh Cost'!W10</f>
        <v>700096835.20000005</v>
      </c>
      <c r="G11" s="156">
        <f>'Ovh Cost'!W11</f>
        <v>707406435.90400004</v>
      </c>
      <c r="H11" s="156">
        <f>'Ovh Cost'!W12</f>
        <v>780385588.62208009</v>
      </c>
      <c r="I11" s="156">
        <f>'Ovh Cost'!W13</f>
        <v>789300964.39452159</v>
      </c>
      <c r="J11" s="156">
        <f>'Ovh Cost'!W14</f>
        <v>798394647.68241203</v>
      </c>
      <c r="K11" s="156">
        <f>'Ovh Cost'!W15</f>
        <v>807670204.63606024</v>
      </c>
      <c r="L11" s="156">
        <f>'Ovh Cost'!W16</f>
        <v>817131272.72878146</v>
      </c>
      <c r="M11" s="204"/>
      <c r="N11" s="201">
        <f>SUM(C11:L11)</f>
        <v>7785854909.1678553</v>
      </c>
      <c r="O11" s="198">
        <f>N11/($N$12+$N$20)</f>
        <v>0.27544296055856776</v>
      </c>
      <c r="Q11" s="198" t="s">
        <v>731</v>
      </c>
    </row>
    <row r="12" spans="1:22" x14ac:dyDescent="0.2">
      <c r="C12" s="156">
        <f>SUM(C10:C11)</f>
        <v>2604083200</v>
      </c>
      <c r="D12" s="156">
        <f t="shared" ref="D12:L12" si="1">SUM(D10:D11)</f>
        <v>2315303392</v>
      </c>
      <c r="E12" s="156">
        <f t="shared" si="1"/>
        <v>2354917123.8400002</v>
      </c>
      <c r="F12" s="156">
        <f t="shared" si="1"/>
        <v>2395323130.3168001</v>
      </c>
      <c r="G12" s="156">
        <f t="shared" si="1"/>
        <v>2436537256.9231358</v>
      </c>
      <c r="H12" s="156">
        <f t="shared" si="1"/>
        <v>2544099026.0615988</v>
      </c>
      <c r="I12" s="156">
        <f t="shared" si="1"/>
        <v>2588288670.5828309</v>
      </c>
      <c r="J12" s="156">
        <f t="shared" si="1"/>
        <v>2633362107.9944873</v>
      </c>
      <c r="K12" s="156">
        <f t="shared" si="1"/>
        <v>2679337014.1543775</v>
      </c>
      <c r="L12" s="156">
        <f t="shared" si="1"/>
        <v>2726231418.4374647</v>
      </c>
      <c r="M12" s="204"/>
      <c r="N12" s="201">
        <f>SUM(C12:L12)</f>
        <v>25277482340.310696</v>
      </c>
    </row>
    <row r="13" spans="1:22" x14ac:dyDescent="0.2">
      <c r="A13" s="269" t="s">
        <v>686</v>
      </c>
      <c r="C13" s="308">
        <f t="shared" ref="C13:L13" si="2">C8-C12</f>
        <v>851916800</v>
      </c>
      <c r="D13" s="308">
        <f t="shared" si="2"/>
        <v>1209816608</v>
      </c>
      <c r="E13" s="308">
        <f t="shared" si="2"/>
        <v>1240705276.1599998</v>
      </c>
      <c r="F13" s="308">
        <f t="shared" si="2"/>
        <v>1272211717.6831999</v>
      </c>
      <c r="G13" s="308">
        <f t="shared" si="2"/>
        <v>1304348288.0368643</v>
      </c>
      <c r="H13" s="308">
        <f t="shared" si="2"/>
        <v>1271604229.7976012</v>
      </c>
      <c r="I13" s="308">
        <f t="shared" si="2"/>
        <v>1303728650.3935533</v>
      </c>
      <c r="J13" s="308">
        <f t="shared" si="2"/>
        <v>1336495559.4014244</v>
      </c>
      <c r="K13" s="308">
        <f t="shared" si="2"/>
        <v>1369917806.5894527</v>
      </c>
      <c r="L13" s="308">
        <f t="shared" si="2"/>
        <v>1404008498.721242</v>
      </c>
      <c r="M13" s="204"/>
      <c r="N13" s="490">
        <f>SUM(C13:L13)</f>
        <v>12564753434.783337</v>
      </c>
      <c r="P13" s="269" t="s">
        <v>283</v>
      </c>
      <c r="V13" s="198">
        <v>380000</v>
      </c>
    </row>
    <row r="14" spans="1:22" x14ac:dyDescent="0.2">
      <c r="A14" s="269" t="s">
        <v>689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204"/>
      <c r="N14" s="201"/>
      <c r="P14" s="269" t="s">
        <v>688</v>
      </c>
      <c r="V14" s="214">
        <f>(D12+D20)/12</f>
        <v>215891949.33333334</v>
      </c>
    </row>
    <row r="15" spans="1:22" x14ac:dyDescent="0.2">
      <c r="B15" s="263" t="s">
        <v>675</v>
      </c>
      <c r="C15" s="201">
        <f>'[2]SG&amp;A Truck Thermoking'!H7</f>
        <v>221000000</v>
      </c>
      <c r="D15" s="201">
        <f>'[2]SG&amp;A Truck Thermoking'!H8</f>
        <v>225420000</v>
      </c>
      <c r="E15" s="201">
        <f>'[2]SG&amp;A Truck Thermoking'!H9</f>
        <v>229928400</v>
      </c>
      <c r="F15" s="201">
        <f>'[2]SG&amp;A Truck Thermoking'!H10</f>
        <v>234526968</v>
      </c>
      <c r="G15" s="201">
        <f>'[2]SG&amp;A Truck Thermoking'!H11</f>
        <v>239217507.36000001</v>
      </c>
      <c r="H15" s="201">
        <f>'[2]SG&amp;A Truck Thermoking'!H12</f>
        <v>244001857.50720003</v>
      </c>
      <c r="I15" s="201">
        <f>'[2]SG&amp;A Truck Thermoking'!H13</f>
        <v>248881894.65734404</v>
      </c>
      <c r="J15" s="201">
        <f>'[2]SG&amp;A Truck Thermoking'!H14</f>
        <v>253859532.55049092</v>
      </c>
      <c r="K15" s="201">
        <f>'[2]SG&amp;A Truck Thermoking'!H15</f>
        <v>258936723.20150074</v>
      </c>
      <c r="L15" s="201">
        <f>'[2]SG&amp;A Truck Thermoking'!H16</f>
        <v>264115457.66553077</v>
      </c>
      <c r="M15" s="204"/>
      <c r="N15" s="201">
        <f t="shared" ref="N15:N21" si="3">SUM(C15:L15)</f>
        <v>2419888340.9420667</v>
      </c>
      <c r="O15" s="198">
        <f>N15/($N$12+$N$20)</f>
        <v>8.5609251215995608E-2</v>
      </c>
      <c r="Q15" s="198" t="s">
        <v>714</v>
      </c>
      <c r="V15" s="214">
        <f>SUM(V13:V14)</f>
        <v>216271949.33333334</v>
      </c>
    </row>
    <row r="16" spans="1:22" x14ac:dyDescent="0.2">
      <c r="B16" s="219" t="s">
        <v>737</v>
      </c>
      <c r="C16" s="201">
        <f>'[2]SG&amp;A Truck Thermoking'!I7</f>
        <v>25000000</v>
      </c>
      <c r="D16" s="201">
        <f>'[2]SG&amp;A Truck Thermoking'!I8</f>
        <v>25500000</v>
      </c>
      <c r="E16" s="201">
        <f>'[2]SG&amp;A Truck Thermoking'!I9</f>
        <v>26010000</v>
      </c>
      <c r="F16" s="201">
        <f>'[2]SG&amp;A Truck Thermoking'!I10</f>
        <v>26530200</v>
      </c>
      <c r="G16" s="201">
        <f>'[2]SG&amp;A Truck Thermoking'!I11</f>
        <v>27060804</v>
      </c>
      <c r="H16" s="201">
        <f>'[2]SG&amp;A Truck Thermoking'!I12</f>
        <v>27602020.080000002</v>
      </c>
      <c r="I16" s="201">
        <f>'[2]SG&amp;A Truck Thermoking'!I13</f>
        <v>28154060.481600001</v>
      </c>
      <c r="J16" s="201">
        <f>'[2]SG&amp;A Truck Thermoking'!I14</f>
        <v>28717141.691232003</v>
      </c>
      <c r="K16" s="201">
        <f>'[2]SG&amp;A Truck Thermoking'!I15</f>
        <v>29291484.525056645</v>
      </c>
      <c r="L16" s="201">
        <f>'[2]SG&amp;A Truck Thermoking'!I16</f>
        <v>29877314.21555778</v>
      </c>
      <c r="M16" s="204"/>
      <c r="N16" s="201">
        <f t="shared" si="3"/>
        <v>273743024.99344641</v>
      </c>
      <c r="O16" s="198">
        <f>N16/($N$12+$N$20)</f>
        <v>9.6843044361985958E-3</v>
      </c>
      <c r="Q16" s="198" t="s">
        <v>965</v>
      </c>
    </row>
    <row r="17" spans="1:21" x14ac:dyDescent="0.2">
      <c r="B17" s="263" t="s">
        <v>738</v>
      </c>
      <c r="C17" s="201">
        <f>'[2]SG&amp;A Truck Thermoking'!J7</f>
        <v>12000000</v>
      </c>
      <c r="D17" s="201">
        <f>'[2]SG&amp;A Truck Thermoking'!J8</f>
        <v>12240000</v>
      </c>
      <c r="E17" s="201">
        <f>'[2]SG&amp;A Truck Thermoking'!J9</f>
        <v>12484800</v>
      </c>
      <c r="F17" s="201">
        <f>'[2]SG&amp;A Truck Thermoking'!J10</f>
        <v>12734496</v>
      </c>
      <c r="G17" s="201">
        <f>'[2]SG&amp;A Truck Thermoking'!J11</f>
        <v>12989185.92</v>
      </c>
      <c r="H17" s="201">
        <f>'[2]SG&amp;A Truck Thermoking'!J12</f>
        <v>13248969.6384</v>
      </c>
      <c r="I17" s="201">
        <f>'[2]SG&amp;A Truck Thermoking'!J13</f>
        <v>13513949.031167999</v>
      </c>
      <c r="J17" s="201">
        <f>'[2]SG&amp;A Truck Thermoking'!J14</f>
        <v>13784228.01179136</v>
      </c>
      <c r="K17" s="201">
        <f>'[2]SG&amp;A Truck Thermoking'!J15</f>
        <v>14059912.572027188</v>
      </c>
      <c r="L17" s="201">
        <f>'[2]SG&amp;A Truck Thermoking'!J16</f>
        <v>14341110.823467731</v>
      </c>
      <c r="M17" s="204"/>
      <c r="N17" s="201">
        <f t="shared" si="3"/>
        <v>131396651.99685429</v>
      </c>
      <c r="O17" s="198">
        <f>N17/($N$12+$N$20)</f>
        <v>4.6484661293753268E-3</v>
      </c>
      <c r="Q17" s="198" t="s">
        <v>335</v>
      </c>
    </row>
    <row r="18" spans="1:21" x14ac:dyDescent="0.2">
      <c r="B18" s="439" t="s">
        <v>739</v>
      </c>
      <c r="C18" s="201">
        <f>'[2]SG&amp;A Truck Thermoking'!K7</f>
        <v>12000000</v>
      </c>
      <c r="D18" s="201">
        <f>'[2]SG&amp;A Truck Thermoking'!K8</f>
        <v>12240000</v>
      </c>
      <c r="E18" s="201">
        <f>'[2]SG&amp;A Truck Thermoking'!K9</f>
        <v>12484800</v>
      </c>
      <c r="F18" s="201">
        <f>'[2]SG&amp;A Truck Thermoking'!K10</f>
        <v>12734496</v>
      </c>
      <c r="G18" s="201">
        <f>'[2]SG&amp;A Truck Thermoking'!K11</f>
        <v>12989185.92</v>
      </c>
      <c r="H18" s="201">
        <f>'[2]SG&amp;A Truck Thermoking'!K12</f>
        <v>13248969.6384</v>
      </c>
      <c r="I18" s="201">
        <f>'[2]SG&amp;A Truck Thermoking'!K13</f>
        <v>13513949.031167999</v>
      </c>
      <c r="J18" s="201">
        <f>'[2]SG&amp;A Truck Thermoking'!K14</f>
        <v>13784228.01179136</v>
      </c>
      <c r="K18" s="201">
        <f>'[2]SG&amp;A Truck Thermoking'!K15</f>
        <v>14059912.572027188</v>
      </c>
      <c r="L18" s="201">
        <f>'[2]SG&amp;A Truck Thermoking'!K16</f>
        <v>14341110.823467731</v>
      </c>
      <c r="M18" s="204"/>
      <c r="N18" s="201">
        <f t="shared" si="3"/>
        <v>131396651.99685429</v>
      </c>
      <c r="O18" s="198">
        <f>N18/($N$12+$N$20)</f>
        <v>4.6484661293753268E-3</v>
      </c>
      <c r="Q18" s="198" t="s">
        <v>966</v>
      </c>
    </row>
    <row r="19" spans="1:21" x14ac:dyDescent="0.2">
      <c r="B19" s="439" t="str">
        <f>'[2]SG&amp;A Truck Thermoking'!L6</f>
        <v>Adm Leasing</v>
      </c>
      <c r="C19" s="201">
        <f>'SG&amp;A Truck Thermoking'!L7</f>
        <v>32761680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4"/>
      <c r="N19" s="201"/>
    </row>
    <row r="20" spans="1:21" x14ac:dyDescent="0.2">
      <c r="C20" s="201">
        <f>SUM(C15:C19)</f>
        <v>302761680</v>
      </c>
      <c r="D20" s="201">
        <f t="shared" ref="D20:L20" si="4">SUM(D15:D19)</f>
        <v>275400000</v>
      </c>
      <c r="E20" s="201">
        <f t="shared" si="4"/>
        <v>280908000</v>
      </c>
      <c r="F20" s="201">
        <f t="shared" si="4"/>
        <v>286526160</v>
      </c>
      <c r="G20" s="201">
        <f t="shared" si="4"/>
        <v>292256683.20000005</v>
      </c>
      <c r="H20" s="201">
        <f t="shared" si="4"/>
        <v>298101816.86400008</v>
      </c>
      <c r="I20" s="201">
        <f t="shared" si="4"/>
        <v>304063853.20128</v>
      </c>
      <c r="J20" s="201">
        <f t="shared" si="4"/>
        <v>310145130.26530564</v>
      </c>
      <c r="K20" s="201">
        <f t="shared" si="4"/>
        <v>316348032.87061179</v>
      </c>
      <c r="L20" s="201">
        <f t="shared" si="4"/>
        <v>322674993.52802402</v>
      </c>
      <c r="M20" s="204"/>
      <c r="N20" s="201">
        <f t="shared" si="3"/>
        <v>2989186349.9292216</v>
      </c>
    </row>
    <row r="21" spans="1:21" x14ac:dyDescent="0.2">
      <c r="A21" s="269" t="s">
        <v>523</v>
      </c>
      <c r="C21" s="308">
        <f t="shared" ref="C21:L21" si="5">C13-C20</f>
        <v>549155120</v>
      </c>
      <c r="D21" s="308">
        <f t="shared" si="5"/>
        <v>934416608</v>
      </c>
      <c r="E21" s="308">
        <f t="shared" si="5"/>
        <v>959797276.15999985</v>
      </c>
      <c r="F21" s="308">
        <f t="shared" si="5"/>
        <v>985685557.68319988</v>
      </c>
      <c r="G21" s="308">
        <f t="shared" si="5"/>
        <v>1012091604.8368642</v>
      </c>
      <c r="H21" s="308">
        <f t="shared" si="5"/>
        <v>973502412.93360114</v>
      </c>
      <c r="I21" s="308">
        <f t="shared" si="5"/>
        <v>999664797.19227326</v>
      </c>
      <c r="J21" s="308">
        <f t="shared" si="5"/>
        <v>1026350429.1361188</v>
      </c>
      <c r="K21" s="308">
        <f t="shared" si="5"/>
        <v>1053569773.718841</v>
      </c>
      <c r="L21" s="308">
        <f t="shared" si="5"/>
        <v>1081333505.193218</v>
      </c>
      <c r="M21" s="204"/>
      <c r="N21" s="490">
        <f t="shared" si="3"/>
        <v>9575567084.8541164</v>
      </c>
      <c r="P21" s="269" t="s">
        <v>690</v>
      </c>
    </row>
    <row r="22" spans="1:21" x14ac:dyDescent="0.2">
      <c r="A22" s="269"/>
      <c r="C22" s="308"/>
      <c r="D22" s="308"/>
      <c r="E22" s="308"/>
      <c r="F22" s="308"/>
      <c r="G22" s="308"/>
      <c r="H22" s="308"/>
      <c r="I22" s="308"/>
      <c r="J22" s="308"/>
      <c r="K22" s="308"/>
      <c r="L22" s="308"/>
      <c r="M22" s="204"/>
      <c r="N22" s="490"/>
    </row>
    <row r="23" spans="1:21" x14ac:dyDescent="0.2">
      <c r="B23" s="198" t="s">
        <v>677</v>
      </c>
      <c r="C23" s="156">
        <f>LoanInterest!L8</f>
        <v>206398584</v>
      </c>
      <c r="D23" s="156">
        <f>LoanInterest!L9</f>
        <v>206398584</v>
      </c>
      <c r="E23" s="156">
        <f>LoanInterest!L10</f>
        <v>206398584</v>
      </c>
      <c r="F23" s="156">
        <f>LoanInterest!L11</f>
        <v>206398584</v>
      </c>
      <c r="G23" s="156">
        <f>LoanInterest!L12</f>
        <v>206398584</v>
      </c>
      <c r="H23" s="156">
        <f>LoanInterest!L14</f>
        <v>0</v>
      </c>
      <c r="I23" s="156">
        <f>LoanInterest!L14</f>
        <v>0</v>
      </c>
      <c r="J23" s="156">
        <f>LoanInterest!L15</f>
        <v>0</v>
      </c>
      <c r="K23" s="156">
        <f>LoanInterest!L16</f>
        <v>0</v>
      </c>
      <c r="L23" s="156">
        <f>LoanInterest!L17</f>
        <v>0</v>
      </c>
      <c r="M23" s="204"/>
      <c r="N23" s="201"/>
      <c r="Q23" s="198" t="s">
        <v>715</v>
      </c>
    </row>
    <row r="24" spans="1:21" x14ac:dyDescent="0.2">
      <c r="A24" s="269" t="s">
        <v>524</v>
      </c>
      <c r="C24" s="308">
        <f t="shared" ref="C24:L24" si="6">C21+C22-C23</f>
        <v>342756536</v>
      </c>
      <c r="D24" s="308">
        <f t="shared" si="6"/>
        <v>728018024</v>
      </c>
      <c r="E24" s="308">
        <f t="shared" si="6"/>
        <v>753398692.15999985</v>
      </c>
      <c r="F24" s="308">
        <f t="shared" si="6"/>
        <v>779286973.68319988</v>
      </c>
      <c r="G24" s="308">
        <f t="shared" si="6"/>
        <v>805693020.83686423</v>
      </c>
      <c r="H24" s="308">
        <f t="shared" si="6"/>
        <v>973502412.93360114</v>
      </c>
      <c r="I24" s="308">
        <f t="shared" si="6"/>
        <v>999664797.19227326</v>
      </c>
      <c r="J24" s="308">
        <f t="shared" si="6"/>
        <v>1026350429.1361188</v>
      </c>
      <c r="K24" s="308">
        <f t="shared" si="6"/>
        <v>1053569773.718841</v>
      </c>
      <c r="L24" s="308">
        <f t="shared" si="6"/>
        <v>1081333505.193218</v>
      </c>
      <c r="M24" s="204"/>
      <c r="N24" s="490">
        <f>SUM(C24:L24)</f>
        <v>8543574164.8541164</v>
      </c>
      <c r="P24" s="269" t="s">
        <v>691</v>
      </c>
    </row>
    <row r="25" spans="1:21" x14ac:dyDescent="0.2">
      <c r="B25" s="198" t="s">
        <v>687</v>
      </c>
      <c r="C25" s="156">
        <f>C24*Assumption!$E$38%</f>
        <v>37703218.960000001</v>
      </c>
      <c r="D25" s="156">
        <f>D24*Assumption!$E$38%</f>
        <v>80081982.640000001</v>
      </c>
      <c r="E25" s="156">
        <f>E24*Assumption!$E$38%</f>
        <v>82873856.13759999</v>
      </c>
      <c r="F25" s="156">
        <f>F24*Assumption!$E$38%</f>
        <v>85721567.105151981</v>
      </c>
      <c r="G25" s="156">
        <f>G24*Assumption!$E$38%</f>
        <v>88626232.29205507</v>
      </c>
      <c r="H25" s="156">
        <f>H24*Assumption!$E$38%</f>
        <v>107085265.42269613</v>
      </c>
      <c r="I25" s="156">
        <f>I24*Assumption!$E$38%</f>
        <v>109963127.69115005</v>
      </c>
      <c r="J25" s="156">
        <f>J24*Assumption!$E$38%</f>
        <v>112898547.20497307</v>
      </c>
      <c r="K25" s="156">
        <f>K24*Assumption!$E$38%</f>
        <v>115892675.10907251</v>
      </c>
      <c r="L25" s="156">
        <f>L24*Assumption!$E$38%</f>
        <v>118946685.57125399</v>
      </c>
      <c r="M25" s="204"/>
      <c r="N25" s="201">
        <f>SUM(C25:L25)</f>
        <v>939793158.13395286</v>
      </c>
      <c r="Q25" s="198" t="s">
        <v>716</v>
      </c>
    </row>
    <row r="26" spans="1:21" x14ac:dyDescent="0.2">
      <c r="A26" s="269" t="s">
        <v>525</v>
      </c>
      <c r="C26" s="308">
        <f>C24-C25</f>
        <v>305053317.04000002</v>
      </c>
      <c r="D26" s="308">
        <f t="shared" ref="D26:L26" si="7">D24-D25</f>
        <v>647936041.36000001</v>
      </c>
      <c r="E26" s="308">
        <f t="shared" si="7"/>
        <v>670524836.0223999</v>
      </c>
      <c r="F26" s="308">
        <f t="shared" si="7"/>
        <v>693565406.57804787</v>
      </c>
      <c r="G26" s="308">
        <f>G24-G25</f>
        <v>717066788.5448091</v>
      </c>
      <c r="H26" s="308">
        <f t="shared" si="7"/>
        <v>866417147.51090503</v>
      </c>
      <c r="I26" s="308">
        <f t="shared" si="7"/>
        <v>889701669.50112319</v>
      </c>
      <c r="J26" s="308">
        <f t="shared" si="7"/>
        <v>913451881.93114567</v>
      </c>
      <c r="K26" s="308">
        <f t="shared" si="7"/>
        <v>937677098.60976839</v>
      </c>
      <c r="L26" s="308">
        <f t="shared" si="7"/>
        <v>962386819.62196398</v>
      </c>
      <c r="M26" s="204"/>
      <c r="N26" s="490">
        <f>SUM(C26:L26)</f>
        <v>7603781006.7201633</v>
      </c>
      <c r="P26" s="269" t="s">
        <v>171</v>
      </c>
      <c r="R26" s="156">
        <f>AVERAGE(C26:L26)</f>
        <v>760378100.67201638</v>
      </c>
      <c r="U26" s="207"/>
    </row>
    <row r="27" spans="1:21" x14ac:dyDescent="0.2">
      <c r="A27" s="20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</row>
    <row r="28" spans="1:21" x14ac:dyDescent="0.2">
      <c r="A28" s="269" t="s">
        <v>683</v>
      </c>
    </row>
    <row r="29" spans="1:21" x14ac:dyDescent="0.2">
      <c r="A29" s="198" t="s">
        <v>682</v>
      </c>
      <c r="C29" s="201"/>
      <c r="F29" s="201"/>
      <c r="G29" s="201"/>
      <c r="H29" s="201"/>
      <c r="I29" s="201"/>
      <c r="J29" s="201"/>
      <c r="K29" s="201"/>
      <c r="L29" s="201"/>
      <c r="M29" s="204"/>
      <c r="N29" s="201"/>
    </row>
    <row r="30" spans="1:21" x14ac:dyDescent="0.2">
      <c r="B30" s="198" t="s">
        <v>692</v>
      </c>
      <c r="C30" s="201">
        <f t="shared" ref="C30:L30" si="8">C8</f>
        <v>3456000000</v>
      </c>
      <c r="D30" s="201">
        <f t="shared" si="8"/>
        <v>3525120000</v>
      </c>
      <c r="E30" s="201">
        <f t="shared" si="8"/>
        <v>3595622400</v>
      </c>
      <c r="F30" s="201">
        <f t="shared" si="8"/>
        <v>3667534848</v>
      </c>
      <c r="G30" s="201">
        <f t="shared" si="8"/>
        <v>3740885544.96</v>
      </c>
      <c r="H30" s="201">
        <f t="shared" si="8"/>
        <v>3815703255.8592</v>
      </c>
      <c r="I30" s="201">
        <f t="shared" si="8"/>
        <v>3892017320.9763842</v>
      </c>
      <c r="J30" s="201">
        <f t="shared" si="8"/>
        <v>3969857667.3959117</v>
      </c>
      <c r="K30" s="201">
        <f t="shared" si="8"/>
        <v>4049254820.7438302</v>
      </c>
      <c r="L30" s="201">
        <f t="shared" si="8"/>
        <v>4130239917.1587067</v>
      </c>
      <c r="M30" s="204"/>
      <c r="N30" s="201">
        <f>N8</f>
        <v>37842235775.094032</v>
      </c>
      <c r="S30" s="200">
        <v>327616800</v>
      </c>
    </row>
    <row r="31" spans="1:21" x14ac:dyDescent="0.2">
      <c r="B31" s="198" t="s">
        <v>684</v>
      </c>
      <c r="C31" s="201">
        <f t="shared" ref="C31:L31" si="9">C12</f>
        <v>2604083200</v>
      </c>
      <c r="D31" s="201">
        <f t="shared" si="9"/>
        <v>2315303392</v>
      </c>
      <c r="E31" s="201">
        <f t="shared" si="9"/>
        <v>2354917123.8400002</v>
      </c>
      <c r="F31" s="201">
        <f t="shared" si="9"/>
        <v>2395323130.3168001</v>
      </c>
      <c r="G31" s="201">
        <f t="shared" si="9"/>
        <v>2436537256.9231358</v>
      </c>
      <c r="H31" s="201">
        <f t="shared" si="9"/>
        <v>2544099026.0615988</v>
      </c>
      <c r="I31" s="201">
        <f t="shared" si="9"/>
        <v>2588288670.5828309</v>
      </c>
      <c r="J31" s="201">
        <f t="shared" si="9"/>
        <v>2633362107.9944873</v>
      </c>
      <c r="K31" s="201">
        <f t="shared" si="9"/>
        <v>2679337014.1543775</v>
      </c>
      <c r="L31" s="201">
        <f t="shared" si="9"/>
        <v>2726231418.4374647</v>
      </c>
      <c r="M31" s="204"/>
      <c r="N31" s="201">
        <f>N12</f>
        <v>25277482340.310696</v>
      </c>
    </row>
    <row r="32" spans="1:21" x14ac:dyDescent="0.2">
      <c r="B32" s="198" t="s">
        <v>171</v>
      </c>
      <c r="C32" s="201">
        <f>C26</f>
        <v>305053317.04000002</v>
      </c>
      <c r="D32" s="201">
        <f t="shared" ref="D32:L32" si="10">D26</f>
        <v>647936041.36000001</v>
      </c>
      <c r="E32" s="201">
        <f t="shared" si="10"/>
        <v>670524836.0223999</v>
      </c>
      <c r="F32" s="201">
        <f t="shared" si="10"/>
        <v>693565406.57804787</v>
      </c>
      <c r="G32" s="201">
        <f t="shared" si="10"/>
        <v>717066788.5448091</v>
      </c>
      <c r="H32" s="201">
        <f t="shared" si="10"/>
        <v>866417147.51090503</v>
      </c>
      <c r="I32" s="201">
        <f t="shared" si="10"/>
        <v>889701669.50112319</v>
      </c>
      <c r="J32" s="201">
        <f t="shared" si="10"/>
        <v>913451881.93114567</v>
      </c>
      <c r="K32" s="201">
        <f t="shared" si="10"/>
        <v>937677098.60976839</v>
      </c>
      <c r="L32" s="201">
        <f t="shared" si="10"/>
        <v>962386819.62196398</v>
      </c>
      <c r="M32" s="204"/>
      <c r="N32" s="201">
        <f t="shared" ref="N32" si="11">N26</f>
        <v>7603781006.7201633</v>
      </c>
      <c r="Q32" s="156">
        <f>C12+C20+C23+C25-S30+WorkingCapital!AM22</f>
        <v>3203630793.1626811</v>
      </c>
    </row>
    <row r="33" spans="1:18" x14ac:dyDescent="0.2">
      <c r="A33" s="198" t="s">
        <v>668</v>
      </c>
      <c r="C33" s="201"/>
      <c r="F33" s="201"/>
      <c r="G33" s="201"/>
      <c r="H33" s="201"/>
      <c r="I33" s="201"/>
      <c r="J33" s="201"/>
      <c r="K33" s="201"/>
      <c r="L33" s="201"/>
      <c r="M33" s="204"/>
      <c r="N33" s="201"/>
      <c r="Q33" s="156">
        <f>Q32+WorkingCapital!AM22</f>
        <v>3583931703.3653622</v>
      </c>
    </row>
    <row r="34" spans="1:18" x14ac:dyDescent="0.2">
      <c r="B34" s="198" t="s">
        <v>679</v>
      </c>
      <c r="C34" s="396">
        <f>(C30-C31)/C30</f>
        <v>0.2465037037037037</v>
      </c>
      <c r="D34" s="396">
        <f t="shared" ref="D34:L34" si="12">(D30-D31)/D30</f>
        <v>0.34319870188816265</v>
      </c>
      <c r="E34" s="396">
        <f t="shared" si="12"/>
        <v>0.34505994738490892</v>
      </c>
      <c r="F34" s="396">
        <f t="shared" si="12"/>
        <v>0.34688469787191506</v>
      </c>
      <c r="G34" s="396">
        <f t="shared" si="12"/>
        <v>0.34867366893760743</v>
      </c>
      <c r="H34" s="396">
        <f t="shared" si="12"/>
        <v>0.33325553496462035</v>
      </c>
      <c r="I34" s="396">
        <f t="shared" si="12"/>
        <v>0.33497503810350182</v>
      </c>
      <c r="J34" s="396">
        <f t="shared" si="12"/>
        <v>0.33666082549456211</v>
      </c>
      <c r="K34" s="396">
        <f t="shared" si="12"/>
        <v>0.33831355823089565</v>
      </c>
      <c r="L34" s="396">
        <f t="shared" si="12"/>
        <v>0.3399338844429875</v>
      </c>
      <c r="M34" s="204"/>
      <c r="N34" s="396">
        <f t="shared" ref="N34" si="13">(N30-N31)/N30</f>
        <v>0.33202989140120687</v>
      </c>
    </row>
    <row r="35" spans="1:18" x14ac:dyDescent="0.2">
      <c r="B35" s="198" t="s">
        <v>678</v>
      </c>
      <c r="C35" s="396">
        <f>C32/C30</f>
        <v>8.8267742199074087E-2</v>
      </c>
      <c r="D35" s="396">
        <f t="shared" ref="D35:L35" si="14">D32/D30</f>
        <v>0.18380538573438635</v>
      </c>
      <c r="E35" s="396">
        <f t="shared" si="14"/>
        <v>0.18648366302935479</v>
      </c>
      <c r="F35" s="396">
        <f t="shared" si="14"/>
        <v>0.18910942508324541</v>
      </c>
      <c r="G35" s="396">
        <f t="shared" si="14"/>
        <v>0.1916837016066677</v>
      </c>
      <c r="H35" s="396">
        <f t="shared" si="14"/>
        <v>0.22706617611851207</v>
      </c>
      <c r="I35" s="396">
        <f t="shared" si="14"/>
        <v>0.2285965339121166</v>
      </c>
      <c r="J35" s="396">
        <f t="shared" si="14"/>
        <v>0.23009688469016026</v>
      </c>
      <c r="K35" s="396">
        <f t="shared" si="14"/>
        <v>0.2315678168254971</v>
      </c>
      <c r="L35" s="396">
        <f t="shared" si="14"/>
        <v>0.23300990715425884</v>
      </c>
      <c r="M35" s="204"/>
      <c r="N35" s="396">
        <f t="shared" ref="N35" si="15">N32/N30</f>
        <v>0.20093371469675722</v>
      </c>
      <c r="R35" s="156">
        <f>Q32-WorkingCapital!AO22</f>
        <v>15433477.550884724</v>
      </c>
    </row>
    <row r="36" spans="1:18" x14ac:dyDescent="0.2">
      <c r="C36" s="396"/>
      <c r="D36" s="396"/>
      <c r="E36" s="396"/>
      <c r="F36" s="396"/>
      <c r="G36" s="396"/>
      <c r="H36" s="396"/>
      <c r="I36" s="396"/>
      <c r="J36" s="396"/>
      <c r="K36" s="396"/>
      <c r="L36" s="396"/>
      <c r="M36" s="204"/>
      <c r="N36" s="396"/>
      <c r="R36" s="156"/>
    </row>
    <row r="37" spans="1:18" x14ac:dyDescent="0.2">
      <c r="A37" s="198" t="s">
        <v>1252</v>
      </c>
      <c r="C37" s="396"/>
      <c r="D37" s="396"/>
      <c r="E37" s="396"/>
      <c r="F37" s="396"/>
      <c r="G37" s="396"/>
      <c r="H37" s="396"/>
      <c r="I37" s="396"/>
      <c r="J37" s="396"/>
      <c r="K37" s="396"/>
      <c r="L37" s="396"/>
      <c r="M37" s="204"/>
      <c r="N37" s="396"/>
    </row>
    <row r="38" spans="1:18" x14ac:dyDescent="0.2">
      <c r="A38" s="198" t="s">
        <v>682</v>
      </c>
      <c r="C38" s="396"/>
      <c r="D38" s="396"/>
      <c r="E38" s="396"/>
      <c r="F38" s="396"/>
      <c r="G38" s="396"/>
      <c r="H38" s="396"/>
      <c r="I38" s="396"/>
      <c r="J38" s="396"/>
      <c r="K38" s="396"/>
      <c r="L38" s="396"/>
      <c r="M38" s="204"/>
      <c r="N38" s="396"/>
    </row>
    <row r="39" spans="1:18" x14ac:dyDescent="0.2">
      <c r="B39" s="198" t="s">
        <v>525</v>
      </c>
      <c r="C39" s="201">
        <f>C26</f>
        <v>305053317.04000002</v>
      </c>
      <c r="D39" s="201">
        <f t="shared" ref="D39:L39" si="16">D26</f>
        <v>647936041.36000001</v>
      </c>
      <c r="E39" s="201">
        <f t="shared" si="16"/>
        <v>670524836.0223999</v>
      </c>
      <c r="F39" s="201">
        <f t="shared" si="16"/>
        <v>693565406.57804787</v>
      </c>
      <c r="G39" s="201">
        <f t="shared" si="16"/>
        <v>717066788.5448091</v>
      </c>
      <c r="H39" s="201">
        <f t="shared" si="16"/>
        <v>866417147.51090503</v>
      </c>
      <c r="I39" s="201">
        <f t="shared" si="16"/>
        <v>889701669.50112319</v>
      </c>
      <c r="J39" s="201">
        <f t="shared" si="16"/>
        <v>913451881.93114567</v>
      </c>
      <c r="K39" s="201">
        <f t="shared" si="16"/>
        <v>937677098.60976839</v>
      </c>
      <c r="L39" s="201">
        <f t="shared" si="16"/>
        <v>962386819.62196398</v>
      </c>
      <c r="M39" s="204"/>
      <c r="N39" s="396"/>
    </row>
    <row r="40" spans="1:18" x14ac:dyDescent="0.2">
      <c r="B40" s="198" t="s">
        <v>1253</v>
      </c>
      <c r="C40" s="201">
        <f>CapitalInvestment!$H$10</f>
        <v>1520000000</v>
      </c>
      <c r="D40" s="201">
        <f>CapitalInvestment!$H$10</f>
        <v>1520000000</v>
      </c>
      <c r="E40" s="201">
        <f>CapitalInvestment!$H$10</f>
        <v>1520000000</v>
      </c>
      <c r="F40" s="201">
        <f>CapitalInvestment!$H$10</f>
        <v>1520000000</v>
      </c>
      <c r="G40" s="201">
        <f>CapitalInvestment!$H$10</f>
        <v>1520000000</v>
      </c>
      <c r="H40" s="201">
        <f>CapitalInvestment!$H$10</f>
        <v>1520000000</v>
      </c>
      <c r="I40" s="201">
        <f>CapitalInvestment!$H$10</f>
        <v>1520000000</v>
      </c>
      <c r="J40" s="201">
        <f>CapitalInvestment!$H$10</f>
        <v>1520000000</v>
      </c>
      <c r="K40" s="201">
        <f>CapitalInvestment!$H$10</f>
        <v>1520000000</v>
      </c>
      <c r="L40" s="201">
        <f>CapitalInvestment!$H$10</f>
        <v>1520000000</v>
      </c>
      <c r="M40" s="204"/>
      <c r="N40" s="396"/>
    </row>
    <row r="41" spans="1:18" x14ac:dyDescent="0.2">
      <c r="A41" s="198" t="s">
        <v>668</v>
      </c>
      <c r="C41" s="396"/>
      <c r="D41" s="396"/>
      <c r="E41" s="396"/>
      <c r="F41" s="396"/>
      <c r="G41" s="396"/>
      <c r="H41" s="396"/>
      <c r="I41" s="396"/>
      <c r="J41" s="396"/>
      <c r="K41" s="396"/>
      <c r="L41" s="396"/>
      <c r="M41" s="204"/>
      <c r="N41" s="396"/>
    </row>
    <row r="42" spans="1:18" x14ac:dyDescent="0.2">
      <c r="B42" s="198" t="s">
        <v>1254</v>
      </c>
      <c r="C42" s="396">
        <f>(C39/C40)*100%</f>
        <v>0.20069297173684211</v>
      </c>
      <c r="D42" s="396">
        <f t="shared" ref="D42:L42" si="17">(D39/D40)*100%</f>
        <v>0.42627371142105264</v>
      </c>
      <c r="E42" s="396">
        <f t="shared" si="17"/>
        <v>0.44113476054105255</v>
      </c>
      <c r="F42" s="396">
        <f t="shared" si="17"/>
        <v>0.45629303064345256</v>
      </c>
      <c r="G42" s="396">
        <f t="shared" si="17"/>
        <v>0.47175446614790073</v>
      </c>
      <c r="H42" s="396">
        <f t="shared" si="17"/>
        <v>0.57001128125717437</v>
      </c>
      <c r="I42" s="396">
        <f t="shared" si="17"/>
        <v>0.58533004572442315</v>
      </c>
      <c r="J42" s="396">
        <f t="shared" si="17"/>
        <v>0.6009551854810169</v>
      </c>
      <c r="K42" s="396">
        <f t="shared" si="17"/>
        <v>0.61689282803274237</v>
      </c>
      <c r="L42" s="396">
        <f t="shared" si="17"/>
        <v>0.63314922343550262</v>
      </c>
      <c r="M42" s="204"/>
      <c r="N42" s="742">
        <f>AVERAGE(C42:L42)</f>
        <v>0.50024875044211592</v>
      </c>
    </row>
    <row r="43" spans="1:18" x14ac:dyDescent="0.2">
      <c r="A43" s="198" t="s">
        <v>522</v>
      </c>
      <c r="C43" s="396"/>
      <c r="D43" s="396"/>
      <c r="E43" s="396"/>
      <c r="F43" s="396"/>
      <c r="G43" s="396"/>
      <c r="H43" s="396"/>
      <c r="I43" s="396"/>
      <c r="J43" s="396"/>
      <c r="K43" s="396"/>
      <c r="L43" s="396"/>
    </row>
    <row r="44" spans="1:18" x14ac:dyDescent="0.2">
      <c r="A44" s="198" t="s">
        <v>680</v>
      </c>
      <c r="C44" s="396"/>
      <c r="D44" s="396"/>
      <c r="E44" s="396"/>
      <c r="F44" s="396"/>
      <c r="G44" s="396"/>
      <c r="H44" s="396"/>
      <c r="I44" s="396"/>
      <c r="J44" s="396"/>
      <c r="K44" s="396"/>
      <c r="L44" s="396"/>
    </row>
    <row r="45" spans="1:18" x14ac:dyDescent="0.2">
      <c r="A45" s="198" t="s">
        <v>681</v>
      </c>
      <c r="C45" s="396"/>
      <c r="D45" s="396"/>
      <c r="E45" s="396"/>
      <c r="F45" s="396"/>
      <c r="G45" s="396"/>
      <c r="H45" s="396"/>
      <c r="I45" s="396"/>
      <c r="J45" s="396"/>
      <c r="K45" s="396"/>
      <c r="L45" s="396"/>
    </row>
    <row r="46" spans="1:18" x14ac:dyDescent="0.2">
      <c r="A46" s="206" t="s">
        <v>685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</row>
    <row r="47" spans="1:18" x14ac:dyDescent="0.2">
      <c r="C47" s="396"/>
      <c r="D47" s="396"/>
      <c r="E47" s="396"/>
      <c r="F47" s="396"/>
      <c r="G47" s="396"/>
      <c r="H47" s="396"/>
      <c r="I47" s="396"/>
      <c r="J47" s="396"/>
      <c r="K47" s="396"/>
      <c r="L47" s="396"/>
    </row>
    <row r="48" spans="1:18" x14ac:dyDescent="0.2">
      <c r="C48" s="396"/>
      <c r="D48" s="396"/>
      <c r="E48" s="396"/>
      <c r="F48" s="396"/>
      <c r="G48" s="396"/>
      <c r="H48" s="396"/>
      <c r="I48" s="396"/>
      <c r="J48" s="396"/>
      <c r="K48" s="396"/>
      <c r="L48" s="396"/>
    </row>
    <row r="49" spans="4:4" x14ac:dyDescent="0.2">
      <c r="D49" s="200"/>
    </row>
  </sheetData>
  <pageMargins left="0.7" right="0.7" top="0.75" bottom="0.75" header="0.3" footer="0.3"/>
  <pageSetup paperSize="9" orientation="portrait" r:id="rId1"/>
  <ignoredErrors>
    <ignoredError sqref="D25:L25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AR32"/>
  <sheetViews>
    <sheetView showGridLines="0" topLeftCell="AI1" zoomScaleNormal="100" workbookViewId="0">
      <pane ySplit="8" topLeftCell="A9" activePane="bottomLeft" state="frozen"/>
      <selection activeCell="D9" sqref="D9"/>
      <selection pane="bottomLeft" activeCell="AK7" sqref="AK7:AP22"/>
    </sheetView>
  </sheetViews>
  <sheetFormatPr defaultColWidth="9" defaultRowHeight="10.5" customHeight="1" x14ac:dyDescent="0.2"/>
  <cols>
    <col min="1" max="1" width="10.25" style="198" customWidth="1"/>
    <col min="2" max="2" width="6.25" style="198" customWidth="1"/>
    <col min="3" max="3" width="8.75" style="198" customWidth="1"/>
    <col min="4" max="4" width="9" style="198"/>
    <col min="5" max="5" width="5.125" style="198" customWidth="1"/>
    <col min="6" max="6" width="7.125" style="198" bestFit="1" customWidth="1"/>
    <col min="7" max="7" width="1.625" style="198" customWidth="1"/>
    <col min="8" max="8" width="12.25" style="198" customWidth="1"/>
    <col min="9" max="9" width="13.75" style="198" customWidth="1"/>
    <col min="10" max="10" width="11.625" style="198" bestFit="1" customWidth="1"/>
    <col min="11" max="11" width="12.75" style="198" customWidth="1"/>
    <col min="12" max="12" width="1.625" style="198" customWidth="1"/>
    <col min="13" max="13" width="9.5" style="198" bestFit="1" customWidth="1"/>
    <col min="14" max="14" width="8.375" style="198" bestFit="1" customWidth="1"/>
    <col min="15" max="15" width="9.5" style="198" bestFit="1" customWidth="1"/>
    <col min="16" max="16" width="10.25" style="198" customWidth="1"/>
    <col min="17" max="17" width="8.375" style="198" bestFit="1" customWidth="1"/>
    <col min="18" max="18" width="9.625" style="198" bestFit="1" customWidth="1"/>
    <col min="19" max="19" width="10.625" style="198" bestFit="1" customWidth="1"/>
    <col min="20" max="21" width="9" style="198"/>
    <col min="22" max="22" width="10.25" style="198" bestFit="1" customWidth="1"/>
    <col min="23" max="29" width="9" style="198"/>
    <col min="30" max="30" width="10.25" style="198" bestFit="1" customWidth="1"/>
    <col min="31" max="34" width="9.125" style="198" bestFit="1" customWidth="1"/>
    <col min="35" max="35" width="9.125" style="198" customWidth="1"/>
    <col min="36" max="36" width="9.125" style="198" bestFit="1" customWidth="1"/>
    <col min="37" max="40" width="9.125" style="198" customWidth="1"/>
    <col min="41" max="41" width="9.5" style="198" bestFit="1" customWidth="1"/>
    <col min="42" max="42" width="9.875" style="198" bestFit="1" customWidth="1"/>
    <col min="43" max="43" width="9.125" style="198" bestFit="1" customWidth="1"/>
    <col min="44" max="44" width="10.25" style="198" bestFit="1" customWidth="1"/>
    <col min="45" max="46" width="9.5" style="198" bestFit="1" customWidth="1"/>
    <col min="47" max="47" width="10.25" style="198" bestFit="1" customWidth="1"/>
    <col min="48" max="16384" width="9" style="198"/>
  </cols>
  <sheetData>
    <row r="1" spans="1:44" ht="11.25" x14ac:dyDescent="0.2">
      <c r="A1" s="197" t="str">
        <f>CashFlow!A1</f>
        <v>Bisnis Truk Thermoking</v>
      </c>
    </row>
    <row r="2" spans="1:44" ht="11.25" x14ac:dyDescent="0.2">
      <c r="A2" s="197" t="str">
        <f>CashFlow!A2</f>
        <v>Financial Pre-Feasibility Study</v>
      </c>
    </row>
    <row r="3" spans="1:44" ht="11.25" x14ac:dyDescent="0.2">
      <c r="A3" s="199" t="s">
        <v>578</v>
      </c>
    </row>
    <row r="6" spans="1:44" ht="10.5" customHeight="1" x14ac:dyDescent="0.2">
      <c r="E6" s="176" t="s">
        <v>586</v>
      </c>
    </row>
    <row r="7" spans="1:44" ht="10.5" customHeight="1" x14ac:dyDescent="0.25">
      <c r="A7" s="173" t="s">
        <v>585</v>
      </c>
      <c r="B7" s="174"/>
      <c r="C7" s="174"/>
      <c r="E7" s="759" t="s">
        <v>721</v>
      </c>
      <c r="F7" s="759" t="s">
        <v>579</v>
      </c>
      <c r="G7"/>
      <c r="H7" s="759" t="s">
        <v>581</v>
      </c>
      <c r="I7" s="759" t="s">
        <v>583</v>
      </c>
      <c r="J7" s="759" t="s">
        <v>663</v>
      </c>
      <c r="K7" s="759" t="s">
        <v>584</v>
      </c>
      <c r="L7" s="556"/>
      <c r="M7" s="760" t="s">
        <v>727</v>
      </c>
      <c r="N7" s="761"/>
      <c r="O7" s="761"/>
      <c r="P7" s="761"/>
      <c r="Q7" s="761"/>
      <c r="R7" s="762"/>
      <c r="S7" s="760" t="s">
        <v>1237</v>
      </c>
      <c r="T7" s="761"/>
      <c r="U7" s="761"/>
      <c r="V7" s="761"/>
      <c r="W7" s="761"/>
      <c r="X7" s="761"/>
      <c r="Y7" s="761"/>
      <c r="Z7" s="761"/>
      <c r="AA7" s="761"/>
      <c r="AB7" s="761"/>
      <c r="AC7" s="761"/>
      <c r="AD7" s="762"/>
      <c r="AE7" s="756" t="s">
        <v>709</v>
      </c>
      <c r="AF7" s="757"/>
      <c r="AG7" s="757"/>
      <c r="AH7" s="757"/>
      <c r="AI7" s="757"/>
      <c r="AJ7" s="758"/>
      <c r="AK7" s="652"/>
      <c r="AL7" s="652"/>
      <c r="AM7" s="652"/>
      <c r="AN7" s="652"/>
      <c r="AO7" s="754" t="s">
        <v>23</v>
      </c>
      <c r="AP7" s="754" t="s">
        <v>582</v>
      </c>
    </row>
    <row r="8" spans="1:44" ht="15.75" customHeight="1" x14ac:dyDescent="0.25">
      <c r="A8" s="174"/>
      <c r="B8" s="174"/>
      <c r="C8" s="174"/>
      <c r="E8" s="759"/>
      <c r="F8" s="759"/>
      <c r="G8"/>
      <c r="H8" s="759"/>
      <c r="I8" s="759"/>
      <c r="J8" s="759"/>
      <c r="K8" s="759"/>
      <c r="L8" s="556"/>
      <c r="M8" s="756"/>
      <c r="N8" s="757"/>
      <c r="O8" s="757"/>
      <c r="P8" s="757"/>
      <c r="Q8" s="757"/>
      <c r="R8" s="758"/>
      <c r="S8" s="756"/>
      <c r="T8" s="757"/>
      <c r="U8" s="757"/>
      <c r="V8" s="757"/>
      <c r="W8" s="757"/>
      <c r="X8" s="757"/>
      <c r="Y8" s="757"/>
      <c r="Z8" s="757"/>
      <c r="AA8" s="757"/>
      <c r="AB8" s="757"/>
      <c r="AC8" s="757"/>
      <c r="AD8" s="758"/>
      <c r="AE8" s="756"/>
      <c r="AF8" s="757"/>
      <c r="AG8" s="757"/>
      <c r="AH8" s="757"/>
      <c r="AI8" s="757"/>
      <c r="AJ8" s="758"/>
      <c r="AK8" s="652"/>
      <c r="AL8" s="652"/>
      <c r="AM8" s="652"/>
      <c r="AN8" s="652"/>
      <c r="AO8" s="755"/>
      <c r="AP8" s="755"/>
    </row>
    <row r="9" spans="1:44" ht="36.75" customHeight="1" thickBot="1" x14ac:dyDescent="0.3">
      <c r="A9" s="198" t="s">
        <v>580</v>
      </c>
      <c r="E9" s="555"/>
      <c r="F9" s="555"/>
      <c r="G9"/>
      <c r="H9" s="555"/>
      <c r="I9" s="555"/>
      <c r="J9" s="555"/>
      <c r="K9" s="555"/>
      <c r="L9" s="556"/>
      <c r="M9" s="565" t="s">
        <v>1106</v>
      </c>
      <c r="N9" s="561" t="s">
        <v>1107</v>
      </c>
      <c r="O9" s="561" t="s">
        <v>1069</v>
      </c>
      <c r="P9" s="561" t="s">
        <v>1081</v>
      </c>
      <c r="Q9" s="561" t="s">
        <v>1067</v>
      </c>
      <c r="R9" s="561" t="s">
        <v>1203</v>
      </c>
      <c r="S9" s="572" t="s">
        <v>1089</v>
      </c>
      <c r="T9" s="564" t="s">
        <v>1090</v>
      </c>
      <c r="U9" s="564" t="s">
        <v>1091</v>
      </c>
      <c r="V9" s="564" t="s">
        <v>1092</v>
      </c>
      <c r="W9" s="564" t="s">
        <v>1093</v>
      </c>
      <c r="X9" s="564" t="s">
        <v>1168</v>
      </c>
      <c r="Y9" s="564" t="s">
        <v>1169</v>
      </c>
      <c r="Z9" s="564" t="s">
        <v>1094</v>
      </c>
      <c r="AA9" s="564" t="s">
        <v>1103</v>
      </c>
      <c r="AB9" s="564" t="s">
        <v>1102</v>
      </c>
      <c r="AC9" s="564" t="s">
        <v>1042</v>
      </c>
      <c r="AD9" s="566" t="s">
        <v>1203</v>
      </c>
      <c r="AE9" s="555" t="s">
        <v>1044</v>
      </c>
      <c r="AF9" s="555" t="s">
        <v>737</v>
      </c>
      <c r="AG9" s="555" t="s">
        <v>738</v>
      </c>
      <c r="AH9" s="555" t="s">
        <v>1200</v>
      </c>
      <c r="AI9" s="555" t="str">
        <f>'[2]SG&amp;A Truck Thermoking'!B13</f>
        <v>Adm Leasing</v>
      </c>
      <c r="AJ9" s="566" t="s">
        <v>1203</v>
      </c>
      <c r="AK9" s="566" t="s">
        <v>1205</v>
      </c>
      <c r="AL9" s="566" t="s">
        <v>1206</v>
      </c>
      <c r="AM9" s="566" t="s">
        <v>1207</v>
      </c>
      <c r="AN9" s="566" t="s">
        <v>1203</v>
      </c>
      <c r="AO9" s="755"/>
      <c r="AP9" s="755"/>
    </row>
    <row r="10" spans="1:44" ht="10.5" customHeight="1" x14ac:dyDescent="0.25">
      <c r="A10" s="369" t="s">
        <v>720</v>
      </c>
      <c r="B10" s="369" t="s">
        <v>579</v>
      </c>
      <c r="C10" s="370" t="s">
        <v>383</v>
      </c>
      <c r="E10" s="268" t="s">
        <v>382</v>
      </c>
      <c r="F10" s="167" t="s">
        <v>370</v>
      </c>
      <c r="G10"/>
      <c r="H10" s="267">
        <v>0</v>
      </c>
      <c r="I10" s="156">
        <v>288000000</v>
      </c>
      <c r="J10" s="267">
        <v>537149600</v>
      </c>
      <c r="K10" s="156">
        <f>J10+I10</f>
        <v>825149600</v>
      </c>
      <c r="L10" s="156"/>
      <c r="M10" s="577">
        <f>'Variable Cost'!N7/12</f>
        <v>33904800</v>
      </c>
      <c r="N10" s="578">
        <f>'Variable Cost'!O7/12</f>
        <v>34204000</v>
      </c>
      <c r="O10" s="578">
        <f>'Variable Cost'!P7/12</f>
        <v>40000000</v>
      </c>
      <c r="P10" s="578">
        <f>'Variable Cost'!Q7/12</f>
        <v>16400000</v>
      </c>
      <c r="Q10" s="578">
        <f>'Variable Cost'!R7/12</f>
        <v>8612000</v>
      </c>
      <c r="R10" s="579">
        <f>SUM(M10:Q10)</f>
        <v>133120800</v>
      </c>
      <c r="S10" s="562">
        <f>'Ovh Cost'!K7/12</f>
        <v>3000000</v>
      </c>
      <c r="T10" s="156">
        <f>'Ovh Cost'!L7/12</f>
        <v>2400000</v>
      </c>
      <c r="U10" s="156"/>
      <c r="V10" s="156"/>
      <c r="W10" s="156"/>
      <c r="X10" s="156"/>
      <c r="Y10" s="156"/>
      <c r="Z10" s="156">
        <f>'Ovh Cost'!R7/2</f>
        <v>400000</v>
      </c>
      <c r="AA10" s="156"/>
      <c r="AB10" s="156">
        <f>'Ovh Cost'!T7</f>
        <v>327616800</v>
      </c>
      <c r="AC10" s="156">
        <f>'Ovh Cost'!U7</f>
        <v>3600000</v>
      </c>
      <c r="AD10" s="573">
        <f>SUM(S10:AC10)</f>
        <v>337016800</v>
      </c>
      <c r="AE10" s="156">
        <f>'SG&amp;A Truck Thermoking'!H7/12</f>
        <v>18416666.666666668</v>
      </c>
      <c r="AF10" s="156">
        <f>'SG&amp;A Truck Thermoking'!I7</f>
        <v>25000000</v>
      </c>
      <c r="AG10" s="156">
        <f>'SG&amp;A Truck Thermoking'!$J$7/12</f>
        <v>1000000</v>
      </c>
      <c r="AH10" s="156">
        <f>'SG&amp;A Truck Thermoking'!$K$7/12</f>
        <v>1000000</v>
      </c>
      <c r="AI10" s="156">
        <f>'SG&amp;A Truck Thermoking'!L7</f>
        <v>32761680</v>
      </c>
      <c r="AJ10" s="559">
        <f>SUM(AE10:AI10)</f>
        <v>78178346.666666672</v>
      </c>
      <c r="AK10" s="655"/>
      <c r="AL10" s="156">
        <f>'Anuitas Loan'!C2</f>
        <v>17199882</v>
      </c>
      <c r="AM10" s="156">
        <f>'Anuitas Loan'!D2</f>
        <v>30405619.387649626</v>
      </c>
      <c r="AN10" s="653">
        <f>SUM(AK10:AM10)</f>
        <v>47605501.387649626</v>
      </c>
      <c r="AO10" s="634">
        <f>R10+AD10+AJ10+AN10</f>
        <v>595921448.05431628</v>
      </c>
      <c r="AP10" s="581">
        <f>K10-R10-AD10-AJ10-AN10</f>
        <v>229228151.94568369</v>
      </c>
    </row>
    <row r="11" spans="1:44" ht="10.5" customHeight="1" x14ac:dyDescent="0.25">
      <c r="A11" s="268" t="s">
        <v>382</v>
      </c>
      <c r="B11" s="198" t="s">
        <v>370</v>
      </c>
      <c r="C11" s="156">
        <f>J9</f>
        <v>0</v>
      </c>
      <c r="E11" s="218"/>
      <c r="F11" s="167" t="s">
        <v>371</v>
      </c>
      <c r="G11"/>
      <c r="H11" s="156">
        <f>AP10</f>
        <v>229228151.94568369</v>
      </c>
      <c r="I11" s="156">
        <f>Revenue!H8/12</f>
        <v>288000000</v>
      </c>
      <c r="J11" s="267"/>
      <c r="K11" s="156">
        <f>H11+I11</f>
        <v>517228151.94568372</v>
      </c>
      <c r="L11" s="156"/>
      <c r="M11" s="567">
        <f t="shared" ref="M11:M21" si="0">M10</f>
        <v>33904800</v>
      </c>
      <c r="N11" s="157">
        <f t="shared" ref="N11:N21" si="1">N10</f>
        <v>34204000</v>
      </c>
      <c r="O11" s="157">
        <f t="shared" ref="O11:O21" si="2">O10</f>
        <v>40000000</v>
      </c>
      <c r="P11" s="157">
        <f t="shared" ref="P11:P21" si="3">P10</f>
        <v>16400000</v>
      </c>
      <c r="Q11" s="157">
        <f t="shared" ref="Q11:Q21" si="4">Q10</f>
        <v>8612000</v>
      </c>
      <c r="R11" s="568">
        <f t="shared" ref="R11:R21" si="5">SUM(M11:Q11)</f>
        <v>133120800</v>
      </c>
      <c r="S11" s="562">
        <f t="shared" ref="S11:S21" si="6">S10</f>
        <v>3000000</v>
      </c>
      <c r="T11" s="156">
        <f t="shared" ref="T11:T21" si="7">T10</f>
        <v>2400000</v>
      </c>
      <c r="U11" s="156"/>
      <c r="V11" s="156">
        <f>'Ovh Cost'!N7/6</f>
        <v>5200000</v>
      </c>
      <c r="W11" s="156">
        <f>'Ovh Cost'!O7/6</f>
        <v>16000000</v>
      </c>
      <c r="X11" s="156"/>
      <c r="Y11" s="156">
        <f>'Ovh Cost'!Q7/6</f>
        <v>300000</v>
      </c>
      <c r="Z11" s="156"/>
      <c r="AA11" s="156"/>
      <c r="AB11" s="156"/>
      <c r="AC11" s="156"/>
      <c r="AD11" s="573">
        <f>SUM(S11:AC11)</f>
        <v>26900000</v>
      </c>
      <c r="AE11" s="156">
        <f t="shared" ref="AE11:AE21" si="8">AE10</f>
        <v>18416666.666666668</v>
      </c>
      <c r="AF11" s="156"/>
      <c r="AG11" s="156">
        <f>'SG&amp;A Truck Thermoking'!$J$7/12</f>
        <v>1000000</v>
      </c>
      <c r="AH11" s="156">
        <f>'SG&amp;A Truck Thermoking'!$K$7/12</f>
        <v>1000000</v>
      </c>
      <c r="AI11" s="156"/>
      <c r="AJ11" s="559">
        <f t="shared" ref="AJ11:AJ21" si="9">SUM(AE11:AH11)</f>
        <v>20416666.666666668</v>
      </c>
      <c r="AK11" s="656"/>
      <c r="AL11" s="156">
        <f>'Anuitas Loan'!C3</f>
        <v>16971839.854592629</v>
      </c>
      <c r="AM11" s="156">
        <f>'Anuitas Loan'!D3</f>
        <v>30633661.533057</v>
      </c>
      <c r="AN11" s="654">
        <f>SUM(AK11:AM11)</f>
        <v>47605501.387649626</v>
      </c>
      <c r="AO11" s="634">
        <f>R11+AD11+AJ11+AN11</f>
        <v>228042968.05431628</v>
      </c>
      <c r="AP11" s="581">
        <f>K11-R11-AD11-AJ11-AN11</f>
        <v>289185183.89136744</v>
      </c>
      <c r="AR11" s="214">
        <f>'Ovh Cost'!V7/12</f>
        <v>27301400</v>
      </c>
    </row>
    <row r="12" spans="1:44" ht="10.5" customHeight="1" x14ac:dyDescent="0.25">
      <c r="E12"/>
      <c r="F12" s="167" t="s">
        <v>372</v>
      </c>
      <c r="G12"/>
      <c r="H12" s="156">
        <f>AP11</f>
        <v>289185183.89136744</v>
      </c>
      <c r="I12" s="156">
        <f t="shared" ref="I12:I21" si="10">I11</f>
        <v>288000000</v>
      </c>
      <c r="J12" s="267"/>
      <c r="K12" s="156">
        <f>H12+I12</f>
        <v>577185183.89136744</v>
      </c>
      <c r="L12" s="156"/>
      <c r="M12" s="567">
        <f t="shared" si="0"/>
        <v>33904800</v>
      </c>
      <c r="N12" s="157">
        <f t="shared" si="1"/>
        <v>34204000</v>
      </c>
      <c r="O12" s="157">
        <f t="shared" si="2"/>
        <v>40000000</v>
      </c>
      <c r="P12" s="157">
        <f t="shared" si="3"/>
        <v>16400000</v>
      </c>
      <c r="Q12" s="157">
        <f t="shared" si="4"/>
        <v>8612000</v>
      </c>
      <c r="R12" s="568">
        <f t="shared" si="5"/>
        <v>133120800</v>
      </c>
      <c r="S12" s="562">
        <f t="shared" si="6"/>
        <v>3000000</v>
      </c>
      <c r="T12" s="156">
        <f t="shared" si="7"/>
        <v>2400000</v>
      </c>
      <c r="U12" s="156"/>
      <c r="V12" s="156"/>
      <c r="W12" s="156"/>
      <c r="X12" s="156">
        <f>'Ovh Cost'!P7/4</f>
        <v>300000</v>
      </c>
      <c r="Y12" s="156"/>
      <c r="Z12" s="156"/>
      <c r="AA12" s="156"/>
      <c r="AB12" s="156"/>
      <c r="AC12" s="156"/>
      <c r="AD12" s="573">
        <f t="shared" ref="AD12:AD21" si="11">SUM(S12:AC12)</f>
        <v>5700000</v>
      </c>
      <c r="AE12" s="156">
        <f t="shared" si="8"/>
        <v>18416666.666666668</v>
      </c>
      <c r="AF12" s="156"/>
      <c r="AG12" s="156">
        <f>'SG&amp;A Truck Thermoking'!$J$7/12</f>
        <v>1000000</v>
      </c>
      <c r="AH12" s="156">
        <f>'SG&amp;A Truck Thermoking'!$K$7/12</f>
        <v>1000000</v>
      </c>
      <c r="AI12" s="156"/>
      <c r="AJ12" s="559">
        <f t="shared" si="9"/>
        <v>20416666.666666668</v>
      </c>
      <c r="AK12" s="656"/>
      <c r="AL12" s="156">
        <f>'Anuitas Loan'!C4</f>
        <v>16742087.393094698</v>
      </c>
      <c r="AM12" s="156">
        <f>'Anuitas Loan'!D4</f>
        <v>30863413.994554929</v>
      </c>
      <c r="AN12" s="654">
        <f t="shared" ref="AN12:AN20" si="12">SUM(AK12:AM12)</f>
        <v>47605501.387649626</v>
      </c>
      <c r="AO12" s="634">
        <f t="shared" ref="AO12:AO21" si="13">R12+AD12+AJ12+AN12</f>
        <v>206842968.05431628</v>
      </c>
      <c r="AP12" s="581">
        <f t="shared" ref="AP12:AP21" si="14">K12-R12-AD12-AJ12-AN12</f>
        <v>370342215.83705115</v>
      </c>
    </row>
    <row r="13" spans="1:44" ht="10.5" customHeight="1" x14ac:dyDescent="0.25">
      <c r="E13"/>
      <c r="F13" s="167" t="s">
        <v>373</v>
      </c>
      <c r="G13"/>
      <c r="H13" s="156">
        <f>AP12</f>
        <v>370342215.83705115</v>
      </c>
      <c r="I13" s="156">
        <f t="shared" si="10"/>
        <v>288000000</v>
      </c>
      <c r="J13" s="267"/>
      <c r="K13" s="156">
        <f t="shared" ref="K13:K21" si="15">H13+I13</f>
        <v>658342215.83705115</v>
      </c>
      <c r="L13" s="156"/>
      <c r="M13" s="567">
        <f t="shared" si="0"/>
        <v>33904800</v>
      </c>
      <c r="N13" s="157">
        <f t="shared" si="1"/>
        <v>34204000</v>
      </c>
      <c r="O13" s="157">
        <f t="shared" si="2"/>
        <v>40000000</v>
      </c>
      <c r="P13" s="157">
        <f t="shared" si="3"/>
        <v>16400000</v>
      </c>
      <c r="Q13" s="157">
        <f t="shared" si="4"/>
        <v>8612000</v>
      </c>
      <c r="R13" s="568">
        <f t="shared" si="5"/>
        <v>133120800</v>
      </c>
      <c r="S13" s="562">
        <f t="shared" si="6"/>
        <v>3000000</v>
      </c>
      <c r="T13" s="156">
        <f t="shared" si="7"/>
        <v>2400000</v>
      </c>
      <c r="U13" s="156"/>
      <c r="V13" s="156">
        <f>V11</f>
        <v>5200000</v>
      </c>
      <c r="W13" s="156">
        <f>W11</f>
        <v>16000000</v>
      </c>
      <c r="X13" s="156"/>
      <c r="Y13" s="156">
        <f>'Ovh Cost'!Q7/6</f>
        <v>300000</v>
      </c>
      <c r="Z13" s="156"/>
      <c r="AA13" s="156"/>
      <c r="AB13" s="156"/>
      <c r="AC13" s="156"/>
      <c r="AD13" s="573">
        <f t="shared" si="11"/>
        <v>26900000</v>
      </c>
      <c r="AE13" s="156">
        <f t="shared" si="8"/>
        <v>18416666.666666668</v>
      </c>
      <c r="AF13" s="156"/>
      <c r="AG13" s="156">
        <f>'SG&amp;A Truck Thermoking'!$J$7/12</f>
        <v>1000000</v>
      </c>
      <c r="AH13" s="156">
        <f>'SG&amp;A Truck Thermoking'!$K$7/12</f>
        <v>1000000</v>
      </c>
      <c r="AI13" s="156"/>
      <c r="AJ13" s="559">
        <f t="shared" si="9"/>
        <v>20416666.666666668</v>
      </c>
      <c r="AK13" s="656"/>
      <c r="AL13" s="156">
        <f>'Anuitas Loan'!C5</f>
        <v>16510611.788135536</v>
      </c>
      <c r="AM13" s="156">
        <f>'Anuitas Loan'!D5</f>
        <v>31094889.599514093</v>
      </c>
      <c r="AN13" s="654">
        <f t="shared" si="12"/>
        <v>47605501.387649626</v>
      </c>
      <c r="AO13" s="634">
        <f t="shared" si="13"/>
        <v>228042968.05431628</v>
      </c>
      <c r="AP13" s="581">
        <f t="shared" si="14"/>
        <v>430299247.78273487</v>
      </c>
    </row>
    <row r="14" spans="1:44" ht="10.5" customHeight="1" x14ac:dyDescent="0.25">
      <c r="E14"/>
      <c r="F14" s="167" t="s">
        <v>374</v>
      </c>
      <c r="G14"/>
      <c r="H14" s="156">
        <f t="shared" ref="H14:H21" si="16">AP13</f>
        <v>430299247.78273487</v>
      </c>
      <c r="I14" s="156">
        <f t="shared" si="10"/>
        <v>288000000</v>
      </c>
      <c r="J14" s="267"/>
      <c r="K14" s="156">
        <f t="shared" si="15"/>
        <v>718299247.78273487</v>
      </c>
      <c r="L14" s="156"/>
      <c r="M14" s="567">
        <f t="shared" si="0"/>
        <v>33904800</v>
      </c>
      <c r="N14" s="157">
        <f t="shared" si="1"/>
        <v>34204000</v>
      </c>
      <c r="O14" s="157">
        <f t="shared" si="2"/>
        <v>40000000</v>
      </c>
      <c r="P14" s="157">
        <f t="shared" si="3"/>
        <v>16400000</v>
      </c>
      <c r="Q14" s="157">
        <f t="shared" si="4"/>
        <v>8612000</v>
      </c>
      <c r="R14" s="568">
        <f t="shared" si="5"/>
        <v>133120800</v>
      </c>
      <c r="S14" s="562">
        <f t="shared" si="6"/>
        <v>3000000</v>
      </c>
      <c r="T14" s="156">
        <f t="shared" si="7"/>
        <v>2400000</v>
      </c>
      <c r="U14" s="156"/>
      <c r="V14" s="156"/>
      <c r="W14" s="156"/>
      <c r="X14" s="156"/>
      <c r="Y14" s="156"/>
      <c r="Z14" s="156"/>
      <c r="AA14" s="156"/>
      <c r="AB14" s="156"/>
      <c r="AC14" s="156"/>
      <c r="AD14" s="573">
        <f t="shared" si="11"/>
        <v>5400000</v>
      </c>
      <c r="AE14" s="156">
        <f t="shared" si="8"/>
        <v>18416666.666666668</v>
      </c>
      <c r="AF14" s="156"/>
      <c r="AG14" s="156">
        <f>'SG&amp;A Truck Thermoking'!$J$7/12</f>
        <v>1000000</v>
      </c>
      <c r="AH14" s="156">
        <f>'SG&amp;A Truck Thermoking'!$K$7/12</f>
        <v>1000000</v>
      </c>
      <c r="AI14" s="156"/>
      <c r="AJ14" s="559">
        <f t="shared" si="9"/>
        <v>20416666.666666668</v>
      </c>
      <c r="AK14" s="656"/>
      <c r="AL14" s="156">
        <f>'Anuitas Loan'!C6</f>
        <v>16277400.116139181</v>
      </c>
      <c r="AM14" s="156">
        <f>'Anuitas Loan'!D6</f>
        <v>31328101.271510445</v>
      </c>
      <c r="AN14" s="654">
        <f t="shared" si="12"/>
        <v>47605501.387649626</v>
      </c>
      <c r="AO14" s="634">
        <f t="shared" si="13"/>
        <v>206542968.05431628</v>
      </c>
      <c r="AP14" s="581">
        <f t="shared" si="14"/>
        <v>511756279.72841859</v>
      </c>
    </row>
    <row r="15" spans="1:44" ht="10.5" customHeight="1" x14ac:dyDescent="0.25">
      <c r="E15"/>
      <c r="F15" s="167" t="s">
        <v>375</v>
      </c>
      <c r="G15"/>
      <c r="H15" s="156">
        <f t="shared" si="16"/>
        <v>511756279.72841859</v>
      </c>
      <c r="I15" s="156">
        <f t="shared" si="10"/>
        <v>288000000</v>
      </c>
      <c r="J15" s="267"/>
      <c r="K15" s="156">
        <f t="shared" si="15"/>
        <v>799756279.72841859</v>
      </c>
      <c r="L15" s="156"/>
      <c r="M15" s="567">
        <f t="shared" si="0"/>
        <v>33904800</v>
      </c>
      <c r="N15" s="157">
        <f t="shared" si="1"/>
        <v>34204000</v>
      </c>
      <c r="O15" s="157">
        <f t="shared" si="2"/>
        <v>40000000</v>
      </c>
      <c r="P15" s="157">
        <f t="shared" si="3"/>
        <v>16400000</v>
      </c>
      <c r="Q15" s="157">
        <f t="shared" si="4"/>
        <v>8612000</v>
      </c>
      <c r="R15" s="568">
        <f t="shared" si="5"/>
        <v>133120800</v>
      </c>
      <c r="S15" s="562">
        <f t="shared" si="6"/>
        <v>3000000</v>
      </c>
      <c r="T15" s="156">
        <f t="shared" si="7"/>
        <v>2400000</v>
      </c>
      <c r="U15" s="156">
        <f>'Ovh Cost'!M7/2</f>
        <v>72500000</v>
      </c>
      <c r="V15" s="156">
        <f>V13</f>
        <v>5200000</v>
      </c>
      <c r="W15" s="156">
        <f>W13</f>
        <v>16000000</v>
      </c>
      <c r="X15" s="156">
        <f>'Ovh Cost'!P7/4</f>
        <v>300000</v>
      </c>
      <c r="Y15" s="156">
        <f>'Ovh Cost'!Q7/6</f>
        <v>300000</v>
      </c>
      <c r="AA15" s="156"/>
      <c r="AB15" s="156"/>
      <c r="AC15" s="156"/>
      <c r="AD15" s="573">
        <f t="shared" si="11"/>
        <v>99700000</v>
      </c>
      <c r="AE15" s="156">
        <f t="shared" si="8"/>
        <v>18416666.666666668</v>
      </c>
      <c r="AF15" s="156"/>
      <c r="AG15" s="156">
        <f>'SG&amp;A Truck Thermoking'!$J$7/12</f>
        <v>1000000</v>
      </c>
      <c r="AH15" s="156">
        <f>'SG&amp;A Truck Thermoking'!$K$7/12</f>
        <v>1000000</v>
      </c>
      <c r="AI15" s="156"/>
      <c r="AJ15" s="559">
        <f t="shared" si="9"/>
        <v>20416666.666666668</v>
      </c>
      <c r="AK15" s="656"/>
      <c r="AL15" s="156">
        <f>'Anuitas Loan'!C7</f>
        <v>16042439.356602853</v>
      </c>
      <c r="AM15" s="156">
        <f>'Anuitas Loan'!D7</f>
        <v>31563062.031046778</v>
      </c>
      <c r="AN15" s="654">
        <f t="shared" si="12"/>
        <v>47605501.387649633</v>
      </c>
      <c r="AO15" s="634">
        <f t="shared" si="13"/>
        <v>300842968.05431628</v>
      </c>
      <c r="AP15" s="581">
        <f t="shared" si="14"/>
        <v>498913311.67410231</v>
      </c>
    </row>
    <row r="16" spans="1:44" ht="10.5" customHeight="1" x14ac:dyDescent="0.25">
      <c r="E16"/>
      <c r="F16" s="167" t="s">
        <v>376</v>
      </c>
      <c r="G16"/>
      <c r="H16" s="156">
        <f t="shared" si="16"/>
        <v>498913311.67410231</v>
      </c>
      <c r="I16" s="156">
        <f t="shared" si="10"/>
        <v>288000000</v>
      </c>
      <c r="J16" s="267"/>
      <c r="K16" s="156">
        <f t="shared" si="15"/>
        <v>786913311.67410231</v>
      </c>
      <c r="L16" s="156"/>
      <c r="M16" s="567">
        <f t="shared" si="0"/>
        <v>33904800</v>
      </c>
      <c r="N16" s="157">
        <f t="shared" si="1"/>
        <v>34204000</v>
      </c>
      <c r="O16" s="157">
        <f t="shared" si="2"/>
        <v>40000000</v>
      </c>
      <c r="P16" s="157">
        <f t="shared" si="3"/>
        <v>16400000</v>
      </c>
      <c r="Q16" s="157">
        <f t="shared" si="4"/>
        <v>8612000</v>
      </c>
      <c r="R16" s="568">
        <f t="shared" si="5"/>
        <v>133120800</v>
      </c>
      <c r="S16" s="562">
        <f t="shared" si="6"/>
        <v>3000000</v>
      </c>
      <c r="T16" s="156">
        <f t="shared" si="7"/>
        <v>2400000</v>
      </c>
      <c r="U16" s="156"/>
      <c r="V16" s="156"/>
      <c r="W16" s="156"/>
      <c r="X16" s="156"/>
      <c r="Y16" s="156"/>
      <c r="Z16" s="156">
        <f>Z10</f>
        <v>400000</v>
      </c>
      <c r="AA16" s="156"/>
      <c r="AB16" s="156"/>
      <c r="AC16" s="156"/>
      <c r="AD16" s="573">
        <f t="shared" si="11"/>
        <v>5800000</v>
      </c>
      <c r="AE16" s="156">
        <f t="shared" si="8"/>
        <v>18416666.666666668</v>
      </c>
      <c r="AF16" s="156"/>
      <c r="AG16" s="156">
        <f>'SG&amp;A Truck Thermoking'!$J$7/12</f>
        <v>1000000</v>
      </c>
      <c r="AH16" s="156">
        <f>'SG&amp;A Truck Thermoking'!$K$7/12</f>
        <v>1000000</v>
      </c>
      <c r="AI16" s="156"/>
      <c r="AJ16" s="559">
        <f t="shared" si="9"/>
        <v>20416666.666666668</v>
      </c>
      <c r="AK16" s="656"/>
      <c r="AL16" s="156">
        <f>'Anuitas Loan'!C8</f>
        <v>15805716.391370002</v>
      </c>
      <c r="AM16" s="156">
        <f>'Anuitas Loan'!D8</f>
        <v>31799784.996279627</v>
      </c>
      <c r="AN16" s="654">
        <f t="shared" si="12"/>
        <v>47605501.387649626</v>
      </c>
      <c r="AO16" s="634">
        <f t="shared" si="13"/>
        <v>206942968.05431628</v>
      </c>
      <c r="AP16" s="581">
        <f t="shared" si="14"/>
        <v>579970343.61978602</v>
      </c>
    </row>
    <row r="17" spans="5:43" ht="10.5" customHeight="1" x14ac:dyDescent="0.25">
      <c r="E17"/>
      <c r="F17" s="167" t="s">
        <v>377</v>
      </c>
      <c r="G17"/>
      <c r="H17" s="156">
        <f t="shared" si="16"/>
        <v>579970343.61978602</v>
      </c>
      <c r="I17" s="156">
        <f t="shared" si="10"/>
        <v>288000000</v>
      </c>
      <c r="J17" s="267"/>
      <c r="K17" s="156">
        <f t="shared" si="15"/>
        <v>867970343.61978602</v>
      </c>
      <c r="L17" s="156"/>
      <c r="M17" s="567">
        <f t="shared" si="0"/>
        <v>33904800</v>
      </c>
      <c r="N17" s="157">
        <f t="shared" si="1"/>
        <v>34204000</v>
      </c>
      <c r="O17" s="157">
        <f t="shared" si="2"/>
        <v>40000000</v>
      </c>
      <c r="P17" s="157">
        <f t="shared" si="3"/>
        <v>16400000</v>
      </c>
      <c r="Q17" s="157">
        <f t="shared" si="4"/>
        <v>8612000</v>
      </c>
      <c r="R17" s="568">
        <f t="shared" si="5"/>
        <v>133120800</v>
      </c>
      <c r="S17" s="562">
        <f t="shared" si="6"/>
        <v>3000000</v>
      </c>
      <c r="T17" s="156">
        <f t="shared" si="7"/>
        <v>2400000</v>
      </c>
      <c r="U17" s="156"/>
      <c r="V17" s="156">
        <f>V15</f>
        <v>5200000</v>
      </c>
      <c r="W17" s="156">
        <f>W15</f>
        <v>16000000</v>
      </c>
      <c r="X17" s="156"/>
      <c r="Y17" s="156">
        <f>'Ovh Cost'!Q7/6</f>
        <v>300000</v>
      </c>
      <c r="Z17" s="156"/>
      <c r="AA17" s="156"/>
      <c r="AB17" s="156"/>
      <c r="AC17" s="156"/>
      <c r="AD17" s="573">
        <f t="shared" si="11"/>
        <v>26900000</v>
      </c>
      <c r="AE17" s="156">
        <f t="shared" si="8"/>
        <v>18416666.666666668</v>
      </c>
      <c r="AF17" s="156"/>
      <c r="AG17" s="156">
        <f>'SG&amp;A Truck Thermoking'!$J$7/12</f>
        <v>1000000</v>
      </c>
      <c r="AH17" s="156">
        <f>'SG&amp;A Truck Thermoking'!$K$7/12</f>
        <v>1000000</v>
      </c>
      <c r="AI17" s="156"/>
      <c r="AJ17" s="559">
        <f t="shared" si="9"/>
        <v>20416666.666666668</v>
      </c>
      <c r="AK17" s="656"/>
      <c r="AL17" s="156">
        <f>'Anuitas Loan'!C9</f>
        <v>15567218.003897903</v>
      </c>
      <c r="AM17" s="156">
        <f>'Anuitas Loan'!D9</f>
        <v>32038283.38375172</v>
      </c>
      <c r="AN17" s="654">
        <f t="shared" si="12"/>
        <v>47605501.387649626</v>
      </c>
      <c r="AO17" s="634">
        <f t="shared" si="13"/>
        <v>228042968.05431628</v>
      </c>
      <c r="AP17" s="581">
        <f t="shared" si="14"/>
        <v>639927375.56546974</v>
      </c>
    </row>
    <row r="18" spans="5:43" ht="10.5" customHeight="1" x14ac:dyDescent="0.25">
      <c r="E18"/>
      <c r="F18" s="167" t="s">
        <v>378</v>
      </c>
      <c r="G18"/>
      <c r="H18" s="156">
        <f t="shared" si="16"/>
        <v>639927375.56546974</v>
      </c>
      <c r="I18" s="156">
        <f t="shared" si="10"/>
        <v>288000000</v>
      </c>
      <c r="J18" s="267"/>
      <c r="K18" s="156">
        <f t="shared" si="15"/>
        <v>927927375.56546974</v>
      </c>
      <c r="L18" s="156"/>
      <c r="M18" s="567">
        <f t="shared" si="0"/>
        <v>33904800</v>
      </c>
      <c r="N18" s="157">
        <f t="shared" si="1"/>
        <v>34204000</v>
      </c>
      <c r="O18" s="157">
        <f t="shared" si="2"/>
        <v>40000000</v>
      </c>
      <c r="P18" s="157">
        <f t="shared" si="3"/>
        <v>16400000</v>
      </c>
      <c r="Q18" s="157">
        <f t="shared" si="4"/>
        <v>8612000</v>
      </c>
      <c r="R18" s="568">
        <f t="shared" si="5"/>
        <v>133120800</v>
      </c>
      <c r="S18" s="562">
        <f t="shared" si="6"/>
        <v>3000000</v>
      </c>
      <c r="T18" s="156">
        <f t="shared" si="7"/>
        <v>2400000</v>
      </c>
      <c r="U18" s="156"/>
      <c r="V18" s="156"/>
      <c r="X18" s="198">
        <f>'Ovh Cost'!P7/4</f>
        <v>300000</v>
      </c>
      <c r="Z18" s="156"/>
      <c r="AA18" s="156"/>
      <c r="AB18" s="156"/>
      <c r="AC18" s="156"/>
      <c r="AD18" s="573">
        <f t="shared" si="11"/>
        <v>5700000</v>
      </c>
      <c r="AE18" s="156">
        <f t="shared" si="8"/>
        <v>18416666.666666668</v>
      </c>
      <c r="AF18" s="156"/>
      <c r="AG18" s="156">
        <f>'SG&amp;A Truck Thermoking'!$J$7/12</f>
        <v>1000000</v>
      </c>
      <c r="AH18" s="156">
        <f>'SG&amp;A Truck Thermoking'!$K$7/12</f>
        <v>1000000</v>
      </c>
      <c r="AI18" s="156"/>
      <c r="AJ18" s="559">
        <f t="shared" si="9"/>
        <v>20416666.666666668</v>
      </c>
      <c r="AK18" s="656"/>
      <c r="AL18" s="156">
        <f>'Anuitas Loan'!C10</f>
        <v>15326930.878519766</v>
      </c>
      <c r="AM18" s="156">
        <f>'Anuitas Loan'!D10</f>
        <v>32278570.50912986</v>
      </c>
      <c r="AN18" s="654">
        <f t="shared" si="12"/>
        <v>47605501.387649626</v>
      </c>
      <c r="AO18" s="634">
        <f t="shared" si="13"/>
        <v>206842968.05431628</v>
      </c>
      <c r="AP18" s="581">
        <f t="shared" si="14"/>
        <v>721084407.51115346</v>
      </c>
    </row>
    <row r="19" spans="5:43" ht="10.5" customHeight="1" x14ac:dyDescent="0.25">
      <c r="E19"/>
      <c r="F19" s="167" t="s">
        <v>379</v>
      </c>
      <c r="G19"/>
      <c r="H19" s="156">
        <f t="shared" si="16"/>
        <v>721084407.51115346</v>
      </c>
      <c r="I19" s="156">
        <f t="shared" si="10"/>
        <v>288000000</v>
      </c>
      <c r="J19" s="267"/>
      <c r="K19" s="156">
        <f t="shared" si="15"/>
        <v>1009084407.5111535</v>
      </c>
      <c r="L19" s="156"/>
      <c r="M19" s="567">
        <f t="shared" si="0"/>
        <v>33904800</v>
      </c>
      <c r="N19" s="157">
        <f t="shared" si="1"/>
        <v>34204000</v>
      </c>
      <c r="O19" s="157">
        <f t="shared" si="2"/>
        <v>40000000</v>
      </c>
      <c r="P19" s="157">
        <f t="shared" si="3"/>
        <v>16400000</v>
      </c>
      <c r="Q19" s="157">
        <f t="shared" si="4"/>
        <v>8612000</v>
      </c>
      <c r="R19" s="568">
        <f t="shared" si="5"/>
        <v>133120800</v>
      </c>
      <c r="S19" s="562">
        <f t="shared" si="6"/>
        <v>3000000</v>
      </c>
      <c r="T19" s="156">
        <f t="shared" si="7"/>
        <v>2400000</v>
      </c>
      <c r="U19" s="156"/>
      <c r="V19" s="156">
        <f>V17</f>
        <v>5200000</v>
      </c>
      <c r="W19" s="156">
        <f>W17</f>
        <v>16000000</v>
      </c>
      <c r="X19" s="156"/>
      <c r="Y19" s="156">
        <f>'Ovh Cost'!Q7/6</f>
        <v>300000</v>
      </c>
      <c r="Z19" s="156"/>
      <c r="AA19" s="156"/>
      <c r="AB19" s="156"/>
      <c r="AC19" s="156"/>
      <c r="AD19" s="573">
        <f t="shared" si="11"/>
        <v>26900000</v>
      </c>
      <c r="AE19" s="156">
        <f t="shared" si="8"/>
        <v>18416666.666666668</v>
      </c>
      <c r="AF19" s="156"/>
      <c r="AG19" s="156">
        <f>'SG&amp;A Truck Thermoking'!$J$7/12</f>
        <v>1000000</v>
      </c>
      <c r="AH19" s="156">
        <f>'SG&amp;A Truck Thermoking'!$K$7/12</f>
        <v>1000000</v>
      </c>
      <c r="AI19" s="156"/>
      <c r="AJ19" s="559">
        <f t="shared" si="9"/>
        <v>20416666.666666668</v>
      </c>
      <c r="AK19" s="656"/>
      <c r="AL19" s="156">
        <f>'Anuitas Loan'!C11</f>
        <v>15084841.599701295</v>
      </c>
      <c r="AM19" s="156">
        <f>'Anuitas Loan'!D11</f>
        <v>32520659.787948336</v>
      </c>
      <c r="AN19" s="654">
        <f t="shared" si="12"/>
        <v>47605501.387649633</v>
      </c>
      <c r="AO19" s="634">
        <f t="shared" si="13"/>
        <v>228042968.05431628</v>
      </c>
      <c r="AP19" s="581">
        <f t="shared" si="14"/>
        <v>781041439.45683718</v>
      </c>
    </row>
    <row r="20" spans="5:43" ht="10.5" customHeight="1" x14ac:dyDescent="0.25">
      <c r="E20"/>
      <c r="F20" s="167" t="s">
        <v>380</v>
      </c>
      <c r="G20"/>
      <c r="H20" s="156">
        <f t="shared" si="16"/>
        <v>781041439.45683718</v>
      </c>
      <c r="I20" s="156">
        <f t="shared" si="10"/>
        <v>288000000</v>
      </c>
      <c r="J20" s="267"/>
      <c r="K20" s="156">
        <f t="shared" si="15"/>
        <v>1069041439.4568372</v>
      </c>
      <c r="L20" s="156"/>
      <c r="M20" s="567">
        <f t="shared" si="0"/>
        <v>33904800</v>
      </c>
      <c r="N20" s="157">
        <f t="shared" si="1"/>
        <v>34204000</v>
      </c>
      <c r="O20" s="157">
        <f t="shared" si="2"/>
        <v>40000000</v>
      </c>
      <c r="P20" s="157">
        <f t="shared" si="3"/>
        <v>16400000</v>
      </c>
      <c r="Q20" s="157">
        <f t="shared" si="4"/>
        <v>8612000</v>
      </c>
      <c r="R20" s="568">
        <f t="shared" si="5"/>
        <v>133120800</v>
      </c>
      <c r="S20" s="562">
        <f t="shared" si="6"/>
        <v>3000000</v>
      </c>
      <c r="T20" s="156">
        <f t="shared" si="7"/>
        <v>2400000</v>
      </c>
      <c r="U20" s="156"/>
      <c r="V20" s="156"/>
      <c r="W20" s="156"/>
      <c r="X20" s="156"/>
      <c r="Y20" s="156"/>
      <c r="Z20" s="156"/>
      <c r="AA20" s="156"/>
      <c r="AB20" s="156"/>
      <c r="AC20" s="156"/>
      <c r="AD20" s="573">
        <f t="shared" si="11"/>
        <v>5400000</v>
      </c>
      <c r="AE20" s="156">
        <f t="shared" si="8"/>
        <v>18416666.666666668</v>
      </c>
      <c r="AF20" s="156"/>
      <c r="AG20" s="156">
        <f>'SG&amp;A Truck Thermoking'!$J$7/12</f>
        <v>1000000</v>
      </c>
      <c r="AH20" s="156">
        <f>'SG&amp;A Truck Thermoking'!$K$7/12</f>
        <v>1000000</v>
      </c>
      <c r="AI20" s="156"/>
      <c r="AJ20" s="559">
        <f t="shared" si="9"/>
        <v>20416666.666666668</v>
      </c>
      <c r="AK20" s="656"/>
      <c r="AL20" s="156">
        <f>'Anuitas Loan'!C12</f>
        <v>14840936.651291681</v>
      </c>
      <c r="AM20" s="156">
        <f>'Anuitas Loan'!D12</f>
        <v>32764564.736357953</v>
      </c>
      <c r="AN20" s="654">
        <f t="shared" si="12"/>
        <v>47605501.387649633</v>
      </c>
      <c r="AO20" s="634">
        <f t="shared" si="13"/>
        <v>206542968.05431628</v>
      </c>
      <c r="AP20" s="581">
        <f t="shared" si="14"/>
        <v>862498471.4025209</v>
      </c>
    </row>
    <row r="21" spans="5:43" ht="10.5" customHeight="1" thickBot="1" x14ac:dyDescent="0.3">
      <c r="E21"/>
      <c r="F21" s="167" t="s">
        <v>381</v>
      </c>
      <c r="G21"/>
      <c r="H21" s="156">
        <f t="shared" si="16"/>
        <v>862498471.4025209</v>
      </c>
      <c r="I21" s="156">
        <f t="shared" si="10"/>
        <v>288000000</v>
      </c>
      <c r="J21" s="267"/>
      <c r="K21" s="156">
        <f t="shared" si="15"/>
        <v>1150498471.4025209</v>
      </c>
      <c r="L21" s="156"/>
      <c r="M21" s="569">
        <f t="shared" si="0"/>
        <v>33904800</v>
      </c>
      <c r="N21" s="570">
        <f t="shared" si="1"/>
        <v>34204000</v>
      </c>
      <c r="O21" s="570">
        <f t="shared" si="2"/>
        <v>40000000</v>
      </c>
      <c r="P21" s="570">
        <f t="shared" si="3"/>
        <v>16400000</v>
      </c>
      <c r="Q21" s="570">
        <f t="shared" si="4"/>
        <v>8612000</v>
      </c>
      <c r="R21" s="571">
        <f t="shared" si="5"/>
        <v>133120800</v>
      </c>
      <c r="S21" s="574">
        <f t="shared" si="6"/>
        <v>3000000</v>
      </c>
      <c r="T21" s="560">
        <f t="shared" si="7"/>
        <v>2400000</v>
      </c>
      <c r="U21" s="560">
        <f>U15</f>
        <v>72500000</v>
      </c>
      <c r="V21" s="560">
        <f>V19</f>
        <v>5200000</v>
      </c>
      <c r="W21" s="560">
        <f>W19</f>
        <v>16000000</v>
      </c>
      <c r="X21" s="560">
        <f>'Ovh Cost'!P7/4</f>
        <v>300000</v>
      </c>
      <c r="Y21" s="560">
        <f>'Ovh Cost'!Q7/6</f>
        <v>300000</v>
      </c>
      <c r="AA21" s="560">
        <f>'Ovh Cost'!S7</f>
        <v>7000000</v>
      </c>
      <c r="AB21" s="560"/>
      <c r="AC21" s="560"/>
      <c r="AD21" s="573">
        <f t="shared" si="11"/>
        <v>106700000</v>
      </c>
      <c r="AE21" s="156">
        <f t="shared" si="8"/>
        <v>18416666.666666668</v>
      </c>
      <c r="AG21" s="156">
        <f>'SG&amp;A Truck Thermoking'!$J$7/12</f>
        <v>1000000</v>
      </c>
      <c r="AH21" s="156">
        <f>'SG&amp;A Truck Thermoking'!$K$7/12</f>
        <v>1000000</v>
      </c>
      <c r="AI21" s="156"/>
      <c r="AJ21" s="559">
        <f t="shared" si="9"/>
        <v>20416666.666666668</v>
      </c>
      <c r="AK21" s="657">
        <f>IncomeStatement!C25</f>
        <v>37703218.960000001</v>
      </c>
      <c r="AL21" s="156">
        <f>'Anuitas Loan'!C13</f>
        <v>14595202.415768996</v>
      </c>
      <c r="AM21" s="156">
        <f>'Anuitas Loan'!D13</f>
        <v>33010298.971880633</v>
      </c>
      <c r="AN21" s="654">
        <f>SUM(AK21:AM21)</f>
        <v>85308720.347649634</v>
      </c>
      <c r="AO21" s="634">
        <f t="shared" si="13"/>
        <v>345546187.01431632</v>
      </c>
      <c r="AP21" s="581">
        <f t="shared" si="14"/>
        <v>804952284.38820457</v>
      </c>
    </row>
    <row r="22" spans="5:43" ht="10.5" customHeight="1" x14ac:dyDescent="0.2">
      <c r="E22" s="557"/>
      <c r="F22" s="558"/>
      <c r="G22" s="558"/>
      <c r="H22" s="580">
        <f>SUM(H10:H21)</f>
        <v>5914246428.4151249</v>
      </c>
      <c r="I22" s="580">
        <f>SUM(I10:I21)</f>
        <v>3456000000</v>
      </c>
      <c r="J22" s="580">
        <f>SUM(J10:J21)</f>
        <v>537149600</v>
      </c>
      <c r="K22" s="563"/>
      <c r="L22" s="559"/>
      <c r="M22" s="563">
        <f t="shared" ref="M22:AI22" si="17">SUM(M10:M21)</f>
        <v>406857600</v>
      </c>
      <c r="N22" s="563">
        <f t="shared" si="17"/>
        <v>410448000</v>
      </c>
      <c r="O22" s="563">
        <f t="shared" si="17"/>
        <v>480000000</v>
      </c>
      <c r="P22" s="563">
        <f t="shared" si="17"/>
        <v>196800000</v>
      </c>
      <c r="Q22" s="563">
        <f t="shared" si="17"/>
        <v>103344000</v>
      </c>
      <c r="R22" s="563">
        <f>SUM(R10:R21)</f>
        <v>1597449600</v>
      </c>
      <c r="S22" s="575">
        <f t="shared" si="17"/>
        <v>36000000</v>
      </c>
      <c r="T22" s="575">
        <f t="shared" si="17"/>
        <v>28800000</v>
      </c>
      <c r="U22" s="575">
        <f t="shared" si="17"/>
        <v>145000000</v>
      </c>
      <c r="V22" s="575">
        <f t="shared" si="17"/>
        <v>31200000</v>
      </c>
      <c r="W22" s="575">
        <f t="shared" si="17"/>
        <v>96000000</v>
      </c>
      <c r="X22" s="575">
        <f t="shared" si="17"/>
        <v>1200000</v>
      </c>
      <c r="Y22" s="575">
        <f t="shared" si="17"/>
        <v>1800000</v>
      </c>
      <c r="Z22" s="575">
        <f>SUM(Z10:Z20)</f>
        <v>800000</v>
      </c>
      <c r="AA22" s="575">
        <f t="shared" si="17"/>
        <v>7000000</v>
      </c>
      <c r="AB22" s="575">
        <f t="shared" si="17"/>
        <v>327616800</v>
      </c>
      <c r="AC22" s="575"/>
      <c r="AD22" s="576">
        <f>SUM(AD10:AD21)</f>
        <v>679016800</v>
      </c>
      <c r="AE22" s="575">
        <f t="shared" si="17"/>
        <v>220999999.99999997</v>
      </c>
      <c r="AF22" s="575">
        <f>SUM(AF10:AF20)</f>
        <v>25000000</v>
      </c>
      <c r="AG22" s="575">
        <f t="shared" si="17"/>
        <v>12000000</v>
      </c>
      <c r="AH22" s="575">
        <f t="shared" si="17"/>
        <v>12000000</v>
      </c>
      <c r="AI22" s="575">
        <f t="shared" si="17"/>
        <v>32761680</v>
      </c>
      <c r="AJ22" s="576">
        <f t="shared" ref="AJ22:AN22" si="18">SUM(AJ10:AJ21)</f>
        <v>302761680</v>
      </c>
      <c r="AK22" s="576">
        <f t="shared" si="18"/>
        <v>37703218.960000001</v>
      </c>
      <c r="AL22" s="576">
        <f t="shared" si="18"/>
        <v>190965106.4491145</v>
      </c>
      <c r="AM22" s="576">
        <f t="shared" si="18"/>
        <v>380300910.20268095</v>
      </c>
      <c r="AN22" s="576">
        <f t="shared" si="18"/>
        <v>608969235.61179566</v>
      </c>
      <c r="AO22" s="575">
        <f>SUM(AO10:AO21)</f>
        <v>3188197315.6117964</v>
      </c>
      <c r="AP22" s="575"/>
    </row>
    <row r="23" spans="5:43" ht="10.5" customHeight="1" x14ac:dyDescent="0.2">
      <c r="Q23" s="156"/>
      <c r="R23" s="156"/>
    </row>
    <row r="24" spans="5:43" ht="10.5" customHeight="1" x14ac:dyDescent="0.2">
      <c r="AD24" s="200">
        <v>327616800</v>
      </c>
      <c r="AO24" s="156">
        <f>AO22+'Ovh Cost'!V7</f>
        <v>3515814115.6117964</v>
      </c>
    </row>
    <row r="25" spans="5:43" ht="10.5" customHeight="1" x14ac:dyDescent="0.2">
      <c r="AD25" s="156"/>
      <c r="AO25" s="156"/>
      <c r="AQ25" s="156"/>
    </row>
    <row r="26" spans="5:43" ht="10.5" customHeight="1" x14ac:dyDescent="0.2">
      <c r="AD26" s="200">
        <f>AD22+AD24</f>
        <v>1006633600</v>
      </c>
      <c r="AM26" s="156"/>
      <c r="AO26" s="156"/>
    </row>
    <row r="27" spans="5:43" ht="10.5" customHeight="1" x14ac:dyDescent="0.2">
      <c r="I27" s="156"/>
      <c r="K27" s="207"/>
      <c r="AD27" s="156"/>
      <c r="AL27" s="156"/>
      <c r="AM27" s="156"/>
    </row>
    <row r="29" spans="5:43" ht="10.5" customHeight="1" x14ac:dyDescent="0.2">
      <c r="K29" s="200"/>
      <c r="AO29" s="156"/>
    </row>
    <row r="30" spans="5:43" ht="10.5" customHeight="1" x14ac:dyDescent="0.2">
      <c r="AO30" s="156"/>
      <c r="AP30" s="156"/>
      <c r="AQ30" s="156"/>
    </row>
    <row r="32" spans="5:43" ht="10.5" customHeight="1" x14ac:dyDescent="0.2">
      <c r="AN32" s="156"/>
      <c r="AO32" s="156"/>
    </row>
  </sheetData>
  <mergeCells count="11">
    <mergeCell ref="AO7:AO9"/>
    <mergeCell ref="AP7:AP9"/>
    <mergeCell ref="AE7:AJ8"/>
    <mergeCell ref="E7:E8"/>
    <mergeCell ref="F7:F8"/>
    <mergeCell ref="I7:I8"/>
    <mergeCell ref="J7:J8"/>
    <mergeCell ref="H7:H8"/>
    <mergeCell ref="K7:K8"/>
    <mergeCell ref="M7:R8"/>
    <mergeCell ref="S7:AD8"/>
  </mergeCells>
  <pageMargins left="0.7" right="0.7" top="0.75" bottom="0.75" header="0.3" footer="0.3"/>
  <pageSetup paperSize="9" orientation="portrait" r:id="rId1"/>
  <ignoredErrors>
    <ignoredError sqref="R11:R21 AF22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68"/>
  <sheetViews>
    <sheetView showGridLines="0" zoomScale="120" zoomScaleNormal="120" workbookViewId="0">
      <pane xSplit="1" ySplit="8" topLeftCell="B26" activePane="bottomRight" state="frozen"/>
      <selection pane="topRight" activeCell="B1" sqref="B1"/>
      <selection pane="bottomLeft" activeCell="A8" sqref="A8"/>
      <selection pane="bottomRight" activeCell="P40" sqref="P39:P40"/>
    </sheetView>
  </sheetViews>
  <sheetFormatPr defaultColWidth="9" defaultRowHeight="11.25" x14ac:dyDescent="0.25"/>
  <cols>
    <col min="1" max="1" width="28.875" style="176" bestFit="1" customWidth="1"/>
    <col min="2" max="12" width="11.625" style="176" bestFit="1" customWidth="1"/>
    <col min="13" max="17" width="7.875" style="176" bestFit="1" customWidth="1"/>
    <col min="18" max="16384" width="9" style="176"/>
  </cols>
  <sheetData>
    <row r="1" spans="1:18" x14ac:dyDescent="0.25">
      <c r="A1" s="175" t="str">
        <f>ProjectValuation!A1</f>
        <v>Bisnis Truk Thermoking</v>
      </c>
      <c r="M1" s="179"/>
    </row>
    <row r="2" spans="1:18" x14ac:dyDescent="0.25">
      <c r="A2" s="175" t="str">
        <f>ProjectValuation!A2</f>
        <v>Financial Pre-Feasibility Study</v>
      </c>
      <c r="M2" s="179"/>
    </row>
    <row r="3" spans="1:18" x14ac:dyDescent="0.25">
      <c r="A3" s="177" t="s">
        <v>527</v>
      </c>
      <c r="M3" s="179"/>
      <c r="R3" s="179"/>
    </row>
    <row r="4" spans="1:18" x14ac:dyDescent="0.25">
      <c r="A4" s="178"/>
      <c r="M4" s="179"/>
      <c r="R4" s="179"/>
    </row>
    <row r="5" spans="1:18" x14ac:dyDescent="0.25">
      <c r="A5" s="178"/>
      <c r="D5" s="179"/>
      <c r="M5" s="179"/>
      <c r="R5" s="179"/>
    </row>
    <row r="6" spans="1:18" x14ac:dyDescent="0.25">
      <c r="A6" s="196" t="s">
        <v>528</v>
      </c>
      <c r="M6" s="179"/>
      <c r="R6" s="179"/>
    </row>
    <row r="7" spans="1:18" x14ac:dyDescent="0.25">
      <c r="A7" s="176" t="s">
        <v>634</v>
      </c>
      <c r="M7" s="179"/>
    </row>
    <row r="8" spans="1:18" ht="20.100000000000001" customHeight="1" x14ac:dyDescent="0.25">
      <c r="A8" s="181" t="s">
        <v>521</v>
      </c>
      <c r="B8" s="182">
        <v>0</v>
      </c>
      <c r="C8" s="182">
        <v>1</v>
      </c>
      <c r="D8" s="182">
        <f>C8+1</f>
        <v>2</v>
      </c>
      <c r="E8" s="182">
        <f t="shared" ref="E8:L8" si="0">D8+1</f>
        <v>3</v>
      </c>
      <c r="F8" s="182">
        <f t="shared" si="0"/>
        <v>4</v>
      </c>
      <c r="G8" s="182">
        <f t="shared" si="0"/>
        <v>5</v>
      </c>
      <c r="H8" s="182">
        <f t="shared" si="0"/>
        <v>6</v>
      </c>
      <c r="I8" s="182">
        <f t="shared" si="0"/>
        <v>7</v>
      </c>
      <c r="J8" s="182">
        <f t="shared" si="0"/>
        <v>8</v>
      </c>
      <c r="K8" s="182">
        <f t="shared" si="0"/>
        <v>9</v>
      </c>
      <c r="L8" s="182">
        <f t="shared" si="0"/>
        <v>10</v>
      </c>
    </row>
    <row r="9" spans="1:18" x14ac:dyDescent="0.25">
      <c r="A9" s="176" t="s">
        <v>529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</row>
    <row r="10" spans="1:18" x14ac:dyDescent="0.25">
      <c r="A10" s="184" t="s">
        <v>530</v>
      </c>
      <c r="B10" s="183"/>
      <c r="C10" s="179">
        <f>IncomeStatement!C8</f>
        <v>3456000000</v>
      </c>
      <c r="D10" s="179">
        <f>IncomeStatement!D8</f>
        <v>3525120000</v>
      </c>
      <c r="E10" s="179">
        <f>IncomeStatement!E8</f>
        <v>3595622400</v>
      </c>
      <c r="F10" s="179">
        <f>IncomeStatement!F8</f>
        <v>3667534848</v>
      </c>
      <c r="G10" s="179">
        <f>IncomeStatement!G8</f>
        <v>3740885544.96</v>
      </c>
      <c r="H10" s="179">
        <f>IncomeStatement!H8</f>
        <v>3815703255.8592</v>
      </c>
      <c r="I10" s="179">
        <f>IncomeStatement!I8</f>
        <v>3892017320.9763842</v>
      </c>
      <c r="J10" s="179">
        <f>IncomeStatement!J8</f>
        <v>3969857667.3959117</v>
      </c>
      <c r="K10" s="179">
        <f>IncomeStatement!K8</f>
        <v>4049254820.7438302</v>
      </c>
      <c r="L10" s="179">
        <f>IncomeStatement!L8</f>
        <v>4130239917.1587067</v>
      </c>
    </row>
    <row r="11" spans="1:18" x14ac:dyDescent="0.25">
      <c r="A11" s="184" t="s">
        <v>531</v>
      </c>
      <c r="B11" s="183"/>
      <c r="C11" s="179">
        <f>Depreciation!F8</f>
        <v>327616800</v>
      </c>
      <c r="D11" s="179">
        <f>Depreciation!F9</f>
        <v>327616800</v>
      </c>
      <c r="E11" s="179">
        <f>Depreciation!F10</f>
        <v>327616800</v>
      </c>
      <c r="F11" s="179">
        <f>Depreciation!F11</f>
        <v>327616800</v>
      </c>
      <c r="G11" s="179">
        <f>Depreciation!F12</f>
        <v>327616800</v>
      </c>
      <c r="H11" s="179">
        <f>Depreciation!F13</f>
        <v>327616800</v>
      </c>
      <c r="I11" s="179">
        <f>Depreciation!F14</f>
        <v>327616800</v>
      </c>
      <c r="J11" s="179">
        <f>Depreciation!F15</f>
        <v>327616800</v>
      </c>
      <c r="K11" s="179">
        <f>Depreciation!F16</f>
        <v>327616800</v>
      </c>
      <c r="L11" s="179">
        <f>Depreciation!F17</f>
        <v>327616800</v>
      </c>
    </row>
    <row r="12" spans="1:18" x14ac:dyDescent="0.25">
      <c r="A12" s="184" t="s">
        <v>532</v>
      </c>
      <c r="B12" s="183"/>
      <c r="C12" s="179"/>
      <c r="D12" s="179"/>
      <c r="E12" s="179"/>
      <c r="F12" s="179"/>
      <c r="G12" s="188"/>
      <c r="H12" s="188"/>
      <c r="I12" s="188"/>
      <c r="J12" s="188"/>
      <c r="K12" s="188"/>
      <c r="L12" s="188"/>
    </row>
    <row r="13" spans="1:18" x14ac:dyDescent="0.25">
      <c r="A13" s="184" t="s">
        <v>712</v>
      </c>
      <c r="B13" s="183"/>
      <c r="C13" s="179">
        <f>-1*IncomeStatement!C12</f>
        <v>-2604083200</v>
      </c>
      <c r="D13" s="179">
        <f>-1*IncomeStatement!D12</f>
        <v>-2315303392</v>
      </c>
      <c r="E13" s="179">
        <f>-1*IncomeStatement!E12</f>
        <v>-2354917123.8400002</v>
      </c>
      <c r="F13" s="179">
        <f>-1*IncomeStatement!F12</f>
        <v>-2395323130.3168001</v>
      </c>
      <c r="G13" s="179">
        <f>-1*IncomeStatement!G12</f>
        <v>-2436537256.9231358</v>
      </c>
      <c r="H13" s="179">
        <f>-1*IncomeStatement!H12</f>
        <v>-2544099026.0615988</v>
      </c>
      <c r="I13" s="179">
        <f>-1*IncomeStatement!I12</f>
        <v>-2588288670.5828309</v>
      </c>
      <c r="J13" s="179">
        <f>-1*IncomeStatement!J12</f>
        <v>-2633362107.9944873</v>
      </c>
      <c r="K13" s="179">
        <f>-1*IncomeStatement!K12</f>
        <v>-2679337014.1543775</v>
      </c>
      <c r="L13" s="179">
        <f>-1*IncomeStatement!L12</f>
        <v>-2726231418.4374647</v>
      </c>
    </row>
    <row r="14" spans="1:18" x14ac:dyDescent="0.25">
      <c r="A14" s="185" t="s">
        <v>713</v>
      </c>
      <c r="B14" s="183"/>
      <c r="C14" s="179">
        <f>-1*IncomeStatement!C20</f>
        <v>-302761680</v>
      </c>
      <c r="D14" s="179">
        <f>-1*IncomeStatement!D20</f>
        <v>-275400000</v>
      </c>
      <c r="E14" s="179">
        <f>-1*IncomeStatement!E20</f>
        <v>-280908000</v>
      </c>
      <c r="F14" s="179">
        <f>-1*IncomeStatement!F20</f>
        <v>-286526160</v>
      </c>
      <c r="G14" s="179">
        <f>-1*IncomeStatement!G20</f>
        <v>-292256683.20000005</v>
      </c>
      <c r="H14" s="179">
        <f>-1*IncomeStatement!H20</f>
        <v>-298101816.86400008</v>
      </c>
      <c r="I14" s="179">
        <f>-1*IncomeStatement!I20</f>
        <v>-304063853.20128</v>
      </c>
      <c r="J14" s="179">
        <f>-1*IncomeStatement!J20</f>
        <v>-310145130.26530564</v>
      </c>
      <c r="K14" s="179">
        <f>-1*IncomeStatement!K20</f>
        <v>-316348032.87061179</v>
      </c>
      <c r="L14" s="179">
        <f>-1*IncomeStatement!L20</f>
        <v>-322674993.52802402</v>
      </c>
    </row>
    <row r="15" spans="1:18" x14ac:dyDescent="0.25">
      <c r="A15" s="185" t="s">
        <v>533</v>
      </c>
      <c r="B15" s="188"/>
      <c r="C15" s="187">
        <f>-1*IncomeStatement!C25</f>
        <v>-37703218.960000001</v>
      </c>
      <c r="D15" s="187">
        <f>-1*IncomeStatement!D25</f>
        <v>-80081982.640000001</v>
      </c>
      <c r="E15" s="187">
        <f>-1*IncomeStatement!E25</f>
        <v>-82873856.13759999</v>
      </c>
      <c r="F15" s="187">
        <f>-1*IncomeStatement!F25</f>
        <v>-85721567.105151981</v>
      </c>
      <c r="G15" s="187">
        <f>-1*IncomeStatement!G25</f>
        <v>-88626232.29205507</v>
      </c>
      <c r="H15" s="187">
        <f>-1*IncomeStatement!H25</f>
        <v>-107085265.42269613</v>
      </c>
      <c r="I15" s="187">
        <f>-1*IncomeStatement!I25</f>
        <v>-109963127.69115005</v>
      </c>
      <c r="J15" s="187">
        <f>-1*IncomeStatement!J25</f>
        <v>-112898547.20497307</v>
      </c>
      <c r="K15" s="187">
        <f>-1*IncomeStatement!K25</f>
        <v>-115892675.10907251</v>
      </c>
      <c r="L15" s="187">
        <f>-1*IncomeStatement!L25</f>
        <v>-118946685.57125399</v>
      </c>
    </row>
    <row r="16" spans="1:18" x14ac:dyDescent="0.25">
      <c r="A16" s="186" t="s">
        <v>534</v>
      </c>
      <c r="B16" s="183"/>
      <c r="C16" s="179">
        <f>SUM(C10:C15)</f>
        <v>839068701.03999996</v>
      </c>
      <c r="D16" s="179">
        <f t="shared" ref="D16:L16" si="1">SUM(D10:D15)</f>
        <v>1181951425.3599999</v>
      </c>
      <c r="E16" s="179">
        <f t="shared" si="1"/>
        <v>1204540220.0223999</v>
      </c>
      <c r="F16" s="179">
        <f t="shared" si="1"/>
        <v>1227580790.578048</v>
      </c>
      <c r="G16" s="179">
        <f t="shared" si="1"/>
        <v>1251082172.5448091</v>
      </c>
      <c r="H16" s="179">
        <f t="shared" si="1"/>
        <v>1194033947.510905</v>
      </c>
      <c r="I16" s="179">
        <f t="shared" si="1"/>
        <v>1217318469.5011232</v>
      </c>
      <c r="J16" s="179">
        <f t="shared" si="1"/>
        <v>1241068681.9311464</v>
      </c>
      <c r="K16" s="179">
        <f t="shared" si="1"/>
        <v>1265293898.6097682</v>
      </c>
      <c r="L16" s="179">
        <f t="shared" si="1"/>
        <v>1290003619.621964</v>
      </c>
    </row>
    <row r="17" spans="1:12" x14ac:dyDescent="0.25"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</row>
    <row r="18" spans="1:12" x14ac:dyDescent="0.25">
      <c r="A18" s="176" t="s">
        <v>535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</row>
    <row r="19" spans="1:12" x14ac:dyDescent="0.25">
      <c r="A19" s="176" t="s">
        <v>536</v>
      </c>
      <c r="B19" s="188">
        <f>CapitalInvestment!C8</f>
        <v>3276168000</v>
      </c>
      <c r="C19" s="188"/>
      <c r="D19" s="188"/>
      <c r="E19" s="188"/>
      <c r="F19" s="188"/>
      <c r="G19" s="188"/>
      <c r="H19" s="188"/>
      <c r="I19" s="188"/>
      <c r="J19" s="188"/>
      <c r="K19" s="188"/>
      <c r="L19" s="188"/>
    </row>
    <row r="20" spans="1:12" x14ac:dyDescent="0.25">
      <c r="A20" s="176" t="s">
        <v>537</v>
      </c>
      <c r="B20" s="193">
        <f>CapitalInvestment!C9</f>
        <v>537149600</v>
      </c>
      <c r="C20" s="193"/>
      <c r="D20" s="193"/>
      <c r="E20" s="193"/>
      <c r="F20" s="193"/>
      <c r="G20" s="193"/>
      <c r="H20" s="193"/>
      <c r="I20" s="193"/>
      <c r="J20" s="193"/>
      <c r="K20" s="193"/>
      <c r="L20" s="193"/>
    </row>
    <row r="21" spans="1:12" x14ac:dyDescent="0.25">
      <c r="A21" s="186" t="s">
        <v>538</v>
      </c>
      <c r="B21" s="188">
        <f>SUM(B19:B20)</f>
        <v>3813317600</v>
      </c>
      <c r="C21" s="188">
        <f>SUM(C19:C20)</f>
        <v>0</v>
      </c>
      <c r="D21" s="188">
        <f t="shared" ref="D21:L21" si="2">SUM(D19:D20)</f>
        <v>0</v>
      </c>
      <c r="E21" s="188">
        <f t="shared" si="2"/>
        <v>0</v>
      </c>
      <c r="F21" s="188">
        <f t="shared" si="2"/>
        <v>0</v>
      </c>
      <c r="G21" s="188">
        <f t="shared" si="2"/>
        <v>0</v>
      </c>
      <c r="H21" s="188">
        <f t="shared" si="2"/>
        <v>0</v>
      </c>
      <c r="I21" s="188">
        <f t="shared" si="2"/>
        <v>0</v>
      </c>
      <c r="J21" s="188">
        <f t="shared" si="2"/>
        <v>0</v>
      </c>
      <c r="K21" s="188">
        <f t="shared" si="2"/>
        <v>0</v>
      </c>
      <c r="L21" s="188">
        <f t="shared" si="2"/>
        <v>0</v>
      </c>
    </row>
    <row r="22" spans="1:12" x14ac:dyDescent="0.25"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</row>
    <row r="23" spans="1:12" x14ac:dyDescent="0.25">
      <c r="A23" s="176" t="s">
        <v>539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</row>
    <row r="24" spans="1:12" x14ac:dyDescent="0.25">
      <c r="A24" s="176" t="s">
        <v>540</v>
      </c>
      <c r="B24" s="179">
        <f>-1*B19</f>
        <v>-3276168000</v>
      </c>
      <c r="C24" s="179"/>
      <c r="D24" s="179"/>
      <c r="E24" s="179"/>
      <c r="F24" s="179"/>
      <c r="G24" s="179"/>
      <c r="H24" s="179"/>
      <c r="I24" s="179"/>
      <c r="J24" s="179"/>
      <c r="K24" s="179"/>
      <c r="L24" s="179"/>
    </row>
    <row r="25" spans="1:12" x14ac:dyDescent="0.25">
      <c r="A25" s="176" t="s">
        <v>541</v>
      </c>
      <c r="B25" s="179">
        <v>0</v>
      </c>
      <c r="C25" s="179">
        <f>-1*LoanInterest!J8</f>
        <v>-458663520</v>
      </c>
      <c r="D25" s="179">
        <f>-1*LoanInterest!J9</f>
        <v>-458663520</v>
      </c>
      <c r="E25" s="179">
        <f>-1*LoanInterest!J10</f>
        <v>-458663520</v>
      </c>
      <c r="F25" s="179">
        <f>-1*LoanInterest!J11</f>
        <v>-458663520</v>
      </c>
      <c r="G25" s="179">
        <f>-1*LoanInterest!J12</f>
        <v>-458663520</v>
      </c>
      <c r="H25" s="179">
        <f>-1*LoanInterest!J14/10^3</f>
        <v>0</v>
      </c>
      <c r="I25" s="179">
        <f>-1*LoanInterest!J15/10^3</f>
        <v>0</v>
      </c>
      <c r="J25" s="179">
        <f>-1*LoanInterest!J16/10^3</f>
        <v>0</v>
      </c>
      <c r="K25" s="179">
        <f>-1*LoanInterest!J17/10^3</f>
        <v>0</v>
      </c>
      <c r="L25" s="179">
        <f>-1*LoanInterest!J18/10^3</f>
        <v>0</v>
      </c>
    </row>
    <row r="26" spans="1:12" x14ac:dyDescent="0.25">
      <c r="A26" s="176" t="s">
        <v>542</v>
      </c>
      <c r="B26" s="179">
        <v>0</v>
      </c>
      <c r="C26" s="179">
        <f>-1*(LoanInterest!L8)</f>
        <v>-206398584</v>
      </c>
      <c r="D26" s="179">
        <f>-1*LoanInterest!L9</f>
        <v>-206398584</v>
      </c>
      <c r="E26" s="179">
        <f>-1*LoanInterest!L10</f>
        <v>-206398584</v>
      </c>
      <c r="F26" s="179">
        <f>-1*LoanInterest!L11</f>
        <v>-206398584</v>
      </c>
      <c r="G26" s="179">
        <f>-1*LoanInterest!L12</f>
        <v>-206398584</v>
      </c>
      <c r="H26" s="179">
        <f>-1*LoanInterest!L14</f>
        <v>0</v>
      </c>
      <c r="I26" s="179">
        <f>-1*LoanInterest!L15</f>
        <v>0</v>
      </c>
      <c r="J26" s="179">
        <f>-1*LoanInterest!L16</f>
        <v>0</v>
      </c>
      <c r="K26" s="179">
        <f>-1*LoanInterest!L17</f>
        <v>0</v>
      </c>
      <c r="L26" s="179">
        <v>0</v>
      </c>
    </row>
    <row r="27" spans="1:12" x14ac:dyDescent="0.25">
      <c r="A27" s="176" t="s">
        <v>1191</v>
      </c>
      <c r="B27" s="187">
        <v>0</v>
      </c>
      <c r="C27" s="187">
        <f>-1*Dividen!L9</f>
        <v>-213537321.928</v>
      </c>
      <c r="D27" s="187">
        <f>-1*Dividen!L10</f>
        <v>-453555228.95199996</v>
      </c>
      <c r="E27" s="187">
        <f>-1*Dividen!L11</f>
        <v>-502893627.01679993</v>
      </c>
      <c r="F27" s="187">
        <f>-1*Dividen!L12</f>
        <v>-554852325.2624383</v>
      </c>
      <c r="G27" s="187">
        <f>-1*Dividen!L13</f>
        <v>-573653430.83584726</v>
      </c>
      <c r="H27" s="187">
        <f>-1*Dividen!L14</f>
        <v>-866417147.51090503</v>
      </c>
      <c r="I27" s="187">
        <f>-1*Dividen!L15</f>
        <v>-889701669.50112319</v>
      </c>
      <c r="J27" s="187">
        <f>-1*Dividen!L16</f>
        <v>-913451881.93114567</v>
      </c>
      <c r="K27" s="187">
        <f>-1*Dividen!L17</f>
        <v>-937677098.60976839</v>
      </c>
      <c r="L27" s="187">
        <f>-1*Dividen!L18</f>
        <v>-962386819.62196398</v>
      </c>
    </row>
    <row r="28" spans="1:12" x14ac:dyDescent="0.25">
      <c r="A28" s="186" t="s">
        <v>543</v>
      </c>
      <c r="B28" s="179">
        <f>SUM(B24:B27)</f>
        <v>-3276168000</v>
      </c>
      <c r="C28" s="179">
        <f>SUM(C24:C27)</f>
        <v>-878599425.92799997</v>
      </c>
      <c r="D28" s="179">
        <f t="shared" ref="D28:L28" si="3">SUM(D24:D27)</f>
        <v>-1118617332.9519999</v>
      </c>
      <c r="E28" s="179">
        <f t="shared" si="3"/>
        <v>-1167955731.0167999</v>
      </c>
      <c r="F28" s="179">
        <f t="shared" si="3"/>
        <v>-1219914429.2624383</v>
      </c>
      <c r="G28" s="179">
        <f t="shared" si="3"/>
        <v>-1238715534.8358474</v>
      </c>
      <c r="H28" s="179">
        <f t="shared" si="3"/>
        <v>-866417147.51090503</v>
      </c>
      <c r="I28" s="179">
        <f t="shared" si="3"/>
        <v>-889701669.50112319</v>
      </c>
      <c r="J28" s="179">
        <f t="shared" si="3"/>
        <v>-913451881.93114567</v>
      </c>
      <c r="K28" s="179">
        <f t="shared" si="3"/>
        <v>-937677098.60976839</v>
      </c>
      <c r="L28" s="179">
        <f t="shared" si="3"/>
        <v>-962386819.62196398</v>
      </c>
    </row>
    <row r="29" spans="1:12" x14ac:dyDescent="0.25"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</row>
    <row r="30" spans="1:12" x14ac:dyDescent="0.25">
      <c r="A30" s="176" t="s">
        <v>544</v>
      </c>
      <c r="B30" s="179">
        <f t="shared" ref="B30:L30" si="4">B16+B21+B28</f>
        <v>537149600</v>
      </c>
      <c r="C30" s="179">
        <f>C16+C21+C28</f>
        <v>-39530724.888000011</v>
      </c>
      <c r="D30" s="179">
        <f>D16+D21+D28</f>
        <v>63334092.407999992</v>
      </c>
      <c r="E30" s="179">
        <f t="shared" si="4"/>
        <v>36584489.005599976</v>
      </c>
      <c r="F30" s="179">
        <f t="shared" si="4"/>
        <v>7666361.3156096935</v>
      </c>
      <c r="G30" s="179">
        <f t="shared" si="4"/>
        <v>12366637.708961725</v>
      </c>
      <c r="H30" s="179">
        <f t="shared" si="4"/>
        <v>327616800</v>
      </c>
      <c r="I30" s="179">
        <f t="shared" si="4"/>
        <v>327616800</v>
      </c>
      <c r="J30" s="179">
        <f t="shared" si="4"/>
        <v>327616800.00000072</v>
      </c>
      <c r="K30" s="179">
        <f t="shared" si="4"/>
        <v>327616799.99999976</v>
      </c>
      <c r="L30" s="179">
        <f t="shared" si="4"/>
        <v>327616800</v>
      </c>
    </row>
    <row r="31" spans="1:12" x14ac:dyDescent="0.25">
      <c r="A31" s="176" t="s">
        <v>545</v>
      </c>
      <c r="B31" s="179">
        <v>0</v>
      </c>
      <c r="C31" s="179">
        <f>B32</f>
        <v>537149600</v>
      </c>
      <c r="D31" s="179">
        <f>C32</f>
        <v>497618875.11199999</v>
      </c>
      <c r="E31" s="179">
        <f t="shared" ref="E31:L31" si="5">D32</f>
        <v>560952967.51999998</v>
      </c>
      <c r="F31" s="179">
        <f t="shared" si="5"/>
        <v>597537456.52559996</v>
      </c>
      <c r="G31" s="179">
        <f t="shared" si="5"/>
        <v>605203817.84120965</v>
      </c>
      <c r="H31" s="179">
        <f t="shared" si="5"/>
        <v>617570455.55017138</v>
      </c>
      <c r="I31" s="179">
        <f t="shared" si="5"/>
        <v>945187255.55017138</v>
      </c>
      <c r="J31" s="179">
        <f t="shared" si="5"/>
        <v>1272804055.5501714</v>
      </c>
      <c r="K31" s="179">
        <f t="shared" si="5"/>
        <v>1600420855.5501721</v>
      </c>
      <c r="L31" s="179">
        <f t="shared" si="5"/>
        <v>1928037655.5501719</v>
      </c>
    </row>
    <row r="32" spans="1:12" x14ac:dyDescent="0.25">
      <c r="A32" s="176" t="s">
        <v>546</v>
      </c>
      <c r="B32" s="179">
        <f>B30+B31</f>
        <v>537149600</v>
      </c>
      <c r="C32" s="179">
        <f>C30+C31</f>
        <v>497618875.11199999</v>
      </c>
      <c r="D32" s="179">
        <f t="shared" ref="D32:L32" si="6">D30+D31</f>
        <v>560952967.51999998</v>
      </c>
      <c r="E32" s="179">
        <f t="shared" si="6"/>
        <v>597537456.52559996</v>
      </c>
      <c r="F32" s="179">
        <f t="shared" si="6"/>
        <v>605203817.84120965</v>
      </c>
      <c r="G32" s="179">
        <f t="shared" si="6"/>
        <v>617570455.55017138</v>
      </c>
      <c r="H32" s="179">
        <f t="shared" si="6"/>
        <v>945187255.55017138</v>
      </c>
      <c r="I32" s="179">
        <f t="shared" si="6"/>
        <v>1272804055.5501714</v>
      </c>
      <c r="J32" s="179">
        <f t="shared" si="6"/>
        <v>1600420855.5501721</v>
      </c>
      <c r="K32" s="179">
        <f t="shared" si="6"/>
        <v>1928037655.5501719</v>
      </c>
      <c r="L32" s="179">
        <f t="shared" si="6"/>
        <v>2255654455.5501719</v>
      </c>
    </row>
    <row r="33" spans="1:12" s="179" customFormat="1" x14ac:dyDescent="0.25">
      <c r="A33" s="189"/>
      <c r="B33" s="190"/>
      <c r="C33" s="189"/>
      <c r="D33" s="190"/>
      <c r="E33" s="190"/>
      <c r="F33" s="189"/>
      <c r="G33" s="190"/>
      <c r="H33" s="190"/>
      <c r="I33" s="190"/>
      <c r="J33" s="190"/>
      <c r="K33" s="190"/>
      <c r="L33" s="190"/>
    </row>
    <row r="35" spans="1:12" x14ac:dyDescent="0.25">
      <c r="A35" s="176" t="s">
        <v>1192</v>
      </c>
      <c r="B35" s="179"/>
      <c r="C35" s="179">
        <f>C16+C25+C26+C31</f>
        <v>711156197.03999996</v>
      </c>
      <c r="D35" s="179">
        <f>D16+D25+D26+D31</f>
        <v>1014508196.4719999</v>
      </c>
      <c r="E35" s="179">
        <f>E16+E25+E26+E31</f>
        <v>1100431083.5423999</v>
      </c>
      <c r="F35" s="179">
        <f t="shared" ref="F35:L35" si="7">F16+F25+F26+F31</f>
        <v>1160056143.1036479</v>
      </c>
      <c r="G35" s="179">
        <f t="shared" si="7"/>
        <v>1191223886.3860188</v>
      </c>
      <c r="H35" s="179">
        <f t="shared" si="7"/>
        <v>1811604403.0610764</v>
      </c>
      <c r="I35" s="179">
        <f t="shared" si="7"/>
        <v>2162505725.0512943</v>
      </c>
      <c r="J35" s="179">
        <f t="shared" si="7"/>
        <v>2513872737.4813175</v>
      </c>
      <c r="K35" s="179">
        <f t="shared" si="7"/>
        <v>2865714754.1599402</v>
      </c>
      <c r="L35" s="179">
        <f t="shared" si="7"/>
        <v>3218041275.1721358</v>
      </c>
    </row>
    <row r="36" spans="1:12" x14ac:dyDescent="0.25">
      <c r="D36" s="188"/>
      <c r="E36" s="188"/>
      <c r="F36" s="188"/>
      <c r="G36" s="188"/>
      <c r="H36" s="188"/>
    </row>
    <row r="37" spans="1:12" x14ac:dyDescent="0.25">
      <c r="B37" s="192"/>
      <c r="D37" s="188"/>
      <c r="E37" s="188"/>
      <c r="F37" s="188"/>
      <c r="G37" s="188"/>
      <c r="H37" s="188"/>
    </row>
    <row r="38" spans="1:12" x14ac:dyDescent="0.25">
      <c r="D38" s="188"/>
      <c r="E38" s="188"/>
      <c r="F38" s="188"/>
      <c r="G38" s="188"/>
      <c r="H38" s="188"/>
    </row>
    <row r="39" spans="1:12" x14ac:dyDescent="0.25">
      <c r="D39" s="188"/>
      <c r="E39" s="188"/>
      <c r="F39" s="188"/>
      <c r="G39" s="188"/>
      <c r="H39" s="188"/>
    </row>
    <row r="40" spans="1:12" x14ac:dyDescent="0.25">
      <c r="D40" s="188"/>
      <c r="E40" s="188"/>
      <c r="F40" s="188"/>
      <c r="G40" s="188"/>
      <c r="H40" s="188"/>
    </row>
    <row r="41" spans="1:12" x14ac:dyDescent="0.25">
      <c r="D41" s="188"/>
      <c r="E41" s="188"/>
      <c r="F41" s="188"/>
      <c r="G41" s="188"/>
      <c r="H41" s="188"/>
    </row>
    <row r="42" spans="1:12" x14ac:dyDescent="0.25">
      <c r="D42" s="188"/>
      <c r="E42" s="188"/>
      <c r="F42" s="188"/>
      <c r="G42" s="188"/>
      <c r="H42" s="188"/>
    </row>
    <row r="43" spans="1:12" x14ac:dyDescent="0.25">
      <c r="D43" s="188"/>
      <c r="E43" s="188"/>
      <c r="F43" s="188"/>
      <c r="G43" s="188"/>
      <c r="H43" s="188"/>
    </row>
    <row r="44" spans="1:12" x14ac:dyDescent="0.25">
      <c r="D44" s="188"/>
      <c r="E44" s="188"/>
      <c r="F44" s="188"/>
      <c r="G44" s="188"/>
      <c r="H44" s="188"/>
    </row>
    <row r="60" spans="1:6" x14ac:dyDescent="0.25">
      <c r="F60" s="188"/>
    </row>
    <row r="61" spans="1:6" x14ac:dyDescent="0.25">
      <c r="F61" s="188"/>
    </row>
    <row r="62" spans="1:6" x14ac:dyDescent="0.25">
      <c r="A62" s="192"/>
      <c r="C62" s="188"/>
      <c r="D62" s="188"/>
      <c r="E62" s="188"/>
      <c r="F62" s="188"/>
    </row>
    <row r="63" spans="1:6" x14ac:dyDescent="0.25">
      <c r="A63" s="192"/>
      <c r="C63" s="188"/>
      <c r="D63" s="188"/>
      <c r="E63" s="188"/>
    </row>
    <row r="64" spans="1:6" x14ac:dyDescent="0.25">
      <c r="C64" s="188"/>
    </row>
    <row r="68" spans="3:3" x14ac:dyDescent="0.25">
      <c r="C68" s="188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X59"/>
  <sheetViews>
    <sheetView showGridLines="0" zoomScaleNormal="100" workbookViewId="0">
      <pane ySplit="7" topLeftCell="A8" activePane="bottomLeft" state="frozen"/>
      <selection pane="bottomLeft" activeCell="G9" sqref="G9"/>
    </sheetView>
  </sheetViews>
  <sheetFormatPr defaultColWidth="9.125" defaultRowHeight="11.25" x14ac:dyDescent="0.25"/>
  <cols>
    <col min="1" max="1" width="2.75" style="266" customWidth="1"/>
    <col min="2" max="2" width="18.375" style="266" customWidth="1"/>
    <col min="3" max="3" width="6.875" style="266" bestFit="1" customWidth="1"/>
    <col min="4" max="4" width="18.625" style="266" customWidth="1"/>
    <col min="5" max="5" width="5.625" style="266" customWidth="1"/>
    <col min="6" max="6" width="6.625" style="266" bestFit="1" customWidth="1"/>
    <col min="7" max="7" width="10" style="266" bestFit="1" customWidth="1"/>
    <col min="8" max="8" width="16.25" style="266" customWidth="1"/>
    <col min="9" max="9" width="14.25" style="266" customWidth="1"/>
    <col min="10" max="10" width="5.625" style="266" customWidth="1"/>
    <col min="11" max="11" width="5.25" style="266" customWidth="1"/>
    <col min="12" max="12" width="7.125" style="266" bestFit="1" customWidth="1"/>
    <col min="13" max="13" width="7.625" style="266" customWidth="1"/>
    <col min="14" max="14" width="11" style="266" bestFit="1" customWidth="1"/>
    <col min="15" max="15" width="11.25" style="266" bestFit="1" customWidth="1"/>
    <col min="16" max="16" width="10.25" style="266" bestFit="1" customWidth="1"/>
    <col min="17" max="17" width="9.125" style="266"/>
    <col min="18" max="20" width="10.25" style="266" bestFit="1" customWidth="1"/>
    <col min="21" max="21" width="11.25" style="266" bestFit="1" customWidth="1"/>
    <col min="22" max="24" width="10.25" style="270" bestFit="1" customWidth="1"/>
    <col min="25" max="16384" width="9.125" style="266"/>
  </cols>
  <sheetData>
    <row r="1" spans="1:24" x14ac:dyDescent="0.2">
      <c r="A1" s="269" t="str">
        <f>Assumption!A1</f>
        <v>Bisnis Truk Thermoking</v>
      </c>
      <c r="C1" s="269"/>
    </row>
    <row r="2" spans="1:24" x14ac:dyDescent="0.2">
      <c r="A2" s="269" t="str">
        <f>Assumption!A2</f>
        <v>Financial Pre-Feasibility Study</v>
      </c>
      <c r="C2" s="269"/>
    </row>
    <row r="3" spans="1:24" x14ac:dyDescent="0.25">
      <c r="A3" s="271" t="s">
        <v>670</v>
      </c>
      <c r="C3" s="271"/>
    </row>
    <row r="5" spans="1:24" x14ac:dyDescent="0.25">
      <c r="O5" s="270"/>
      <c r="P5" s="270"/>
      <c r="Q5" s="270"/>
      <c r="V5" s="266"/>
      <c r="W5" s="266"/>
      <c r="X5" s="266"/>
    </row>
    <row r="6" spans="1:24" ht="22.5" x14ac:dyDescent="0.25">
      <c r="A6" s="258" t="s">
        <v>547</v>
      </c>
      <c r="B6" s="258"/>
      <c r="C6" s="258"/>
      <c r="D6" s="259"/>
      <c r="F6" s="748" t="s">
        <v>521</v>
      </c>
      <c r="G6" s="227" t="s">
        <v>1036</v>
      </c>
      <c r="H6" s="227" t="s">
        <v>728</v>
      </c>
      <c r="L6" s="270"/>
      <c r="M6" s="270"/>
      <c r="N6" s="270"/>
      <c r="V6" s="266"/>
      <c r="W6" s="266"/>
      <c r="X6" s="266"/>
    </row>
    <row r="7" spans="1:24" x14ac:dyDescent="0.25">
      <c r="A7" s="273"/>
      <c r="B7" s="273"/>
      <c r="C7" s="273"/>
      <c r="D7" s="274"/>
      <c r="F7" s="748"/>
      <c r="G7" s="275"/>
      <c r="H7" s="227"/>
      <c r="L7" s="270"/>
      <c r="M7" s="270"/>
      <c r="N7" s="270"/>
      <c r="V7" s="266"/>
      <c r="W7" s="266"/>
      <c r="X7" s="266"/>
    </row>
    <row r="8" spans="1:24" x14ac:dyDescent="0.25">
      <c r="A8" s="266" t="s">
        <v>150</v>
      </c>
      <c r="B8" s="266" t="s">
        <v>1036</v>
      </c>
      <c r="C8" s="446">
        <f>Assumption!E16</f>
        <v>1920000</v>
      </c>
      <c r="D8" s="266" t="s">
        <v>665</v>
      </c>
      <c r="F8" s="277">
        <v>1</v>
      </c>
      <c r="G8" s="165">
        <f>C8</f>
        <v>1920000</v>
      </c>
      <c r="H8" s="164">
        <f>G8*C9</f>
        <v>3456000000</v>
      </c>
      <c r="L8" s="270"/>
      <c r="M8" s="270"/>
      <c r="N8" s="270"/>
      <c r="V8" s="266"/>
      <c r="W8" s="266"/>
      <c r="X8" s="266"/>
    </row>
    <row r="9" spans="1:24" x14ac:dyDescent="0.2">
      <c r="A9" s="263" t="s">
        <v>151</v>
      </c>
      <c r="B9" s="263" t="s">
        <v>1104</v>
      </c>
      <c r="C9" s="447">
        <f>Assumption!E18</f>
        <v>1800</v>
      </c>
      <c r="D9" s="156" t="s">
        <v>369</v>
      </c>
      <c r="F9" s="277">
        <f>F8+1</f>
        <v>2</v>
      </c>
      <c r="G9" s="165">
        <f t="shared" ref="G9:G17" si="0">G8</f>
        <v>1920000</v>
      </c>
      <c r="H9" s="164">
        <f>H8*(1+$C$18)</f>
        <v>3525120000</v>
      </c>
      <c r="L9" s="270"/>
      <c r="M9" s="270"/>
      <c r="N9" s="270"/>
      <c r="V9" s="266"/>
      <c r="W9" s="266"/>
      <c r="X9" s="266"/>
    </row>
    <row r="10" spans="1:24" x14ac:dyDescent="0.2">
      <c r="B10" s="263"/>
      <c r="C10" s="263"/>
      <c r="D10" s="156"/>
      <c r="E10" s="278"/>
      <c r="F10" s="277">
        <f t="shared" ref="F10:F17" si="1">F9+1</f>
        <v>3</v>
      </c>
      <c r="G10" s="165">
        <f t="shared" si="0"/>
        <v>1920000</v>
      </c>
      <c r="H10" s="164">
        <f t="shared" ref="H10:H17" si="2">H9*(1+$C$18)</f>
        <v>3595622400</v>
      </c>
      <c r="L10" s="270"/>
      <c r="M10" s="270"/>
      <c r="N10" s="270"/>
      <c r="V10" s="266"/>
      <c r="W10" s="266"/>
      <c r="X10" s="266"/>
    </row>
    <row r="11" spans="1:24" x14ac:dyDescent="0.2">
      <c r="B11" s="263"/>
      <c r="C11" s="263"/>
      <c r="D11" s="156"/>
      <c r="E11" s="278"/>
      <c r="F11" s="277">
        <f t="shared" si="1"/>
        <v>4</v>
      </c>
      <c r="G11" s="165">
        <f t="shared" si="0"/>
        <v>1920000</v>
      </c>
      <c r="H11" s="164">
        <f t="shared" si="2"/>
        <v>3667534848</v>
      </c>
      <c r="L11" s="270"/>
      <c r="M11" s="270"/>
      <c r="N11" s="270"/>
      <c r="V11" s="266"/>
      <c r="W11" s="266"/>
      <c r="X11" s="266"/>
    </row>
    <row r="12" spans="1:24" x14ac:dyDescent="0.2">
      <c r="B12" s="263"/>
      <c r="C12" s="263"/>
      <c r="D12" s="156"/>
      <c r="E12" s="278"/>
      <c r="F12" s="277">
        <f t="shared" si="1"/>
        <v>5</v>
      </c>
      <c r="G12" s="165">
        <f t="shared" si="0"/>
        <v>1920000</v>
      </c>
      <c r="H12" s="164">
        <f t="shared" si="2"/>
        <v>3740885544.96</v>
      </c>
      <c r="L12" s="270"/>
      <c r="M12" s="270"/>
      <c r="N12" s="270"/>
      <c r="V12" s="266"/>
      <c r="W12" s="266"/>
      <c r="X12" s="266"/>
    </row>
    <row r="13" spans="1:24" x14ac:dyDescent="0.2">
      <c r="B13" s="263"/>
      <c r="C13" s="263"/>
      <c r="D13" s="156"/>
      <c r="E13" s="278"/>
      <c r="F13" s="277">
        <f t="shared" si="1"/>
        <v>6</v>
      </c>
      <c r="G13" s="165">
        <f t="shared" si="0"/>
        <v>1920000</v>
      </c>
      <c r="H13" s="164">
        <f t="shared" si="2"/>
        <v>3815703255.8592</v>
      </c>
      <c r="L13" s="270"/>
      <c r="M13" s="270"/>
      <c r="N13" s="270"/>
      <c r="V13" s="266"/>
      <c r="W13" s="266"/>
      <c r="X13" s="266"/>
    </row>
    <row r="14" spans="1:24" x14ac:dyDescent="0.2">
      <c r="B14" s="263"/>
      <c r="C14" s="263"/>
      <c r="D14" s="156"/>
      <c r="E14" s="278"/>
      <c r="F14" s="277">
        <f t="shared" si="1"/>
        <v>7</v>
      </c>
      <c r="G14" s="165">
        <f t="shared" si="0"/>
        <v>1920000</v>
      </c>
      <c r="H14" s="164">
        <f t="shared" si="2"/>
        <v>3892017320.9763842</v>
      </c>
      <c r="L14" s="270"/>
      <c r="M14" s="270"/>
      <c r="N14" s="270"/>
      <c r="V14" s="266"/>
      <c r="W14" s="266"/>
      <c r="X14" s="266"/>
    </row>
    <row r="15" spans="1:24" x14ac:dyDescent="0.25">
      <c r="A15" s="279"/>
      <c r="B15" s="279"/>
      <c r="C15" s="279"/>
      <c r="D15" s="279"/>
      <c r="E15" s="278"/>
      <c r="F15" s="277">
        <f t="shared" si="1"/>
        <v>8</v>
      </c>
      <c r="G15" s="165">
        <f t="shared" si="0"/>
        <v>1920000</v>
      </c>
      <c r="H15" s="164">
        <f t="shared" si="2"/>
        <v>3969857667.3959117</v>
      </c>
      <c r="L15" s="270"/>
      <c r="M15" s="270"/>
      <c r="N15" s="270"/>
      <c r="V15" s="266"/>
      <c r="W15" s="266"/>
      <c r="X15" s="266"/>
    </row>
    <row r="16" spans="1:24" x14ac:dyDescent="0.25">
      <c r="E16" s="278"/>
      <c r="F16" s="277">
        <f t="shared" si="1"/>
        <v>9</v>
      </c>
      <c r="G16" s="165">
        <f t="shared" si="0"/>
        <v>1920000</v>
      </c>
      <c r="H16" s="164">
        <f t="shared" si="2"/>
        <v>4049254820.7438302</v>
      </c>
      <c r="L16" s="270"/>
      <c r="M16" s="270"/>
      <c r="N16" s="270"/>
      <c r="V16" s="266"/>
      <c r="W16" s="266"/>
      <c r="X16" s="266"/>
    </row>
    <row r="17" spans="1:24" x14ac:dyDescent="0.25">
      <c r="A17" s="285" t="s">
        <v>175</v>
      </c>
      <c r="B17" s="285"/>
      <c r="C17" s="301"/>
      <c r="D17" s="301"/>
      <c r="E17" s="278"/>
      <c r="F17" s="277">
        <f t="shared" si="1"/>
        <v>10</v>
      </c>
      <c r="G17" s="165">
        <f t="shared" si="0"/>
        <v>1920000</v>
      </c>
      <c r="H17" s="164">
        <f t="shared" si="2"/>
        <v>4130239917.1587067</v>
      </c>
      <c r="L17" s="270"/>
      <c r="M17" s="270"/>
      <c r="N17" s="270"/>
      <c r="V17" s="266"/>
      <c r="W17" s="266"/>
      <c r="X17" s="266"/>
    </row>
    <row r="18" spans="1:24" x14ac:dyDescent="0.25">
      <c r="A18" s="389" t="s">
        <v>1105</v>
      </c>
      <c r="B18" s="285"/>
      <c r="C18" s="554">
        <v>0.02</v>
      </c>
      <c r="D18" s="303" t="s">
        <v>177</v>
      </c>
      <c r="E18" s="278"/>
      <c r="F18" s="280" t="s">
        <v>74</v>
      </c>
      <c r="G18" s="281">
        <f>SUM(G8:G17)</f>
        <v>19200000</v>
      </c>
      <c r="H18" s="281">
        <f>SUM(H8:H17)</f>
        <v>37842235775.094032</v>
      </c>
      <c r="L18" s="270"/>
      <c r="M18" s="270"/>
      <c r="N18" s="270"/>
      <c r="V18" s="266"/>
      <c r="W18" s="266"/>
      <c r="X18" s="266"/>
    </row>
    <row r="19" spans="1:24" x14ac:dyDescent="0.25">
      <c r="A19" s="389"/>
      <c r="B19" s="219"/>
      <c r="C19" s="444"/>
      <c r="D19" s="303"/>
      <c r="E19" s="278"/>
      <c r="F19" s="280" t="s">
        <v>507</v>
      </c>
      <c r="G19" s="282">
        <f>AVERAGE(G8:G17)</f>
        <v>1920000</v>
      </c>
      <c r="H19" s="282">
        <f>AVERAGE(H8:H17)</f>
        <v>3784223577.5094032</v>
      </c>
      <c r="L19" s="270"/>
      <c r="M19" s="270"/>
      <c r="N19" s="270"/>
      <c r="V19" s="266"/>
      <c r="W19" s="266"/>
      <c r="X19" s="266"/>
    </row>
    <row r="20" spans="1:24" x14ac:dyDescent="0.25">
      <c r="A20" s="445"/>
      <c r="B20" s="219"/>
      <c r="C20" s="444"/>
      <c r="D20" s="303"/>
      <c r="E20" s="301"/>
      <c r="L20" s="270"/>
      <c r="M20" s="270"/>
      <c r="N20" s="270"/>
      <c r="V20" s="266"/>
      <c r="W20" s="266"/>
      <c r="X20" s="266"/>
    </row>
    <row r="21" spans="1:24" x14ac:dyDescent="0.25">
      <c r="E21" s="285"/>
      <c r="L21" s="270"/>
      <c r="M21" s="270"/>
      <c r="N21" s="270"/>
      <c r="V21" s="266"/>
      <c r="W21" s="266"/>
      <c r="X21" s="266"/>
    </row>
    <row r="22" spans="1:24" x14ac:dyDescent="0.25">
      <c r="E22" s="285"/>
      <c r="L22" s="270"/>
      <c r="M22" s="270"/>
      <c r="N22" s="270"/>
      <c r="V22" s="266"/>
      <c r="W22" s="266"/>
      <c r="X22" s="266"/>
    </row>
    <row r="23" spans="1:24" x14ac:dyDescent="0.25">
      <c r="E23" s="285"/>
      <c r="L23" s="270"/>
      <c r="M23" s="270"/>
      <c r="N23" s="270"/>
      <c r="V23" s="266"/>
      <c r="W23" s="266"/>
      <c r="X23" s="266"/>
    </row>
    <row r="24" spans="1:24" x14ac:dyDescent="0.25">
      <c r="E24" s="278"/>
      <c r="L24" s="270"/>
      <c r="M24" s="270"/>
      <c r="N24" s="270"/>
      <c r="V24" s="266"/>
      <c r="W24" s="266"/>
      <c r="X24" s="266"/>
    </row>
    <row r="25" spans="1:24" x14ac:dyDescent="0.25">
      <c r="L25" s="270"/>
      <c r="M25" s="270"/>
      <c r="N25" s="270"/>
      <c r="V25" s="266"/>
      <c r="W25" s="266"/>
      <c r="X25" s="266"/>
    </row>
    <row r="26" spans="1:24" x14ac:dyDescent="0.25">
      <c r="L26" s="270"/>
      <c r="M26" s="270"/>
      <c r="N26" s="270"/>
      <c r="V26" s="266"/>
      <c r="W26" s="266"/>
      <c r="X26" s="266"/>
    </row>
    <row r="27" spans="1:24" x14ac:dyDescent="0.25">
      <c r="L27" s="270"/>
      <c r="M27" s="270"/>
      <c r="N27" s="270"/>
      <c r="V27" s="266"/>
      <c r="W27" s="266"/>
      <c r="X27" s="266"/>
    </row>
    <row r="28" spans="1:24" x14ac:dyDescent="0.25">
      <c r="S28" s="270"/>
      <c r="T28" s="270"/>
      <c r="U28" s="270"/>
      <c r="V28" s="266"/>
      <c r="W28" s="266"/>
      <c r="X28" s="266"/>
    </row>
    <row r="29" spans="1:24" x14ac:dyDescent="0.25">
      <c r="T29" s="270"/>
      <c r="U29" s="270"/>
      <c r="W29" s="266"/>
      <c r="X29" s="266"/>
    </row>
    <row r="35" spans="17:24" x14ac:dyDescent="0.25">
      <c r="Q35" s="270"/>
      <c r="R35" s="270"/>
      <c r="S35" s="270"/>
      <c r="V35" s="266"/>
      <c r="W35" s="266"/>
      <c r="X35" s="266"/>
    </row>
    <row r="36" spans="17:24" x14ac:dyDescent="0.25">
      <c r="Q36" s="270"/>
      <c r="R36" s="270"/>
      <c r="S36" s="270"/>
      <c r="V36" s="266"/>
      <c r="W36" s="266"/>
      <c r="X36" s="266"/>
    </row>
    <row r="37" spans="17:24" x14ac:dyDescent="0.25">
      <c r="Q37" s="270"/>
      <c r="R37" s="270"/>
      <c r="S37" s="270"/>
      <c r="V37" s="266"/>
      <c r="W37" s="266"/>
      <c r="X37" s="266"/>
    </row>
    <row r="38" spans="17:24" x14ac:dyDescent="0.25">
      <c r="Q38" s="270"/>
      <c r="R38" s="270"/>
      <c r="S38" s="270"/>
      <c r="V38" s="266"/>
      <c r="W38" s="266"/>
      <c r="X38" s="266"/>
    </row>
    <row r="39" spans="17:24" x14ac:dyDescent="0.25">
      <c r="Q39" s="270"/>
      <c r="R39" s="270"/>
      <c r="S39" s="270"/>
      <c r="V39" s="266"/>
      <c r="W39" s="266"/>
      <c r="X39" s="266"/>
    </row>
    <row r="40" spans="17:24" x14ac:dyDescent="0.25">
      <c r="Q40" s="270"/>
      <c r="R40" s="270"/>
      <c r="S40" s="270"/>
      <c r="V40" s="266"/>
      <c r="W40" s="266"/>
      <c r="X40" s="266"/>
    </row>
    <row r="41" spans="17:24" x14ac:dyDescent="0.25">
      <c r="Q41" s="270"/>
      <c r="R41" s="270"/>
      <c r="S41" s="270"/>
      <c r="V41" s="266"/>
      <c r="W41" s="266"/>
      <c r="X41" s="266"/>
    </row>
    <row r="42" spans="17:24" x14ac:dyDescent="0.25">
      <c r="Q42" s="270"/>
      <c r="R42" s="270"/>
      <c r="S42" s="270"/>
      <c r="V42" s="266"/>
      <c r="W42" s="266"/>
      <c r="X42" s="266"/>
    </row>
    <row r="43" spans="17:24" x14ac:dyDescent="0.25">
      <c r="Q43" s="270"/>
      <c r="R43" s="270"/>
      <c r="S43" s="270"/>
      <c r="V43" s="266"/>
      <c r="W43" s="266"/>
      <c r="X43" s="266"/>
    </row>
    <row r="44" spans="17:24" x14ac:dyDescent="0.25">
      <c r="Q44" s="270"/>
      <c r="R44" s="270"/>
      <c r="S44" s="270"/>
      <c r="V44" s="266"/>
      <c r="W44" s="266"/>
      <c r="X44" s="266"/>
    </row>
    <row r="45" spans="17:24" x14ac:dyDescent="0.25">
      <c r="Q45" s="270"/>
      <c r="R45" s="270"/>
      <c r="S45" s="270"/>
      <c r="V45" s="266"/>
      <c r="W45" s="266"/>
      <c r="X45" s="266"/>
    </row>
    <row r="46" spans="17:24" x14ac:dyDescent="0.25">
      <c r="Q46" s="270"/>
      <c r="R46" s="270"/>
      <c r="S46" s="270"/>
      <c r="V46" s="266"/>
      <c r="W46" s="266"/>
      <c r="X46" s="266"/>
    </row>
    <row r="47" spans="17:24" x14ac:dyDescent="0.25">
      <c r="Q47" s="270"/>
      <c r="R47" s="270"/>
      <c r="S47" s="270"/>
      <c r="V47" s="266"/>
      <c r="W47" s="266"/>
      <c r="X47" s="266"/>
    </row>
    <row r="48" spans="17:24" x14ac:dyDescent="0.25">
      <c r="Q48" s="270"/>
      <c r="R48" s="270"/>
      <c r="S48" s="270"/>
      <c r="V48" s="266"/>
      <c r="W48" s="266"/>
      <c r="X48" s="266"/>
    </row>
    <row r="49" spans="17:24" x14ac:dyDescent="0.25">
      <c r="Q49" s="270"/>
      <c r="R49" s="270"/>
      <c r="S49" s="270"/>
      <c r="V49" s="266"/>
      <c r="W49" s="266"/>
      <c r="X49" s="266"/>
    </row>
    <row r="50" spans="17:24" x14ac:dyDescent="0.25">
      <c r="Q50" s="270"/>
      <c r="R50" s="270"/>
      <c r="S50" s="270"/>
      <c r="V50" s="266"/>
      <c r="W50" s="266"/>
      <c r="X50" s="266"/>
    </row>
    <row r="51" spans="17:24" x14ac:dyDescent="0.25">
      <c r="Q51" s="270"/>
      <c r="R51" s="270"/>
      <c r="S51" s="270"/>
      <c r="V51" s="266"/>
      <c r="W51" s="266"/>
      <c r="X51" s="266"/>
    </row>
    <row r="52" spans="17:24" x14ac:dyDescent="0.25">
      <c r="Q52" s="270"/>
      <c r="R52" s="270"/>
      <c r="S52" s="270"/>
      <c r="V52" s="266"/>
      <c r="W52" s="266"/>
      <c r="X52" s="266"/>
    </row>
    <row r="53" spans="17:24" x14ac:dyDescent="0.25">
      <c r="Q53" s="270"/>
      <c r="R53" s="270"/>
      <c r="S53" s="270"/>
      <c r="V53" s="266"/>
      <c r="W53" s="266"/>
      <c r="X53" s="266"/>
    </row>
    <row r="54" spans="17:24" x14ac:dyDescent="0.25">
      <c r="Q54" s="270"/>
      <c r="R54" s="270"/>
      <c r="S54" s="270"/>
      <c r="V54" s="266"/>
      <c r="W54" s="266"/>
      <c r="X54" s="266"/>
    </row>
    <row r="55" spans="17:24" x14ac:dyDescent="0.25">
      <c r="Q55" s="270"/>
      <c r="R55" s="270"/>
      <c r="S55" s="270"/>
      <c r="V55" s="266"/>
      <c r="W55" s="266"/>
      <c r="X55" s="266"/>
    </row>
    <row r="56" spans="17:24" x14ac:dyDescent="0.25">
      <c r="Q56" s="270"/>
      <c r="R56" s="270"/>
      <c r="S56" s="270"/>
      <c r="V56" s="266"/>
      <c r="W56" s="266"/>
      <c r="X56" s="266"/>
    </row>
    <row r="57" spans="17:24" x14ac:dyDescent="0.25">
      <c r="Q57" s="270"/>
      <c r="R57" s="270"/>
      <c r="S57" s="270"/>
      <c r="V57" s="266"/>
      <c r="W57" s="266"/>
      <c r="X57" s="266"/>
    </row>
    <row r="58" spans="17:24" x14ac:dyDescent="0.25">
      <c r="Q58" s="270"/>
      <c r="R58" s="270"/>
      <c r="S58" s="270"/>
      <c r="V58" s="266"/>
      <c r="W58" s="266"/>
      <c r="X58" s="266"/>
    </row>
    <row r="59" spans="17:24" x14ac:dyDescent="0.25">
      <c r="Q59" s="270"/>
      <c r="R59" s="270"/>
      <c r="S59" s="270"/>
      <c r="V59" s="266"/>
      <c r="W59" s="266"/>
      <c r="X59" s="266"/>
    </row>
  </sheetData>
  <mergeCells count="1">
    <mergeCell ref="F6:F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A1:T41"/>
  <sheetViews>
    <sheetView showGridLines="0" topLeftCell="L1" zoomScaleNormal="100" workbookViewId="0">
      <pane ySplit="8" topLeftCell="A12" activePane="bottomLeft" state="frozen"/>
      <selection pane="bottomLeft" activeCell="S21" sqref="S21"/>
    </sheetView>
  </sheetViews>
  <sheetFormatPr defaultColWidth="9" defaultRowHeight="11.25" x14ac:dyDescent="0.2"/>
  <cols>
    <col min="1" max="1" width="3.25" style="198" customWidth="1"/>
    <col min="2" max="2" width="15.375" style="198" customWidth="1"/>
    <col min="3" max="3" width="5.375" style="198" customWidth="1"/>
    <col min="4" max="4" width="15" style="198" customWidth="1"/>
    <col min="5" max="5" width="3.625" style="198" customWidth="1"/>
    <col min="6" max="6" width="7.75" style="198" customWidth="1"/>
    <col min="7" max="7" width="9.75" style="198" customWidth="1"/>
    <col min="8" max="8" width="9.5" style="198" bestFit="1" customWidth="1"/>
    <col min="9" max="9" width="8.375" style="198" bestFit="1" customWidth="1"/>
    <col min="10" max="10" width="11.875" style="198" customWidth="1"/>
    <col min="11" max="11" width="7.625" style="198" customWidth="1"/>
    <col min="12" max="12" width="9.125" style="198" customWidth="1"/>
    <col min="13" max="13" width="11.375" style="198" customWidth="1"/>
    <col min="14" max="14" width="10.5" style="198" customWidth="1"/>
    <col min="15" max="15" width="10.625" style="198" customWidth="1"/>
    <col min="16" max="16" width="3.625" style="198" customWidth="1"/>
    <col min="17" max="17" width="4.375" style="198" customWidth="1"/>
    <col min="18" max="20" width="10.25" style="198" customWidth="1"/>
    <col min="21" max="16384" width="9" style="198"/>
  </cols>
  <sheetData>
    <row r="1" spans="1:20" x14ac:dyDescent="0.2">
      <c r="A1" s="175" t="str">
        <f>ProjectValuation!A1</f>
        <v>Bisnis Truk Thermoking</v>
      </c>
      <c r="B1" s="255"/>
      <c r="C1" s="255"/>
    </row>
    <row r="2" spans="1:20" x14ac:dyDescent="0.2">
      <c r="A2" s="175" t="str">
        <f>ProjectValuation!A2</f>
        <v>Financial Pre-Feasibility Study</v>
      </c>
      <c r="B2" s="255"/>
      <c r="C2" s="255"/>
    </row>
    <row r="3" spans="1:20" x14ac:dyDescent="0.2">
      <c r="A3" s="256" t="s">
        <v>991</v>
      </c>
      <c r="B3" s="257"/>
      <c r="C3" s="257"/>
    </row>
    <row r="5" spans="1:20" x14ac:dyDescent="0.2">
      <c r="O5" s="261" t="s">
        <v>634</v>
      </c>
    </row>
    <row r="6" spans="1:20" x14ac:dyDescent="0.2">
      <c r="A6" s="258" t="s">
        <v>576</v>
      </c>
      <c r="B6" s="258"/>
      <c r="C6" s="258"/>
      <c r="D6" s="259"/>
      <c r="F6" s="258" t="s">
        <v>992</v>
      </c>
      <c r="G6" s="258"/>
      <c r="H6" s="258"/>
      <c r="I6" s="258"/>
      <c r="J6" s="258"/>
      <c r="K6" s="258"/>
      <c r="L6" s="258"/>
      <c r="M6" s="258"/>
      <c r="N6" s="258"/>
      <c r="O6" s="258"/>
      <c r="Q6" s="258" t="s">
        <v>993</v>
      </c>
      <c r="R6" s="258"/>
      <c r="S6" s="258"/>
      <c r="T6" s="258"/>
    </row>
    <row r="7" spans="1:20" ht="45" x14ac:dyDescent="0.2">
      <c r="A7" s="205"/>
      <c r="B7" s="205"/>
      <c r="C7" s="205"/>
      <c r="D7" s="205"/>
      <c r="F7" s="763" t="s">
        <v>521</v>
      </c>
      <c r="G7" s="517" t="s">
        <v>1014</v>
      </c>
      <c r="H7" s="517" t="s">
        <v>1015</v>
      </c>
      <c r="I7" s="518" t="s">
        <v>994</v>
      </c>
      <c r="J7" s="517" t="s">
        <v>995</v>
      </c>
      <c r="K7" s="517" t="s">
        <v>996</v>
      </c>
      <c r="L7" s="517" t="s">
        <v>997</v>
      </c>
      <c r="M7" s="517" t="s">
        <v>998</v>
      </c>
      <c r="N7" s="517" t="s">
        <v>999</v>
      </c>
      <c r="O7" s="519" t="s">
        <v>1250</v>
      </c>
      <c r="Q7" s="532" t="s">
        <v>521</v>
      </c>
      <c r="R7" s="533" t="s">
        <v>997</v>
      </c>
      <c r="S7" s="533" t="s">
        <v>1029</v>
      </c>
      <c r="T7" s="533" t="s">
        <v>1030</v>
      </c>
    </row>
    <row r="8" spans="1:20" x14ac:dyDescent="0.2">
      <c r="A8" s="205"/>
      <c r="B8" s="205"/>
      <c r="C8" s="205"/>
      <c r="D8" s="205"/>
      <c r="F8" s="763"/>
      <c r="G8" s="517"/>
      <c r="H8" s="517" t="s">
        <v>1000</v>
      </c>
      <c r="I8" s="518" t="s">
        <v>1001</v>
      </c>
      <c r="J8" s="517" t="s">
        <v>1002</v>
      </c>
      <c r="K8" s="517" t="s">
        <v>1003</v>
      </c>
      <c r="L8" s="517" t="s">
        <v>1016</v>
      </c>
      <c r="M8" s="517" t="s">
        <v>1004</v>
      </c>
      <c r="N8" s="517" t="s">
        <v>1189</v>
      </c>
      <c r="O8" s="517" t="s">
        <v>1005</v>
      </c>
      <c r="Q8" s="436"/>
      <c r="R8" s="436"/>
      <c r="S8" s="436"/>
      <c r="T8" s="436"/>
    </row>
    <row r="9" spans="1:20" x14ac:dyDescent="0.2">
      <c r="A9" s="170" t="s">
        <v>150</v>
      </c>
      <c r="B9" s="172" t="s">
        <v>1006</v>
      </c>
      <c r="C9" s="172"/>
      <c r="D9" s="172"/>
      <c r="F9" s="230">
        <v>1</v>
      </c>
      <c r="G9" s="156">
        <f>(WorkingCapital!AO10+Depreciation!F8)</f>
        <v>923538248.05431628</v>
      </c>
      <c r="H9" s="520">
        <f>WorkingCapital!AO10</f>
        <v>595921448.05431628</v>
      </c>
      <c r="I9" s="156">
        <f>IncomeStatement!C26</f>
        <v>305053317.04000002</v>
      </c>
      <c r="J9" s="156">
        <f>CashFlow!C35</f>
        <v>711156197.03999996</v>
      </c>
      <c r="K9" s="521">
        <v>0.7</v>
      </c>
      <c r="L9" s="172">
        <f>I9*K9</f>
        <v>213537321.928</v>
      </c>
      <c r="M9" s="172">
        <f>L9</f>
        <v>213537321.928</v>
      </c>
      <c r="N9" s="172">
        <f>J9-L9</f>
        <v>497618875.11199999</v>
      </c>
      <c r="O9" s="172">
        <f>N9-H10</f>
        <v>217395798.09659731</v>
      </c>
      <c r="Q9" s="230">
        <v>1</v>
      </c>
      <c r="R9" s="172">
        <f>L9</f>
        <v>213537321.928</v>
      </c>
      <c r="S9" s="536">
        <f>R9*$C$14%</f>
        <v>170829857.5424</v>
      </c>
      <c r="T9" s="537">
        <f>R9-S9</f>
        <v>42707464.385600001</v>
      </c>
    </row>
    <row r="10" spans="1:20" x14ac:dyDescent="0.2">
      <c r="A10" s="170" t="s">
        <v>151</v>
      </c>
      <c r="B10" s="172" t="s">
        <v>1007</v>
      </c>
      <c r="C10" s="172"/>
      <c r="D10" s="172"/>
      <c r="F10" s="230">
        <v>2</v>
      </c>
      <c r="G10" s="156">
        <f>((WorkingCapital!$AO$10*1+Dividen!$I$27)+Depreciation!F8)</f>
        <v>923538248.07431626</v>
      </c>
      <c r="H10" s="520">
        <f>H9*(1+$I$27)-'Ovh Cost'!$T$7</f>
        <v>280223077.01540267</v>
      </c>
      <c r="I10" s="156">
        <f>IncomeStatement!D26</f>
        <v>647936041.36000001</v>
      </c>
      <c r="J10" s="156">
        <f>CashFlow!D35</f>
        <v>1014508196.4719999</v>
      </c>
      <c r="K10" s="521">
        <v>0.7</v>
      </c>
      <c r="L10" s="172">
        <f t="shared" ref="L10:L18" si="0">I10*K10</f>
        <v>453555228.95199996</v>
      </c>
      <c r="M10" s="172">
        <f>L10+M9</f>
        <v>667092550.88</v>
      </c>
      <c r="N10" s="172">
        <f>J10-L10</f>
        <v>560952967.51999998</v>
      </c>
      <c r="O10" s="172">
        <f>N10-H11</f>
        <v>275125428.96428925</v>
      </c>
      <c r="Q10" s="230">
        <v>2</v>
      </c>
      <c r="R10" s="172">
        <f t="shared" ref="R10:R18" si="1">L10</f>
        <v>453555228.95199996</v>
      </c>
      <c r="S10" s="536">
        <f>R10*$C$14%</f>
        <v>362844183.16159999</v>
      </c>
      <c r="T10" s="537">
        <f>R10-S10</f>
        <v>90711045.790399969</v>
      </c>
    </row>
    <row r="11" spans="1:20" x14ac:dyDescent="0.2">
      <c r="A11" s="170"/>
      <c r="B11" s="172" t="s">
        <v>1008</v>
      </c>
      <c r="C11" s="172"/>
      <c r="D11" s="172"/>
      <c r="F11" s="230">
        <v>3</v>
      </c>
      <c r="G11" s="156">
        <f>((WorkingCapital!$AO$10*1+Dividen!$I$27)+Depreciation!F9)</f>
        <v>923538248.07431626</v>
      </c>
      <c r="H11" s="520">
        <f>H10*(1+$I$27)</f>
        <v>285827538.55571073</v>
      </c>
      <c r="I11" s="156">
        <f>IncomeStatement!E26</f>
        <v>670524836.0223999</v>
      </c>
      <c r="J11" s="156">
        <f>CashFlow!E35</f>
        <v>1100431083.5423999</v>
      </c>
      <c r="K11" s="521">
        <v>0.75</v>
      </c>
      <c r="L11" s="172">
        <f t="shared" si="0"/>
        <v>502893627.01679993</v>
      </c>
      <c r="M11" s="172">
        <f>L11+M10</f>
        <v>1169986177.8968</v>
      </c>
      <c r="N11" s="172">
        <f t="shared" ref="N11:N18" si="2">J11-L11</f>
        <v>597537456.52559996</v>
      </c>
      <c r="O11" s="172">
        <f t="shared" ref="O11:O17" si="3">N11-H12</f>
        <v>305993367.19877499</v>
      </c>
      <c r="Q11" s="230">
        <v>3</v>
      </c>
      <c r="R11" s="172">
        <f t="shared" si="1"/>
        <v>502893627.01679993</v>
      </c>
      <c r="S11" s="536">
        <f t="shared" ref="S11:S18" si="4">R11*$C$14%</f>
        <v>402314901.61343998</v>
      </c>
      <c r="T11" s="537">
        <f t="shared" ref="T11:T18" si="5">R11-S11</f>
        <v>100578725.40335995</v>
      </c>
    </row>
    <row r="12" spans="1:20" x14ac:dyDescent="0.2">
      <c r="A12" s="170"/>
      <c r="B12" s="172" t="s">
        <v>1009</v>
      </c>
      <c r="C12" s="172"/>
      <c r="D12" s="172"/>
      <c r="F12" s="230">
        <v>4</v>
      </c>
      <c r="G12" s="156">
        <f>((WorkingCapital!$AO$10*1+Dividen!$I$27)+Depreciation!F10)</f>
        <v>923538248.07431626</v>
      </c>
      <c r="H12" s="520">
        <f t="shared" ref="H12:H13" si="6">H11*(1+$I$27)</f>
        <v>291544089.32682496</v>
      </c>
      <c r="I12" s="156">
        <f>IncomeStatement!F26</f>
        <v>693565406.57804787</v>
      </c>
      <c r="J12" s="156">
        <f>CashFlow!F35</f>
        <v>1160056143.1036479</v>
      </c>
      <c r="K12" s="521">
        <v>0.8</v>
      </c>
      <c r="L12" s="172">
        <f t="shared" si="0"/>
        <v>554852325.2624383</v>
      </c>
      <c r="M12" s="172">
        <f t="shared" ref="M12:M18" si="7">L12+M11</f>
        <v>1724838503.1592383</v>
      </c>
      <c r="N12" s="172">
        <f t="shared" si="2"/>
        <v>605203817.84120965</v>
      </c>
      <c r="O12" s="172">
        <f t="shared" si="3"/>
        <v>307828846.72784817</v>
      </c>
      <c r="Q12" s="230">
        <v>4</v>
      </c>
      <c r="R12" s="172">
        <f t="shared" si="1"/>
        <v>554852325.2624383</v>
      </c>
      <c r="S12" s="536">
        <f t="shared" si="4"/>
        <v>443881860.20995069</v>
      </c>
      <c r="T12" s="537">
        <f t="shared" si="5"/>
        <v>110970465.05248761</v>
      </c>
    </row>
    <row r="13" spans="1:20" x14ac:dyDescent="0.2">
      <c r="A13" s="170" t="s">
        <v>152</v>
      </c>
      <c r="B13" s="172" t="s">
        <v>1033</v>
      </c>
      <c r="C13" s="172"/>
      <c r="D13" s="167"/>
      <c r="F13" s="230">
        <v>5</v>
      </c>
      <c r="G13" s="156">
        <f>((WorkingCapital!$AO$10*1+Dividen!$I$27)+Depreciation!F11)</f>
        <v>923538248.07431626</v>
      </c>
      <c r="H13" s="520">
        <f t="shared" si="6"/>
        <v>297374971.11336148</v>
      </c>
      <c r="I13" s="156">
        <f>IncomeStatement!G26</f>
        <v>717066788.5448091</v>
      </c>
      <c r="J13" s="156">
        <f>CashFlow!G35</f>
        <v>1191223886.3860188</v>
      </c>
      <c r="K13" s="521">
        <v>0.8</v>
      </c>
      <c r="L13" s="172">
        <f t="shared" si="0"/>
        <v>573653430.83584726</v>
      </c>
      <c r="M13" s="172">
        <f t="shared" si="7"/>
        <v>2298491933.9950857</v>
      </c>
      <c r="N13" s="172">
        <f t="shared" si="2"/>
        <v>617570455.55017149</v>
      </c>
      <c r="O13" s="172">
        <f t="shared" si="3"/>
        <v>248724625.01454276</v>
      </c>
      <c r="Q13" s="230">
        <v>5</v>
      </c>
      <c r="R13" s="172">
        <f t="shared" si="1"/>
        <v>573653430.83584726</v>
      </c>
      <c r="S13" s="536">
        <f t="shared" si="4"/>
        <v>458922744.66867781</v>
      </c>
      <c r="T13" s="537">
        <f t="shared" si="5"/>
        <v>114730686.16716945</v>
      </c>
    </row>
    <row r="14" spans="1:20" x14ac:dyDescent="0.2">
      <c r="A14" s="170" t="s">
        <v>153</v>
      </c>
      <c r="B14" s="172" t="s">
        <v>1031</v>
      </c>
      <c r="C14" s="534">
        <f>Assumption!C43</f>
        <v>80</v>
      </c>
      <c r="D14" s="433" t="s">
        <v>1032</v>
      </c>
      <c r="F14" s="230">
        <v>6</v>
      </c>
      <c r="G14" s="156">
        <f>((WorkingCapital!$AO$10*1+Dividen!$I$27)+Depreciation!F12)</f>
        <v>923538248.07431626</v>
      </c>
      <c r="H14" s="520">
        <f>H13*(1+$I$27)+'Ovh Cost'!T12</f>
        <v>368845830.53562874</v>
      </c>
      <c r="I14" s="156">
        <f>IncomeStatement!H26</f>
        <v>866417147.51090503</v>
      </c>
      <c r="J14" s="156">
        <f>CashFlow!H35</f>
        <v>1811604403.0610764</v>
      </c>
      <c r="K14" s="521">
        <v>1</v>
      </c>
      <c r="L14" s="172">
        <f t="shared" si="0"/>
        <v>866417147.51090503</v>
      </c>
      <c r="M14" s="172">
        <f t="shared" si="7"/>
        <v>3164909081.505991</v>
      </c>
      <c r="N14" s="172">
        <f t="shared" si="2"/>
        <v>945187255.55017138</v>
      </c>
      <c r="O14" s="172">
        <f t="shared" si="3"/>
        <v>502130681.20383006</v>
      </c>
      <c r="Q14" s="230">
        <v>6</v>
      </c>
      <c r="R14" s="172">
        <f t="shared" si="1"/>
        <v>866417147.51090503</v>
      </c>
      <c r="S14" s="536">
        <f t="shared" si="4"/>
        <v>693133718.00872409</v>
      </c>
      <c r="T14" s="537">
        <f t="shared" si="5"/>
        <v>173283429.50218093</v>
      </c>
    </row>
    <row r="15" spans="1:20" x14ac:dyDescent="0.2">
      <c r="A15" s="170"/>
      <c r="B15" s="172" t="s">
        <v>1202</v>
      </c>
      <c r="C15" s="535">
        <f>Assumption!C44</f>
        <v>20</v>
      </c>
      <c r="D15" s="433" t="s">
        <v>1032</v>
      </c>
      <c r="F15" s="230">
        <v>7</v>
      </c>
      <c r="G15" s="156">
        <f>((WorkingCapital!$AO$10*1+Dividen!$I$27)+Depreciation!F13)</f>
        <v>923538248.07431626</v>
      </c>
      <c r="H15" s="520">
        <f>H14*(1+$I$27)+'Ovh Cost'!T13</f>
        <v>443056574.34634131</v>
      </c>
      <c r="I15" s="156">
        <f>IncomeStatement!I26</f>
        <v>889701669.50112319</v>
      </c>
      <c r="J15" s="156">
        <f>CashFlow!I35</f>
        <v>2162505725.0512943</v>
      </c>
      <c r="K15" s="521">
        <v>1</v>
      </c>
      <c r="L15" s="172">
        <f t="shared" si="0"/>
        <v>889701669.50112319</v>
      </c>
      <c r="M15" s="172">
        <f t="shared" si="7"/>
        <v>4054610751.0071144</v>
      </c>
      <c r="N15" s="172">
        <f t="shared" si="2"/>
        <v>1272804055.5501711</v>
      </c>
      <c r="O15" s="172">
        <f t="shared" si="3"/>
        <v>752715845.97290301</v>
      </c>
      <c r="Q15" s="230">
        <v>7</v>
      </c>
      <c r="R15" s="172">
        <f t="shared" si="1"/>
        <v>889701669.50112319</v>
      </c>
      <c r="S15" s="536">
        <f t="shared" si="4"/>
        <v>711761335.60089862</v>
      </c>
      <c r="T15" s="537">
        <f t="shared" si="5"/>
        <v>177940333.90022457</v>
      </c>
    </row>
    <row r="16" spans="1:20" x14ac:dyDescent="0.2">
      <c r="F16" s="230">
        <v>8</v>
      </c>
      <c r="G16" s="156">
        <f>((WorkingCapital!$AO$10*1+Dividen!$I$27)+Depreciation!F14)</f>
        <v>923538248.07431626</v>
      </c>
      <c r="H16" s="520">
        <f>H15*(1+$I$27)+'Ovh Cost'!T14</f>
        <v>520088209.57726818</v>
      </c>
      <c r="I16" s="156">
        <f>IncomeStatement!J26</f>
        <v>913451881.93114567</v>
      </c>
      <c r="J16" s="156">
        <f>CashFlow!J35</f>
        <v>2513872737.4813175</v>
      </c>
      <c r="K16" s="521">
        <v>1</v>
      </c>
      <c r="L16" s="172">
        <f t="shared" si="0"/>
        <v>913451881.93114567</v>
      </c>
      <c r="M16" s="172">
        <f t="shared" si="7"/>
        <v>4968062632.9382601</v>
      </c>
      <c r="N16" s="172">
        <f t="shared" si="2"/>
        <v>1600420855.5501719</v>
      </c>
      <c r="O16" s="172">
        <f t="shared" si="3"/>
        <v>1000396967.9624783</v>
      </c>
      <c r="Q16" s="230">
        <v>8</v>
      </c>
      <c r="R16" s="172">
        <f t="shared" si="1"/>
        <v>913451881.93114567</v>
      </c>
      <c r="S16" s="536">
        <f t="shared" si="4"/>
        <v>730761505.54491663</v>
      </c>
      <c r="T16" s="537">
        <f t="shared" si="5"/>
        <v>182690376.38622904</v>
      </c>
    </row>
    <row r="17" spans="1:20" x14ac:dyDescent="0.2">
      <c r="F17" s="230">
        <v>9</v>
      </c>
      <c r="G17" s="156">
        <f>((WorkingCapital!$AO$10*1+Dividen!$I$27)+Depreciation!F15)</f>
        <v>923538248.07431626</v>
      </c>
      <c r="H17" s="520">
        <f>H16*(1+$I$27)+'Ovh Cost'!T15</f>
        <v>600023887.58769357</v>
      </c>
      <c r="I17" s="156">
        <f>IncomeStatement!K26</f>
        <v>937677098.60976839</v>
      </c>
      <c r="J17" s="156">
        <f>CashFlow!K35</f>
        <v>2865714754.1599402</v>
      </c>
      <c r="K17" s="521">
        <v>1</v>
      </c>
      <c r="L17" s="172">
        <f t="shared" si="0"/>
        <v>937677098.60976839</v>
      </c>
      <c r="M17" s="172">
        <f t="shared" si="7"/>
        <v>5905739731.5480289</v>
      </c>
      <c r="N17" s="172">
        <f t="shared" si="2"/>
        <v>1928037655.5501719</v>
      </c>
      <c r="O17" s="172">
        <f t="shared" si="3"/>
        <v>1245088698.1154666</v>
      </c>
      <c r="Q17" s="230">
        <v>9</v>
      </c>
      <c r="R17" s="172">
        <f t="shared" si="1"/>
        <v>937677098.60976839</v>
      </c>
      <c r="S17" s="536">
        <f t="shared" si="4"/>
        <v>750141678.88781476</v>
      </c>
      <c r="T17" s="537">
        <f t="shared" si="5"/>
        <v>187535419.72195363</v>
      </c>
    </row>
    <row r="18" spans="1:20" x14ac:dyDescent="0.2">
      <c r="A18" s="206"/>
      <c r="B18" s="156"/>
      <c r="C18" s="156"/>
      <c r="D18" s="156"/>
      <c r="F18" s="230">
        <v>10</v>
      </c>
      <c r="G18" s="156">
        <f>((WorkingCapital!$AO$10*1+Dividen!$I$27)+Depreciation!F16)</f>
        <v>923538248.07431626</v>
      </c>
      <c r="H18" s="520">
        <f>H17*(1+$I$27)+'Ovh Cost'!T16</f>
        <v>682948957.43470514</v>
      </c>
      <c r="I18" s="156">
        <f>IncomeStatement!L26</f>
        <v>962386819.62196398</v>
      </c>
      <c r="J18" s="156">
        <f>CashFlow!L35</f>
        <v>3218041275.1721358</v>
      </c>
      <c r="K18" s="521">
        <v>1</v>
      </c>
      <c r="L18" s="172">
        <f t="shared" si="0"/>
        <v>962386819.62196398</v>
      </c>
      <c r="M18" s="172">
        <f t="shared" si="7"/>
        <v>6868126551.1699924</v>
      </c>
      <c r="N18" s="172">
        <f t="shared" si="2"/>
        <v>2255654455.5501719</v>
      </c>
      <c r="O18" s="172"/>
      <c r="Q18" s="230">
        <v>10</v>
      </c>
      <c r="R18" s="172">
        <f t="shared" si="1"/>
        <v>962386819.62196398</v>
      </c>
      <c r="S18" s="536">
        <f t="shared" si="4"/>
        <v>769909455.69757128</v>
      </c>
      <c r="T18" s="537">
        <f t="shared" si="5"/>
        <v>192477363.9243927</v>
      </c>
    </row>
    <row r="19" spans="1:20" x14ac:dyDescent="0.2">
      <c r="A19" s="205"/>
      <c r="B19" s="205"/>
      <c r="C19" s="205"/>
      <c r="D19" s="205"/>
      <c r="F19" s="205"/>
      <c r="G19" s="436"/>
      <c r="H19" s="436"/>
      <c r="I19" s="436"/>
      <c r="J19" s="436"/>
      <c r="K19" s="436"/>
      <c r="L19" s="162"/>
      <c r="M19" s="436"/>
      <c r="N19" s="436"/>
      <c r="O19" s="436"/>
      <c r="Q19" s="436"/>
      <c r="R19" s="436"/>
      <c r="S19" s="436"/>
      <c r="T19" s="436"/>
    </row>
    <row r="21" spans="1:20" x14ac:dyDescent="0.2">
      <c r="F21" s="269" t="s">
        <v>522</v>
      </c>
      <c r="S21" s="200">
        <f>AVERAGE(S9:S18)</f>
        <v>549450124.09359932</v>
      </c>
    </row>
    <row r="22" spans="1:20" x14ac:dyDescent="0.2">
      <c r="F22" s="216" t="s">
        <v>1010</v>
      </c>
      <c r="G22" s="198" t="s">
        <v>1011</v>
      </c>
    </row>
    <row r="23" spans="1:20" x14ac:dyDescent="0.2">
      <c r="F23" s="216" t="s">
        <v>1012</v>
      </c>
    </row>
    <row r="24" spans="1:20" x14ac:dyDescent="0.2">
      <c r="F24" s="522" t="s">
        <v>1013</v>
      </c>
    </row>
    <row r="26" spans="1:20" x14ac:dyDescent="0.2">
      <c r="F26" s="285" t="s">
        <v>978</v>
      </c>
      <c r="G26" s="219"/>
      <c r="H26" s="494"/>
      <c r="I26" s="291"/>
      <c r="J26" s="285"/>
      <c r="K26" s="285"/>
      <c r="L26" s="285"/>
    </row>
    <row r="27" spans="1:20" x14ac:dyDescent="0.2">
      <c r="F27" s="285"/>
      <c r="G27" s="219" t="s">
        <v>1190</v>
      </c>
      <c r="H27" s="285"/>
      <c r="I27" s="302">
        <v>0.02</v>
      </c>
      <c r="J27" s="303" t="s">
        <v>177</v>
      </c>
      <c r="K27" s="285"/>
      <c r="L27" s="285"/>
    </row>
    <row r="33" spans="9:15" x14ac:dyDescent="0.2">
      <c r="I33" s="156"/>
      <c r="O33" s="156"/>
    </row>
    <row r="34" spans="9:15" x14ac:dyDescent="0.2">
      <c r="O34" s="156"/>
    </row>
    <row r="35" spans="9:15" x14ac:dyDescent="0.2">
      <c r="O35" s="156"/>
    </row>
    <row r="36" spans="9:15" x14ac:dyDescent="0.2">
      <c r="O36" s="156"/>
    </row>
    <row r="37" spans="9:15" x14ac:dyDescent="0.2">
      <c r="O37" s="156"/>
    </row>
    <row r="38" spans="9:15" x14ac:dyDescent="0.2">
      <c r="O38" s="156"/>
    </row>
    <row r="39" spans="9:15" x14ac:dyDescent="0.2">
      <c r="O39" s="156"/>
    </row>
    <row r="40" spans="9:15" x14ac:dyDescent="0.2">
      <c r="O40" s="156"/>
    </row>
    <row r="41" spans="9:15" x14ac:dyDescent="0.2">
      <c r="O41" s="156"/>
    </row>
  </sheetData>
  <mergeCells count="1">
    <mergeCell ref="F7:F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R31"/>
  <sheetViews>
    <sheetView showGridLines="0" zoomScale="140" zoomScaleNormal="140" workbookViewId="0">
      <selection activeCell="C18" sqref="C18"/>
    </sheetView>
  </sheetViews>
  <sheetFormatPr defaultColWidth="9" defaultRowHeight="11.25" x14ac:dyDescent="0.25"/>
  <cols>
    <col min="1" max="1" width="24" style="176" bestFit="1" customWidth="1"/>
    <col min="2" max="2" width="4.125" style="176" bestFit="1" customWidth="1"/>
    <col min="3" max="12" width="9.75" style="176" bestFit="1" customWidth="1"/>
    <col min="13" max="13" width="3.25" style="176" customWidth="1"/>
    <col min="14" max="14" width="13.5" style="176" bestFit="1" customWidth="1"/>
    <col min="15" max="15" width="6.625" style="176" customWidth="1"/>
    <col min="16" max="16" width="18" style="176" bestFit="1" customWidth="1"/>
    <col min="17" max="17" width="16" style="176" bestFit="1" customWidth="1"/>
    <col min="18" max="18" width="13.125" style="176" bestFit="1" customWidth="1"/>
    <col min="19" max="16384" width="9" style="176"/>
  </cols>
  <sheetData>
    <row r="1" spans="1:18" x14ac:dyDescent="0.25">
      <c r="A1" s="175" t="str">
        <f>ProjectValuation!A1</f>
        <v>Bisnis Truk Thermoking</v>
      </c>
      <c r="B1" s="175"/>
    </row>
    <row r="2" spans="1:18" x14ac:dyDescent="0.25">
      <c r="A2" s="175" t="str">
        <f>ProjectValuation!A2</f>
        <v>Financial Pre-Feasibility Study</v>
      </c>
      <c r="B2" s="175"/>
    </row>
    <row r="3" spans="1:18" x14ac:dyDescent="0.25">
      <c r="A3" s="177" t="s">
        <v>520</v>
      </c>
      <c r="B3" s="177"/>
      <c r="Q3" s="353"/>
    </row>
    <row r="4" spans="1:18" x14ac:dyDescent="0.25">
      <c r="A4" s="178"/>
      <c r="B4" s="178"/>
    </row>
    <row r="5" spans="1:18" x14ac:dyDescent="0.25">
      <c r="A5" s="178"/>
      <c r="B5" s="178"/>
      <c r="D5" s="179"/>
    </row>
    <row r="6" spans="1:18" x14ac:dyDescent="0.25">
      <c r="A6" s="176" t="s">
        <v>634</v>
      </c>
      <c r="P6" s="176" t="s">
        <v>987</v>
      </c>
    </row>
    <row r="7" spans="1:18" ht="20.100000000000001" customHeight="1" x14ac:dyDescent="0.25">
      <c r="A7" s="181" t="s">
        <v>521</v>
      </c>
      <c r="B7" s="181"/>
      <c r="C7" s="182">
        <v>1</v>
      </c>
      <c r="D7" s="182">
        <f>C7+1</f>
        <v>2</v>
      </c>
      <c r="E7" s="182">
        <f t="shared" ref="E7:L7" si="0">D7+1</f>
        <v>3</v>
      </c>
      <c r="F7" s="182">
        <f t="shared" si="0"/>
        <v>4</v>
      </c>
      <c r="G7" s="182">
        <f t="shared" si="0"/>
        <v>5</v>
      </c>
      <c r="H7" s="182">
        <f t="shared" si="0"/>
        <v>6</v>
      </c>
      <c r="I7" s="182">
        <f t="shared" si="0"/>
        <v>7</v>
      </c>
      <c r="J7" s="182">
        <f t="shared" si="0"/>
        <v>8</v>
      </c>
      <c r="K7" s="182">
        <f t="shared" si="0"/>
        <v>9</v>
      </c>
      <c r="L7" s="182">
        <f t="shared" si="0"/>
        <v>10</v>
      </c>
      <c r="P7" s="509" t="s">
        <v>521</v>
      </c>
      <c r="Q7" s="510" t="s">
        <v>1017</v>
      </c>
      <c r="R7" s="510" t="s">
        <v>988</v>
      </c>
    </row>
    <row r="8" spans="1:18" x14ac:dyDescent="0.25">
      <c r="A8" s="191" t="s">
        <v>581</v>
      </c>
      <c r="B8" s="191"/>
      <c r="C8" s="183"/>
      <c r="D8" s="183"/>
      <c r="E8" s="183"/>
      <c r="F8" s="183"/>
      <c r="G8" s="183"/>
      <c r="H8" s="183"/>
      <c r="I8" s="183"/>
      <c r="J8" s="183"/>
      <c r="K8" s="183"/>
      <c r="L8" s="183"/>
      <c r="P8" s="398">
        <v>1</v>
      </c>
      <c r="Q8" s="353">
        <f>C24</f>
        <v>3904833595.112</v>
      </c>
      <c r="R8" s="353"/>
    </row>
    <row r="9" spans="1:18" x14ac:dyDescent="0.25">
      <c r="A9" s="176" t="s">
        <v>623</v>
      </c>
      <c r="C9" s="353">
        <f>(CapitalInvestment!C8+CapitalInvestment!C9)</f>
        <v>3813317600</v>
      </c>
      <c r="D9" s="353">
        <f>C22</f>
        <v>3813317600</v>
      </c>
      <c r="E9" s="353">
        <f t="shared" ref="E9:L10" si="1">D22</f>
        <v>3813317600</v>
      </c>
      <c r="F9" s="353">
        <f t="shared" si="1"/>
        <v>3813317600</v>
      </c>
      <c r="G9" s="353">
        <f t="shared" si="1"/>
        <v>3813317600</v>
      </c>
      <c r="H9" s="353">
        <f t="shared" si="1"/>
        <v>3813317600</v>
      </c>
      <c r="I9" s="353">
        <f t="shared" si="1"/>
        <v>3813317600</v>
      </c>
      <c r="J9" s="353">
        <f t="shared" si="1"/>
        <v>3813317600</v>
      </c>
      <c r="K9" s="353">
        <f t="shared" si="1"/>
        <v>3813317600</v>
      </c>
      <c r="L9" s="353">
        <f t="shared" si="1"/>
        <v>3813317600</v>
      </c>
      <c r="P9" s="398">
        <v>2</v>
      </c>
      <c r="Q9" s="353">
        <f>D24</f>
        <v>4099214407.52</v>
      </c>
      <c r="R9" s="421">
        <f>100*(Q9-Q8)/Q8</f>
        <v>4.9779538019577165</v>
      </c>
    </row>
    <row r="10" spans="1:18" x14ac:dyDescent="0.25">
      <c r="A10" s="176" t="s">
        <v>619</v>
      </c>
      <c r="C10" s="511">
        <v>0</v>
      </c>
      <c r="D10" s="512">
        <f>C23</f>
        <v>91515995.112000018</v>
      </c>
      <c r="E10" s="512">
        <f>D23</f>
        <v>285896807.5200001</v>
      </c>
      <c r="F10" s="512">
        <f t="shared" si="1"/>
        <v>453528016.52560008</v>
      </c>
      <c r="G10" s="512">
        <f t="shared" si="1"/>
        <v>592241097.84120965</v>
      </c>
      <c r="H10" s="512">
        <f t="shared" si="1"/>
        <v>735654455.55017149</v>
      </c>
      <c r="I10" s="512">
        <f t="shared" si="1"/>
        <v>735654455.55017149</v>
      </c>
      <c r="J10" s="512">
        <f t="shared" si="1"/>
        <v>735654455.55017149</v>
      </c>
      <c r="K10" s="512">
        <f t="shared" si="1"/>
        <v>735654455.55017149</v>
      </c>
      <c r="L10" s="512">
        <f t="shared" si="1"/>
        <v>735654455.55017149</v>
      </c>
      <c r="P10" s="398">
        <v>3</v>
      </c>
      <c r="Q10" s="353">
        <f>E24</f>
        <v>4266845616.5256</v>
      </c>
      <c r="R10" s="421">
        <f t="shared" ref="R10:R16" si="2">100*(Q10-Q9)/Q9</f>
        <v>4.0893496250911126</v>
      </c>
    </row>
    <row r="11" spans="1:18" x14ac:dyDescent="0.25">
      <c r="A11" s="176" t="s">
        <v>622</v>
      </c>
      <c r="C11" s="513">
        <f>C9+C10</f>
        <v>3813317600</v>
      </c>
      <c r="D11" s="513">
        <f t="shared" ref="D11:L11" si="3">D9+D10</f>
        <v>3904833595.112</v>
      </c>
      <c r="E11" s="513">
        <f t="shared" si="3"/>
        <v>4099214407.52</v>
      </c>
      <c r="F11" s="513">
        <f t="shared" si="3"/>
        <v>4266845616.5256</v>
      </c>
      <c r="G11" s="513">
        <f t="shared" si="3"/>
        <v>4405558697.8412094</v>
      </c>
      <c r="H11" s="513">
        <f t="shared" si="3"/>
        <v>4548972055.5501719</v>
      </c>
      <c r="I11" s="513">
        <f t="shared" si="3"/>
        <v>4548972055.5501719</v>
      </c>
      <c r="J11" s="513">
        <f t="shared" si="3"/>
        <v>4548972055.5501719</v>
      </c>
      <c r="K11" s="513">
        <f t="shared" si="3"/>
        <v>4548972055.5501719</v>
      </c>
      <c r="L11" s="513">
        <f t="shared" si="3"/>
        <v>4548972055.5501719</v>
      </c>
      <c r="P11" s="398">
        <v>4</v>
      </c>
      <c r="Q11" s="353">
        <f>F24</f>
        <v>4405558697.8412094</v>
      </c>
      <c r="R11" s="421">
        <f t="shared" si="2"/>
        <v>3.2509514939647737</v>
      </c>
    </row>
    <row r="12" spans="1:18" x14ac:dyDescent="0.25">
      <c r="A12" s="191" t="s">
        <v>620</v>
      </c>
      <c r="B12" s="191"/>
      <c r="C12" s="353"/>
      <c r="D12" s="353"/>
      <c r="E12" s="353"/>
      <c r="F12" s="353"/>
      <c r="G12" s="353"/>
      <c r="H12" s="353"/>
      <c r="I12" s="353"/>
      <c r="J12" s="353"/>
      <c r="K12" s="353"/>
      <c r="L12" s="353"/>
      <c r="P12" s="398">
        <v>5</v>
      </c>
      <c r="Q12" s="353">
        <f>G24</f>
        <v>4548972055.5501719</v>
      </c>
      <c r="R12" s="421">
        <f t="shared" si="2"/>
        <v>3.2552819641067807</v>
      </c>
    </row>
    <row r="13" spans="1:18" x14ac:dyDescent="0.25">
      <c r="A13" s="176" t="s">
        <v>624</v>
      </c>
      <c r="B13" s="191"/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P13" s="398">
        <v>6</v>
      </c>
      <c r="Q13" s="353">
        <f>H24</f>
        <v>4548972055.5501719</v>
      </c>
      <c r="R13" s="421">
        <f t="shared" si="2"/>
        <v>0</v>
      </c>
    </row>
    <row r="14" spans="1:18" x14ac:dyDescent="0.25">
      <c r="A14" s="176" t="s">
        <v>625</v>
      </c>
      <c r="C14" s="514">
        <v>0</v>
      </c>
      <c r="D14" s="514">
        <v>0</v>
      </c>
      <c r="E14" s="514">
        <v>0</v>
      </c>
      <c r="F14" s="514">
        <v>0</v>
      </c>
      <c r="G14" s="514">
        <v>0</v>
      </c>
      <c r="H14" s="514">
        <v>0</v>
      </c>
      <c r="I14" s="514">
        <v>0</v>
      </c>
      <c r="J14" s="514">
        <v>0</v>
      </c>
      <c r="K14" s="514">
        <v>0</v>
      </c>
      <c r="L14" s="514">
        <v>0</v>
      </c>
      <c r="P14" s="398">
        <v>7</v>
      </c>
      <c r="Q14" s="353">
        <f>I24</f>
        <v>4548972055.5501719</v>
      </c>
      <c r="R14" s="421">
        <f t="shared" si="2"/>
        <v>0</v>
      </c>
    </row>
    <row r="15" spans="1:18" x14ac:dyDescent="0.25">
      <c r="A15" s="176" t="s">
        <v>629</v>
      </c>
      <c r="C15" s="512">
        <f t="shared" ref="C15:L15" si="4">-1*$C$9*C27</f>
        <v>0</v>
      </c>
      <c r="D15" s="512">
        <f t="shared" si="4"/>
        <v>0</v>
      </c>
      <c r="E15" s="512">
        <f t="shared" si="4"/>
        <v>0</v>
      </c>
      <c r="F15" s="512">
        <f t="shared" si="4"/>
        <v>0</v>
      </c>
      <c r="G15" s="512">
        <f t="shared" si="4"/>
        <v>0</v>
      </c>
      <c r="H15" s="512">
        <f t="shared" si="4"/>
        <v>0</v>
      </c>
      <c r="I15" s="512">
        <f t="shared" si="4"/>
        <v>0</v>
      </c>
      <c r="J15" s="512">
        <f t="shared" si="4"/>
        <v>0</v>
      </c>
      <c r="K15" s="512">
        <f t="shared" si="4"/>
        <v>0</v>
      </c>
      <c r="L15" s="512">
        <f t="shared" si="4"/>
        <v>0</v>
      </c>
      <c r="P15" s="398">
        <v>8</v>
      </c>
      <c r="Q15" s="353">
        <f>J24</f>
        <v>4548972055.5501719</v>
      </c>
      <c r="R15" s="421">
        <f t="shared" si="2"/>
        <v>0</v>
      </c>
    </row>
    <row r="16" spans="1:18" x14ac:dyDescent="0.25">
      <c r="A16" s="192" t="s">
        <v>630</v>
      </c>
      <c r="B16" s="191"/>
      <c r="C16" s="513">
        <f t="shared" ref="C16:L16" si="5">SUM(C14:C15)</f>
        <v>0</v>
      </c>
      <c r="D16" s="513">
        <f t="shared" si="5"/>
        <v>0</v>
      </c>
      <c r="E16" s="513">
        <f t="shared" si="5"/>
        <v>0</v>
      </c>
      <c r="F16" s="513">
        <f t="shared" si="5"/>
        <v>0</v>
      </c>
      <c r="G16" s="513">
        <f t="shared" si="5"/>
        <v>0</v>
      </c>
      <c r="H16" s="513">
        <f t="shared" si="5"/>
        <v>0</v>
      </c>
      <c r="I16" s="513">
        <f t="shared" si="5"/>
        <v>0</v>
      </c>
      <c r="J16" s="513">
        <f t="shared" si="5"/>
        <v>0</v>
      </c>
      <c r="K16" s="513">
        <f t="shared" si="5"/>
        <v>0</v>
      </c>
      <c r="L16" s="513">
        <f t="shared" si="5"/>
        <v>0</v>
      </c>
      <c r="P16" s="398">
        <v>9</v>
      </c>
      <c r="Q16" s="353">
        <f>K24</f>
        <v>4548972055.5501719</v>
      </c>
      <c r="R16" s="421">
        <f t="shared" si="2"/>
        <v>0</v>
      </c>
    </row>
    <row r="17" spans="1:18" x14ac:dyDescent="0.25">
      <c r="A17" s="176" t="s">
        <v>626</v>
      </c>
      <c r="B17" s="191"/>
      <c r="C17" s="353"/>
      <c r="D17" s="353"/>
      <c r="E17" s="353"/>
      <c r="F17" s="353"/>
      <c r="G17" s="353"/>
      <c r="H17" s="353"/>
      <c r="I17" s="353"/>
      <c r="J17" s="353"/>
      <c r="K17" s="353"/>
      <c r="L17" s="353"/>
      <c r="P17" s="398">
        <v>10</v>
      </c>
      <c r="Q17" s="353">
        <f>L24</f>
        <v>4548972055.5501719</v>
      </c>
      <c r="R17" s="421">
        <f>100*(Q17-Q16)/Q16</f>
        <v>0</v>
      </c>
    </row>
    <row r="18" spans="1:18" x14ac:dyDescent="0.25">
      <c r="A18" s="176" t="s">
        <v>631</v>
      </c>
      <c r="C18" s="353">
        <f>IncomeStatement!C26</f>
        <v>305053317.04000002</v>
      </c>
      <c r="D18" s="353">
        <f>IncomeStatement!D26</f>
        <v>647936041.36000001</v>
      </c>
      <c r="E18" s="353">
        <f>IncomeStatement!E26</f>
        <v>670524836.0223999</v>
      </c>
      <c r="F18" s="353">
        <f>IncomeStatement!F26</f>
        <v>693565406.57804787</v>
      </c>
      <c r="G18" s="353">
        <f>IncomeStatement!G26</f>
        <v>717066788.5448091</v>
      </c>
      <c r="H18" s="353">
        <f>IncomeStatement!H26</f>
        <v>866417147.51090503</v>
      </c>
      <c r="I18" s="353">
        <f>IncomeStatement!I26</f>
        <v>889701669.50112319</v>
      </c>
      <c r="J18" s="353">
        <f>IncomeStatement!J26</f>
        <v>913451881.93114567</v>
      </c>
      <c r="K18" s="353">
        <f>IncomeStatement!K26</f>
        <v>937677098.60976839</v>
      </c>
      <c r="L18" s="353">
        <f>IncomeStatement!L26</f>
        <v>962386819.62196398</v>
      </c>
      <c r="P18" s="189"/>
      <c r="Q18" s="189"/>
      <c r="R18" s="189"/>
    </row>
    <row r="19" spans="1:18" x14ac:dyDescent="0.25">
      <c r="A19" s="176" t="s">
        <v>632</v>
      </c>
      <c r="C19" s="538">
        <f>-1*Dividen!L9</f>
        <v>-213537321.928</v>
      </c>
      <c r="D19" s="538">
        <f>-1*Dividen!L10</f>
        <v>-453555228.95199996</v>
      </c>
      <c r="E19" s="538">
        <f>-1*Dividen!L11</f>
        <v>-502893627.01679993</v>
      </c>
      <c r="F19" s="538">
        <f>-1*Dividen!L12</f>
        <v>-554852325.2624383</v>
      </c>
      <c r="G19" s="538">
        <f>-1*Dividen!L13</f>
        <v>-573653430.83584726</v>
      </c>
      <c r="H19" s="538">
        <f>-1*Dividen!L14</f>
        <v>-866417147.51090503</v>
      </c>
      <c r="I19" s="538">
        <f>-1*Dividen!L15</f>
        <v>-889701669.50112319</v>
      </c>
      <c r="J19" s="538">
        <f>-1*Dividen!L16</f>
        <v>-913451881.93114567</v>
      </c>
      <c r="K19" s="538">
        <f>-1*Dividen!L17</f>
        <v>-937677098.60976839</v>
      </c>
      <c r="L19" s="538">
        <f>-1*Dividen!L18</f>
        <v>-962386819.62196398</v>
      </c>
      <c r="N19" s="515" t="s">
        <v>989</v>
      </c>
    </row>
    <row r="20" spans="1:18" x14ac:dyDescent="0.25">
      <c r="A20" s="176" t="s">
        <v>633</v>
      </c>
      <c r="C20" s="513">
        <f>C18+C19</f>
        <v>91515995.112000018</v>
      </c>
      <c r="D20" s="513">
        <f>D18+D19</f>
        <v>194380812.40800005</v>
      </c>
      <c r="E20" s="513">
        <f>E18+E19</f>
        <v>167631209.00559998</v>
      </c>
      <c r="F20" s="513">
        <f t="shared" ref="F20:L20" si="6">F18+F19</f>
        <v>138713081.31560957</v>
      </c>
      <c r="G20" s="513">
        <f t="shared" si="6"/>
        <v>143413357.70896184</v>
      </c>
      <c r="H20" s="513">
        <f t="shared" si="6"/>
        <v>0</v>
      </c>
      <c r="I20" s="513">
        <f>I18+I19</f>
        <v>0</v>
      </c>
      <c r="J20" s="513">
        <f t="shared" si="6"/>
        <v>0</v>
      </c>
      <c r="K20" s="513">
        <f t="shared" si="6"/>
        <v>0</v>
      </c>
      <c r="L20" s="513">
        <f t="shared" si="6"/>
        <v>0</v>
      </c>
    </row>
    <row r="21" spans="1:18" x14ac:dyDescent="0.25">
      <c r="A21" s="191" t="s">
        <v>582</v>
      </c>
      <c r="C21" s="353"/>
      <c r="D21" s="353"/>
      <c r="E21" s="353"/>
      <c r="F21" s="353"/>
      <c r="G21" s="353"/>
      <c r="H21" s="353"/>
      <c r="I21" s="353"/>
      <c r="J21" s="353"/>
      <c r="K21" s="353"/>
      <c r="L21" s="353"/>
    </row>
    <row r="22" spans="1:18" x14ac:dyDescent="0.25">
      <c r="A22" s="176" t="s">
        <v>623</v>
      </c>
      <c r="C22" s="353">
        <f>C9+C16</f>
        <v>3813317600</v>
      </c>
      <c r="D22" s="353">
        <f t="shared" ref="D22:L22" si="7">D9+D16</f>
        <v>3813317600</v>
      </c>
      <c r="E22" s="353">
        <f t="shared" si="7"/>
        <v>3813317600</v>
      </c>
      <c r="F22" s="353">
        <f t="shared" si="7"/>
        <v>3813317600</v>
      </c>
      <c r="G22" s="353">
        <f t="shared" si="7"/>
        <v>3813317600</v>
      </c>
      <c r="H22" s="353">
        <f t="shared" si="7"/>
        <v>3813317600</v>
      </c>
      <c r="I22" s="353">
        <f t="shared" si="7"/>
        <v>3813317600</v>
      </c>
      <c r="J22" s="353">
        <f t="shared" si="7"/>
        <v>3813317600</v>
      </c>
      <c r="K22" s="353">
        <f t="shared" si="7"/>
        <v>3813317600</v>
      </c>
      <c r="L22" s="353">
        <f t="shared" si="7"/>
        <v>3813317600</v>
      </c>
    </row>
    <row r="23" spans="1:18" x14ac:dyDescent="0.25">
      <c r="A23" s="176" t="s">
        <v>627</v>
      </c>
      <c r="C23" s="512">
        <f>C10+C20</f>
        <v>91515995.112000018</v>
      </c>
      <c r="D23" s="512">
        <f>D10+D20</f>
        <v>285896807.5200001</v>
      </c>
      <c r="E23" s="512">
        <f t="shared" ref="E23:L23" si="8">E10+E20</f>
        <v>453528016.52560008</v>
      </c>
      <c r="F23" s="512">
        <f t="shared" si="8"/>
        <v>592241097.84120965</v>
      </c>
      <c r="G23" s="512">
        <f t="shared" si="8"/>
        <v>735654455.55017149</v>
      </c>
      <c r="H23" s="512">
        <f t="shared" si="8"/>
        <v>735654455.55017149</v>
      </c>
      <c r="I23" s="512">
        <f t="shared" si="8"/>
        <v>735654455.55017149</v>
      </c>
      <c r="J23" s="512">
        <f t="shared" si="8"/>
        <v>735654455.55017149</v>
      </c>
      <c r="K23" s="512">
        <f t="shared" si="8"/>
        <v>735654455.55017149</v>
      </c>
      <c r="L23" s="512">
        <f t="shared" si="8"/>
        <v>735654455.55017149</v>
      </c>
    </row>
    <row r="24" spans="1:18" x14ac:dyDescent="0.25">
      <c r="A24" s="176" t="s">
        <v>628</v>
      </c>
      <c r="C24" s="513">
        <f>C22+C23</f>
        <v>3904833595.112</v>
      </c>
      <c r="D24" s="513">
        <f>D22+D23</f>
        <v>4099214407.52</v>
      </c>
      <c r="E24" s="513">
        <f>E22+E23</f>
        <v>4266845616.5256</v>
      </c>
      <c r="F24" s="513">
        <f t="shared" ref="F24:L24" si="9">F22+F23</f>
        <v>4405558697.8412094</v>
      </c>
      <c r="G24" s="513">
        <f t="shared" si="9"/>
        <v>4548972055.5501719</v>
      </c>
      <c r="H24" s="513">
        <f t="shared" si="9"/>
        <v>4548972055.5501719</v>
      </c>
      <c r="I24" s="513">
        <f t="shared" si="9"/>
        <v>4548972055.5501719</v>
      </c>
      <c r="J24" s="513">
        <f t="shared" si="9"/>
        <v>4548972055.5501719</v>
      </c>
      <c r="K24" s="513">
        <f t="shared" si="9"/>
        <v>4548972055.5501719</v>
      </c>
      <c r="L24" s="513">
        <f t="shared" si="9"/>
        <v>4548972055.5501719</v>
      </c>
    </row>
    <row r="25" spans="1:18" x14ac:dyDescent="0.25">
      <c r="A25" s="348"/>
      <c r="B25" s="348"/>
      <c r="C25" s="516"/>
      <c r="D25" s="516"/>
      <c r="E25" s="516"/>
      <c r="F25" s="516"/>
      <c r="G25" s="516"/>
      <c r="H25" s="516"/>
      <c r="I25" s="516"/>
      <c r="J25" s="516"/>
      <c r="K25" s="516"/>
      <c r="L25" s="516"/>
    </row>
    <row r="26" spans="1:18" x14ac:dyDescent="0.25">
      <c r="A26" s="191" t="s">
        <v>621</v>
      </c>
      <c r="C26" s="183"/>
      <c r="D26" s="183"/>
      <c r="E26" s="183"/>
      <c r="F26" s="183"/>
      <c r="G26" s="183"/>
      <c r="H26" s="183"/>
      <c r="I26" s="183"/>
      <c r="J26" s="183"/>
      <c r="K26" s="183"/>
      <c r="L26" s="183"/>
    </row>
    <row r="27" spans="1:18" x14ac:dyDescent="0.25">
      <c r="A27" s="192" t="s">
        <v>990</v>
      </c>
      <c r="B27" s="192"/>
      <c r="C27" s="347">
        <v>0</v>
      </c>
      <c r="D27" s="347">
        <v>0</v>
      </c>
      <c r="E27" s="347">
        <v>0</v>
      </c>
      <c r="F27" s="347">
        <v>0</v>
      </c>
      <c r="G27" s="347">
        <v>0</v>
      </c>
      <c r="H27" s="347">
        <v>0</v>
      </c>
      <c r="I27" s="347">
        <v>0</v>
      </c>
      <c r="J27" s="347">
        <v>0</v>
      </c>
      <c r="K27" s="347">
        <v>0</v>
      </c>
      <c r="L27" s="347">
        <v>0</v>
      </c>
    </row>
    <row r="29" spans="1:18" x14ac:dyDescent="0.25">
      <c r="C29" s="349"/>
      <c r="D29" s="183"/>
    </row>
    <row r="30" spans="1:18" x14ac:dyDescent="0.25">
      <c r="C30" s="349"/>
      <c r="D30" s="183"/>
    </row>
    <row r="31" spans="1:18" x14ac:dyDescent="0.25">
      <c r="C31" s="18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K30"/>
  <sheetViews>
    <sheetView showGridLines="0" zoomScaleNormal="100" workbookViewId="0">
      <pane ySplit="6" topLeftCell="A7" activePane="bottomLeft" state="frozen"/>
      <selection activeCell="D9" sqref="D9"/>
      <selection pane="bottomLeft" activeCell="C14" sqref="C14"/>
    </sheetView>
  </sheetViews>
  <sheetFormatPr defaultColWidth="9" defaultRowHeight="11.25" x14ac:dyDescent="0.2"/>
  <cols>
    <col min="1" max="1" width="3.25" style="198" customWidth="1"/>
    <col min="2" max="2" width="24.25" style="198" bestFit="1" customWidth="1"/>
    <col min="3" max="3" width="9.5" style="198" bestFit="1" customWidth="1"/>
    <col min="4" max="4" width="3.75" style="198" customWidth="1"/>
    <col min="5" max="5" width="9" style="198"/>
    <col min="6" max="6" width="6.75" style="198" customWidth="1"/>
    <col min="7" max="7" width="7.125" style="198" customWidth="1"/>
    <col min="8" max="8" width="12.125" style="198" bestFit="1" customWidth="1"/>
    <col min="9" max="9" width="18.625" style="198" bestFit="1" customWidth="1"/>
    <col min="10" max="10" width="8" style="198" bestFit="1" customWidth="1"/>
    <col min="11" max="11" width="6.625" style="198" customWidth="1"/>
    <col min="12" max="16384" width="9" style="198"/>
  </cols>
  <sheetData>
    <row r="1" spans="1:11" x14ac:dyDescent="0.2">
      <c r="A1" s="255" t="str">
        <f>Assumption!A1</f>
        <v>Bisnis Truk Thermoking</v>
      </c>
      <c r="B1" s="255"/>
      <c r="C1" s="255"/>
      <c r="D1" s="175"/>
    </row>
    <row r="2" spans="1:11" x14ac:dyDescent="0.2">
      <c r="A2" s="255" t="str">
        <f>Assumption!A2</f>
        <v>Financial Pre-Feasibility Study</v>
      </c>
      <c r="B2" s="255"/>
      <c r="C2" s="255"/>
      <c r="D2" s="175"/>
    </row>
    <row r="3" spans="1:11" x14ac:dyDescent="0.2">
      <c r="A3" s="256" t="s">
        <v>573</v>
      </c>
      <c r="B3" s="257"/>
      <c r="C3" s="257"/>
      <c r="D3" s="451"/>
    </row>
    <row r="6" spans="1:11" ht="29.1" customHeight="1" x14ac:dyDescent="0.2">
      <c r="A6" s="258" t="s">
        <v>576</v>
      </c>
      <c r="B6" s="258"/>
      <c r="C6" s="258"/>
      <c r="D6" s="258"/>
      <c r="F6" s="258" t="s">
        <v>577</v>
      </c>
      <c r="G6" s="259"/>
      <c r="H6" s="259"/>
      <c r="I6" s="259"/>
      <c r="J6" s="265" t="s">
        <v>516</v>
      </c>
      <c r="K6" s="260" t="s">
        <v>517</v>
      </c>
    </row>
    <row r="7" spans="1:11" ht="12.75" customHeight="1" x14ac:dyDescent="0.2">
      <c r="A7" s="206" t="s">
        <v>150</v>
      </c>
      <c r="B7" s="736"/>
      <c r="C7" s="736"/>
      <c r="D7" s="736"/>
      <c r="F7" s="258"/>
      <c r="G7" s="259"/>
      <c r="H7" s="259"/>
      <c r="I7" s="259"/>
      <c r="J7" s="265"/>
      <c r="K7" s="260"/>
    </row>
    <row r="8" spans="1:11" x14ac:dyDescent="0.2">
      <c r="A8" s="263" t="s">
        <v>151</v>
      </c>
      <c r="B8" s="156" t="s">
        <v>574</v>
      </c>
      <c r="C8" s="267">
        <f>Assumption!E24*Assumption!E7</f>
        <v>3276168000</v>
      </c>
      <c r="D8" s="156" t="s">
        <v>383</v>
      </c>
      <c r="F8" s="198" t="s">
        <v>717</v>
      </c>
      <c r="G8" s="218" t="s">
        <v>383</v>
      </c>
      <c r="H8" s="156">
        <f>C8-C11</f>
        <v>982850400</v>
      </c>
      <c r="I8" s="435" t="s">
        <v>1109</v>
      </c>
      <c r="J8" s="198" t="s">
        <v>511</v>
      </c>
      <c r="K8" s="262">
        <v>1</v>
      </c>
    </row>
    <row r="9" spans="1:11" x14ac:dyDescent="0.2">
      <c r="A9" s="263" t="s">
        <v>152</v>
      </c>
      <c r="B9" s="264" t="s">
        <v>556</v>
      </c>
      <c r="C9" s="158">
        <f>WorkingCapital!J10</f>
        <v>537149600</v>
      </c>
      <c r="D9" s="264" t="s">
        <v>383</v>
      </c>
      <c r="G9" s="218" t="s">
        <v>383</v>
      </c>
      <c r="H9" s="156">
        <f>C9</f>
        <v>537149600</v>
      </c>
      <c r="I9" s="435" t="s">
        <v>718</v>
      </c>
      <c r="J9" s="261" t="s">
        <v>511</v>
      </c>
      <c r="K9" s="450">
        <v>1</v>
      </c>
    </row>
    <row r="10" spans="1:11" x14ac:dyDescent="0.2">
      <c r="B10" s="198" t="s">
        <v>741</v>
      </c>
      <c r="C10" s="198">
        <v>70</v>
      </c>
      <c r="D10" s="198" t="s">
        <v>60</v>
      </c>
      <c r="F10" s="205"/>
      <c r="G10" s="436" t="s">
        <v>383</v>
      </c>
      <c r="H10" s="163">
        <f>SUM(H8:H9)</f>
        <v>1520000000</v>
      </c>
      <c r="I10" s="205"/>
      <c r="J10" s="205"/>
      <c r="K10" s="205"/>
    </row>
    <row r="11" spans="1:11" x14ac:dyDescent="0.2">
      <c r="A11" s="263" t="s">
        <v>153</v>
      </c>
      <c r="C11" s="156">
        <f>C8*C10%</f>
        <v>2293317600</v>
      </c>
    </row>
    <row r="12" spans="1:11" x14ac:dyDescent="0.2">
      <c r="B12" s="264" t="s">
        <v>575</v>
      </c>
      <c r="C12" s="158">
        <f>LoanInterest!L8</f>
        <v>206398584</v>
      </c>
      <c r="D12" s="264" t="s">
        <v>383</v>
      </c>
    </row>
    <row r="13" spans="1:11" x14ac:dyDescent="0.2">
      <c r="A13" s="205"/>
      <c r="B13" s="205"/>
      <c r="C13" s="205"/>
      <c r="D13" s="205"/>
    </row>
    <row r="14" spans="1:11" x14ac:dyDescent="0.2">
      <c r="C14" s="156">
        <f>C8+H9</f>
        <v>3813317600</v>
      </c>
    </row>
    <row r="17" spans="3:9" x14ac:dyDescent="0.2">
      <c r="H17" s="207"/>
    </row>
    <row r="18" spans="3:9" x14ac:dyDescent="0.2">
      <c r="H18" s="200"/>
    </row>
    <row r="20" spans="3:9" x14ac:dyDescent="0.2">
      <c r="C20" s="156"/>
    </row>
    <row r="21" spans="3:9" x14ac:dyDescent="0.2">
      <c r="H21" s="200"/>
      <c r="I21" s="200"/>
    </row>
    <row r="23" spans="3:9" x14ac:dyDescent="0.2">
      <c r="H23" s="200"/>
    </row>
    <row r="30" spans="3:9" x14ac:dyDescent="0.2">
      <c r="H30" s="207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P211"/>
  <sheetViews>
    <sheetView showGridLines="0" workbookViewId="0">
      <pane ySplit="6" topLeftCell="A17" activePane="bottomLeft" state="frozen"/>
      <selection pane="bottomLeft" activeCell="D45" sqref="D45"/>
    </sheetView>
  </sheetViews>
  <sheetFormatPr defaultColWidth="9" defaultRowHeight="11.25" x14ac:dyDescent="0.2"/>
  <cols>
    <col min="1" max="2" width="9" style="198"/>
    <col min="3" max="3" width="9.5" style="198" bestFit="1" customWidth="1"/>
    <col min="4" max="4" width="9" style="198"/>
    <col min="5" max="5" width="10.625" style="198" customWidth="1"/>
    <col min="6" max="7" width="9" style="198"/>
    <col min="8" max="8" width="18" style="198" bestFit="1" customWidth="1"/>
    <col min="9" max="9" width="8.75" style="198" bestFit="1" customWidth="1"/>
    <col min="10" max="10" width="9.125" style="198" bestFit="1" customWidth="1"/>
    <col min="11" max="11" width="13.125" style="198" bestFit="1" customWidth="1"/>
    <col min="12" max="12" width="12.25" style="198" bestFit="1" customWidth="1"/>
    <col min="13" max="13" width="11.5" style="198" bestFit="1" customWidth="1"/>
    <col min="14" max="14" width="9" style="198"/>
    <col min="15" max="15" width="20.25" style="198" customWidth="1"/>
    <col min="16" max="16384" width="9" style="198"/>
  </cols>
  <sheetData>
    <row r="1" spans="1:16" x14ac:dyDescent="0.2">
      <c r="A1" s="197" t="str">
        <f>WorkingCapital!A1</f>
        <v>Bisnis Truk Thermoking</v>
      </c>
    </row>
    <row r="2" spans="1:16" x14ac:dyDescent="0.2">
      <c r="A2" s="197" t="str">
        <f>[3]WorkingCapital!A2</f>
        <v>Financial Pre-Feasibility Study</v>
      </c>
    </row>
    <row r="3" spans="1:16" x14ac:dyDescent="0.2">
      <c r="A3" s="452" t="s">
        <v>661</v>
      </c>
    </row>
    <row r="4" spans="1:16" x14ac:dyDescent="0.2">
      <c r="A4" s="453"/>
    </row>
    <row r="6" spans="1:16" s="266" customFormat="1" ht="22.5" customHeight="1" x14ac:dyDescent="0.25">
      <c r="A6" s="258" t="s">
        <v>745</v>
      </c>
      <c r="B6" s="259"/>
      <c r="C6" s="259"/>
      <c r="D6" s="259"/>
      <c r="E6" s="259"/>
      <c r="H6" s="258" t="s">
        <v>746</v>
      </c>
      <c r="I6" s="258"/>
      <c r="J6" s="258"/>
      <c r="K6" s="258"/>
      <c r="L6" s="260" t="s">
        <v>747</v>
      </c>
      <c r="M6" s="454" t="s">
        <v>748</v>
      </c>
    </row>
    <row r="8" spans="1:16" ht="10.5" customHeight="1" x14ac:dyDescent="0.2">
      <c r="A8" s="198" t="s">
        <v>254</v>
      </c>
      <c r="B8" s="373" t="s">
        <v>409</v>
      </c>
      <c r="C8" s="218"/>
      <c r="D8" s="374"/>
      <c r="H8" s="455" t="s">
        <v>749</v>
      </c>
      <c r="I8" s="456" t="s">
        <v>750</v>
      </c>
      <c r="J8" s="457" t="s">
        <v>751</v>
      </c>
      <c r="K8" s="457" t="s">
        <v>752</v>
      </c>
      <c r="L8" s="458" t="s">
        <v>753</v>
      </c>
      <c r="M8" s="457" t="s">
        <v>754</v>
      </c>
      <c r="O8" s="459" t="s">
        <v>755</v>
      </c>
    </row>
    <row r="9" spans="1:16" ht="10.5" customHeight="1" x14ac:dyDescent="0.2">
      <c r="B9" s="373" t="s">
        <v>667</v>
      </c>
      <c r="H9" s="460" t="s">
        <v>756</v>
      </c>
      <c r="I9" s="461" t="s">
        <v>757</v>
      </c>
      <c r="J9" s="462">
        <v>5.3E-3</v>
      </c>
      <c r="K9" s="462">
        <v>7.4999999999999997E-3</v>
      </c>
      <c r="L9" s="463">
        <v>5.7500000000000002E-2</v>
      </c>
      <c r="M9" s="462">
        <v>0.15</v>
      </c>
      <c r="O9" s="198" t="s">
        <v>254</v>
      </c>
    </row>
    <row r="10" spans="1:16" ht="10.5" customHeight="1" x14ac:dyDescent="0.2">
      <c r="A10" s="198" t="s">
        <v>389</v>
      </c>
      <c r="B10" s="375"/>
      <c r="C10" s="218"/>
      <c r="D10" s="374"/>
      <c r="H10" s="460" t="s">
        <v>758</v>
      </c>
      <c r="I10" s="461" t="s">
        <v>759</v>
      </c>
      <c r="J10" s="462">
        <v>4.82E-2</v>
      </c>
      <c r="K10" s="462">
        <v>6.83E-2</v>
      </c>
      <c r="L10" s="463">
        <v>0.1183</v>
      </c>
      <c r="M10" s="462">
        <v>0.15</v>
      </c>
      <c r="O10" s="269" t="s">
        <v>760</v>
      </c>
    </row>
    <row r="11" spans="1:16" ht="10.5" customHeight="1" x14ac:dyDescent="0.2">
      <c r="A11" s="198" t="s">
        <v>393</v>
      </c>
      <c r="B11" s="376"/>
      <c r="C11" s="377"/>
      <c r="D11" s="378"/>
      <c r="E11" s="379"/>
      <c r="H11" s="460" t="s">
        <v>761</v>
      </c>
      <c r="I11" s="461" t="s">
        <v>762</v>
      </c>
      <c r="J11" s="462">
        <v>3.85E-2</v>
      </c>
      <c r="K11" s="462">
        <v>5.4600000000000003E-2</v>
      </c>
      <c r="L11" s="463">
        <v>0.1046</v>
      </c>
      <c r="M11" s="462">
        <v>0.26</v>
      </c>
    </row>
    <row r="12" spans="1:16" ht="10.5" customHeight="1" x14ac:dyDescent="0.2">
      <c r="A12" s="206" t="s">
        <v>390</v>
      </c>
      <c r="B12" s="380"/>
      <c r="C12" s="381"/>
      <c r="D12" s="382"/>
      <c r="E12" s="379"/>
      <c r="H12" s="460" t="s">
        <v>763</v>
      </c>
      <c r="I12" s="461" t="s">
        <v>764</v>
      </c>
      <c r="J12" s="462">
        <v>2.0400000000000001E-2</v>
      </c>
      <c r="K12" s="462">
        <v>2.8899999999999999E-2</v>
      </c>
      <c r="L12" s="463">
        <v>7.8899999999999998E-2</v>
      </c>
      <c r="M12" s="462">
        <v>0.1898</v>
      </c>
      <c r="O12" s="198" t="s">
        <v>765</v>
      </c>
    </row>
    <row r="13" spans="1:16" ht="10.5" customHeight="1" x14ac:dyDescent="0.2">
      <c r="A13" s="206" t="s">
        <v>391</v>
      </c>
      <c r="B13" s="380"/>
      <c r="C13" s="381"/>
      <c r="D13" s="382"/>
      <c r="E13" s="379"/>
      <c r="H13" s="460" t="s">
        <v>766</v>
      </c>
      <c r="I13" s="461" t="s">
        <v>767</v>
      </c>
      <c r="J13" s="462">
        <v>6.9500000000000006E-2</v>
      </c>
      <c r="K13" s="462">
        <v>9.8599999999999993E-2</v>
      </c>
      <c r="L13" s="463">
        <v>0.14860000000000001</v>
      </c>
      <c r="M13" s="462">
        <v>0.25</v>
      </c>
      <c r="O13" s="198" t="s">
        <v>768</v>
      </c>
    </row>
    <row r="14" spans="1:16" ht="10.5" customHeight="1" x14ac:dyDescent="0.2">
      <c r="A14" s="206" t="s">
        <v>392</v>
      </c>
      <c r="B14" s="383"/>
      <c r="C14" s="384"/>
      <c r="D14" s="384"/>
      <c r="E14" s="384"/>
      <c r="H14" s="460" t="s">
        <v>769</v>
      </c>
      <c r="I14" s="461" t="s">
        <v>770</v>
      </c>
      <c r="J14" s="462">
        <v>0.12839999999999999</v>
      </c>
      <c r="K14" s="462">
        <v>0.18210000000000001</v>
      </c>
      <c r="L14" s="463">
        <v>0.2321</v>
      </c>
      <c r="M14" s="462">
        <v>0.35</v>
      </c>
      <c r="O14" s="206" t="s">
        <v>771</v>
      </c>
      <c r="P14" s="464">
        <v>6.9500000000000006E-2</v>
      </c>
    </row>
    <row r="15" spans="1:16" ht="10.5" customHeight="1" x14ac:dyDescent="0.2">
      <c r="A15" s="206" t="s">
        <v>394</v>
      </c>
      <c r="B15" s="376"/>
      <c r="C15" s="377"/>
      <c r="D15" s="378"/>
      <c r="E15" s="379"/>
      <c r="H15" s="460" t="s">
        <v>772</v>
      </c>
      <c r="I15" s="461" t="s">
        <v>773</v>
      </c>
      <c r="J15" s="462">
        <v>3.85E-2</v>
      </c>
      <c r="K15" s="462">
        <v>5.4600000000000003E-2</v>
      </c>
      <c r="L15" s="463">
        <v>0.1046</v>
      </c>
      <c r="M15" s="462">
        <v>0.18</v>
      </c>
      <c r="O15" s="206" t="s">
        <v>774</v>
      </c>
      <c r="P15" s="198">
        <v>1.42</v>
      </c>
    </row>
    <row r="16" spans="1:16" ht="10.5" customHeight="1" x14ac:dyDescent="0.2">
      <c r="B16" s="376"/>
      <c r="C16" s="385"/>
      <c r="D16" s="385"/>
      <c r="E16" s="385"/>
      <c r="H16" s="460" t="s">
        <v>775</v>
      </c>
      <c r="I16" s="461" t="s">
        <v>764</v>
      </c>
      <c r="J16" s="462">
        <v>2.0400000000000001E-2</v>
      </c>
      <c r="K16" s="462">
        <v>2.8899999999999999E-2</v>
      </c>
      <c r="L16" s="463">
        <v>7.8899999999999998E-2</v>
      </c>
      <c r="M16" s="462">
        <v>0.25</v>
      </c>
      <c r="O16" s="206" t="s">
        <v>776</v>
      </c>
      <c r="P16" s="464">
        <v>0.05</v>
      </c>
    </row>
    <row r="17" spans="1:16" ht="10.5" customHeight="1" x14ac:dyDescent="0.2">
      <c r="A17" s="198" t="s">
        <v>395</v>
      </c>
      <c r="B17" s="376"/>
      <c r="C17" s="379"/>
      <c r="D17" s="379"/>
      <c r="E17" s="379"/>
      <c r="H17" s="460" t="s">
        <v>777</v>
      </c>
      <c r="I17" s="461" t="s">
        <v>778</v>
      </c>
      <c r="J17" s="462">
        <v>0</v>
      </c>
      <c r="K17" s="462">
        <v>0</v>
      </c>
      <c r="L17" s="463">
        <v>0.05</v>
      </c>
      <c r="M17" s="462">
        <v>0.3</v>
      </c>
      <c r="O17" s="198" t="s">
        <v>779</v>
      </c>
      <c r="P17" s="465">
        <f>(P14*P15+P16)</f>
        <v>0.14868999999999999</v>
      </c>
    </row>
    <row r="18" spans="1:16" ht="10.5" customHeight="1" x14ac:dyDescent="0.2">
      <c r="A18" s="269" t="s">
        <v>396</v>
      </c>
      <c r="B18" s="376"/>
      <c r="C18" s="379"/>
      <c r="D18" s="379"/>
      <c r="E18" s="379"/>
      <c r="H18" s="460" t="s">
        <v>780</v>
      </c>
      <c r="I18" s="461" t="s">
        <v>781</v>
      </c>
      <c r="J18" s="462">
        <v>4.3E-3</v>
      </c>
      <c r="K18" s="462">
        <v>6.1000000000000004E-3</v>
      </c>
      <c r="L18" s="463">
        <v>5.6099999999999997E-2</v>
      </c>
      <c r="M18" s="462">
        <v>0.24</v>
      </c>
    </row>
    <row r="19" spans="1:16" ht="10.5" customHeight="1" x14ac:dyDescent="0.2">
      <c r="A19" s="198" t="s">
        <v>255</v>
      </c>
      <c r="B19" s="386"/>
      <c r="C19" s="379"/>
      <c r="D19" s="379"/>
      <c r="E19" s="379"/>
      <c r="H19" s="460" t="s">
        <v>782</v>
      </c>
      <c r="I19" s="461" t="s">
        <v>783</v>
      </c>
      <c r="J19" s="462">
        <v>2.6800000000000001E-2</v>
      </c>
      <c r="K19" s="462">
        <v>3.7999999999999999E-2</v>
      </c>
      <c r="L19" s="463">
        <v>8.7999999999999995E-2</v>
      </c>
      <c r="M19" s="462">
        <v>0.2</v>
      </c>
    </row>
    <row r="20" spans="1:16" ht="10.5" customHeight="1" x14ac:dyDescent="0.2">
      <c r="A20" s="387" t="s">
        <v>399</v>
      </c>
      <c r="B20" s="386"/>
      <c r="C20" s="379"/>
      <c r="D20" s="379"/>
      <c r="E20" s="385"/>
      <c r="H20" s="460" t="s">
        <v>784</v>
      </c>
      <c r="I20" s="461" t="s">
        <v>759</v>
      </c>
      <c r="J20" s="462">
        <v>4.82E-2</v>
      </c>
      <c r="K20" s="462">
        <v>6.83E-2</v>
      </c>
      <c r="L20" s="463">
        <v>0.1183</v>
      </c>
      <c r="M20" s="462">
        <v>0</v>
      </c>
    </row>
    <row r="21" spans="1:16" ht="10.5" customHeight="1" x14ac:dyDescent="0.2">
      <c r="A21" s="198" t="s">
        <v>397</v>
      </c>
      <c r="B21" s="388"/>
      <c r="C21" s="379"/>
      <c r="D21" s="379"/>
      <c r="E21" s="385"/>
      <c r="H21" s="460" t="s">
        <v>785</v>
      </c>
      <c r="I21" s="461" t="s">
        <v>786</v>
      </c>
      <c r="J21" s="462">
        <v>5.8799999999999998E-2</v>
      </c>
      <c r="K21" s="462">
        <v>8.3500000000000005E-2</v>
      </c>
      <c r="L21" s="463">
        <v>0.13350000000000001</v>
      </c>
      <c r="M21" s="462">
        <v>0</v>
      </c>
    </row>
    <row r="22" spans="1:16" ht="10.5" customHeight="1" x14ac:dyDescent="0.2">
      <c r="A22" s="198" t="s">
        <v>398</v>
      </c>
      <c r="B22" s="388"/>
      <c r="C22" s="379"/>
      <c r="D22" s="379"/>
      <c r="E22" s="385"/>
      <c r="H22" s="460" t="s">
        <v>787</v>
      </c>
      <c r="I22" s="461" t="s">
        <v>759</v>
      </c>
      <c r="J22" s="462">
        <v>4.82E-2</v>
      </c>
      <c r="K22" s="462">
        <v>6.83E-2</v>
      </c>
      <c r="L22" s="463">
        <v>0.1183</v>
      </c>
      <c r="M22" s="462">
        <v>0.32500000000000001</v>
      </c>
    </row>
    <row r="23" spans="1:16" ht="10.5" customHeight="1" x14ac:dyDescent="0.2">
      <c r="A23" s="387" t="s">
        <v>400</v>
      </c>
      <c r="H23" s="460" t="s">
        <v>788</v>
      </c>
      <c r="I23" s="461" t="s">
        <v>789</v>
      </c>
      <c r="J23" s="462">
        <v>8.0199999999999994E-2</v>
      </c>
      <c r="K23" s="462">
        <v>0.1138</v>
      </c>
      <c r="L23" s="463">
        <v>0.1638</v>
      </c>
      <c r="M23" s="462">
        <v>5.5E-2</v>
      </c>
    </row>
    <row r="24" spans="1:16" ht="10.5" customHeight="1" x14ac:dyDescent="0.2">
      <c r="A24" s="198" t="s">
        <v>401</v>
      </c>
      <c r="H24" s="460" t="s">
        <v>790</v>
      </c>
      <c r="I24" s="461" t="s">
        <v>567</v>
      </c>
      <c r="J24" s="462">
        <v>0.17499999999999999</v>
      </c>
      <c r="K24" s="462">
        <v>0.2482</v>
      </c>
      <c r="L24" s="463">
        <v>0.29820000000000002</v>
      </c>
      <c r="M24" s="462">
        <v>0.18</v>
      </c>
    </row>
    <row r="25" spans="1:16" ht="10.5" customHeight="1" x14ac:dyDescent="0.2">
      <c r="A25" s="198" t="s">
        <v>402</v>
      </c>
      <c r="H25" s="460" t="s">
        <v>791</v>
      </c>
      <c r="I25" s="461" t="s">
        <v>792</v>
      </c>
      <c r="J25" s="462">
        <v>6.4000000000000003E-3</v>
      </c>
      <c r="K25" s="462">
        <v>9.1000000000000004E-3</v>
      </c>
      <c r="L25" s="463">
        <v>5.91E-2</v>
      </c>
      <c r="M25" s="462">
        <v>0.25</v>
      </c>
    </row>
    <row r="26" spans="1:16" ht="10.5" customHeight="1" x14ac:dyDescent="0.2">
      <c r="A26" s="198" t="s">
        <v>403</v>
      </c>
      <c r="H26" s="460" t="s">
        <v>793</v>
      </c>
      <c r="I26" s="461" t="s">
        <v>794</v>
      </c>
      <c r="J26" s="462">
        <v>9.6299999999999997E-2</v>
      </c>
      <c r="K26" s="462">
        <v>0.1366</v>
      </c>
      <c r="L26" s="463">
        <v>0.18659999999999999</v>
      </c>
      <c r="M26" s="462">
        <v>0.27179999999999999</v>
      </c>
    </row>
    <row r="27" spans="1:16" ht="10.5" customHeight="1" x14ac:dyDescent="0.2">
      <c r="A27" s="198" t="s">
        <v>404</v>
      </c>
      <c r="H27" s="460" t="s">
        <v>795</v>
      </c>
      <c r="I27" s="461" t="s">
        <v>759</v>
      </c>
      <c r="J27" s="462">
        <v>4.82E-2</v>
      </c>
      <c r="K27" s="462">
        <v>6.83E-2</v>
      </c>
      <c r="L27" s="463">
        <v>0.1183</v>
      </c>
      <c r="M27" s="462">
        <v>0.3</v>
      </c>
    </row>
    <row r="28" spans="1:16" ht="10.5" customHeight="1" x14ac:dyDescent="0.2">
      <c r="A28" s="198" t="s">
        <v>405</v>
      </c>
      <c r="H28" s="460" t="s">
        <v>796</v>
      </c>
      <c r="I28" s="461" t="s">
        <v>797</v>
      </c>
      <c r="J28" s="462">
        <v>9.1000000000000004E-3</v>
      </c>
      <c r="K28" s="462">
        <v>1.2800000000000001E-2</v>
      </c>
      <c r="L28" s="463">
        <v>6.2799999999999995E-2</v>
      </c>
      <c r="M28" s="462">
        <v>0</v>
      </c>
    </row>
    <row r="29" spans="1:16" ht="10.5" customHeight="1" x14ac:dyDescent="0.2">
      <c r="H29" s="460" t="s">
        <v>798</v>
      </c>
      <c r="I29" s="461" t="s">
        <v>789</v>
      </c>
      <c r="J29" s="462">
        <v>8.0199999999999994E-2</v>
      </c>
      <c r="K29" s="462">
        <v>0.1138</v>
      </c>
      <c r="L29" s="463">
        <v>0.1638</v>
      </c>
      <c r="M29" s="462">
        <v>0.25</v>
      </c>
    </row>
    <row r="30" spans="1:16" ht="10.5" customHeight="1" x14ac:dyDescent="0.2">
      <c r="A30" s="269" t="s">
        <v>668</v>
      </c>
      <c r="H30" s="460" t="s">
        <v>799</v>
      </c>
      <c r="I30" s="461" t="s">
        <v>767</v>
      </c>
      <c r="J30" s="462">
        <v>6.9500000000000006E-2</v>
      </c>
      <c r="K30" s="462">
        <v>9.8599999999999993E-2</v>
      </c>
      <c r="L30" s="463">
        <v>0.14860000000000001</v>
      </c>
      <c r="M30" s="462">
        <v>0.1</v>
      </c>
    </row>
    <row r="31" spans="1:16" ht="10.5" customHeight="1" x14ac:dyDescent="0.2">
      <c r="A31" s="466" t="s">
        <v>800</v>
      </c>
      <c r="B31" s="467"/>
      <c r="C31" s="468"/>
      <c r="H31" s="460" t="s">
        <v>801</v>
      </c>
      <c r="I31" s="461" t="s">
        <v>802</v>
      </c>
      <c r="J31" s="462">
        <v>1.2800000000000001E-2</v>
      </c>
      <c r="K31" s="462">
        <v>1.8200000000000001E-2</v>
      </c>
      <c r="L31" s="463">
        <v>6.8199999999999997E-2</v>
      </c>
      <c r="M31" s="462">
        <v>0.22</v>
      </c>
    </row>
    <row r="32" spans="1:16" ht="10.5" customHeight="1" x14ac:dyDescent="0.2">
      <c r="A32" s="469" t="s">
        <v>406</v>
      </c>
      <c r="B32" s="429"/>
      <c r="C32" s="470">
        <v>6.54E-2</v>
      </c>
      <c r="H32" s="460" t="s">
        <v>803</v>
      </c>
      <c r="I32" s="461" t="s">
        <v>804</v>
      </c>
      <c r="J32" s="462">
        <v>3.2199999999999999E-2</v>
      </c>
      <c r="K32" s="462">
        <v>4.5699999999999998E-2</v>
      </c>
      <c r="L32" s="463">
        <v>9.5699999999999993E-2</v>
      </c>
      <c r="M32" s="462">
        <v>0.34</v>
      </c>
    </row>
    <row r="33" spans="1:13" ht="10.5" customHeight="1" x14ac:dyDescent="0.2">
      <c r="A33" s="469" t="s">
        <v>407</v>
      </c>
      <c r="B33" s="429"/>
      <c r="C33" s="470">
        <v>3.5799999999999998E-2</v>
      </c>
      <c r="H33" s="460" t="s">
        <v>805</v>
      </c>
      <c r="I33" s="461" t="s">
        <v>762</v>
      </c>
      <c r="J33" s="462">
        <v>6.4000000000000003E-3</v>
      </c>
      <c r="K33" s="462">
        <v>9.1000000000000004E-3</v>
      </c>
      <c r="L33" s="463">
        <v>5.91E-2</v>
      </c>
      <c r="M33" s="462">
        <v>0.185</v>
      </c>
    </row>
    <row r="34" spans="1:13" ht="10.5" customHeight="1" x14ac:dyDescent="0.2">
      <c r="A34" s="471" t="s">
        <v>408</v>
      </c>
      <c r="B34" s="472"/>
      <c r="C34" s="473">
        <v>2.8899999999999999E-2</v>
      </c>
      <c r="H34" s="460" t="s">
        <v>806</v>
      </c>
      <c r="I34" s="461" t="s">
        <v>807</v>
      </c>
      <c r="J34" s="462">
        <v>1.7100000000000001E-2</v>
      </c>
      <c r="K34" s="462">
        <v>2.4299999999999999E-2</v>
      </c>
      <c r="L34" s="463">
        <v>7.4300000000000005E-2</v>
      </c>
      <c r="M34" s="462">
        <v>0.1</v>
      </c>
    </row>
    <row r="35" spans="1:13" x14ac:dyDescent="0.2">
      <c r="H35" s="460" t="s">
        <v>808</v>
      </c>
      <c r="I35" s="461" t="s">
        <v>789</v>
      </c>
      <c r="J35" s="462">
        <v>8.0199999999999994E-2</v>
      </c>
      <c r="K35" s="462">
        <v>0.1138</v>
      </c>
      <c r="L35" s="463">
        <v>0.1638</v>
      </c>
      <c r="M35" s="462">
        <v>0.28000000000000003</v>
      </c>
    </row>
    <row r="36" spans="1:13" ht="10.5" customHeight="1" x14ac:dyDescent="0.2">
      <c r="A36" s="474" t="s">
        <v>257</v>
      </c>
      <c r="B36" s="467" t="s">
        <v>258</v>
      </c>
      <c r="C36" s="467"/>
      <c r="D36" s="467"/>
      <c r="E36" s="468"/>
      <c r="H36" s="460" t="s">
        <v>809</v>
      </c>
      <c r="I36" s="461" t="s">
        <v>786</v>
      </c>
      <c r="J36" s="462">
        <v>5.8799999999999998E-2</v>
      </c>
      <c r="K36" s="462">
        <v>8.3500000000000005E-2</v>
      </c>
      <c r="L36" s="463">
        <v>0.13350000000000001</v>
      </c>
      <c r="M36" s="462">
        <v>0.2</v>
      </c>
    </row>
    <row r="37" spans="1:13" ht="10.5" customHeight="1" x14ac:dyDescent="0.2">
      <c r="A37" s="475"/>
      <c r="B37" s="429" t="s">
        <v>259</v>
      </c>
      <c r="C37" s="429"/>
      <c r="D37" s="476">
        <f>Assumption!E30/100</f>
        <v>0.7</v>
      </c>
      <c r="E37" s="477"/>
      <c r="H37" s="460" t="s">
        <v>810</v>
      </c>
      <c r="I37" s="461" t="s">
        <v>786</v>
      </c>
      <c r="J37" s="462">
        <v>5.8799999999999998E-2</v>
      </c>
      <c r="K37" s="462">
        <v>8.3500000000000005E-2</v>
      </c>
      <c r="L37" s="463">
        <v>0.13350000000000001</v>
      </c>
      <c r="M37" s="462">
        <v>0.33</v>
      </c>
    </row>
    <row r="38" spans="1:13" ht="10.5" customHeight="1" x14ac:dyDescent="0.2">
      <c r="A38" s="475"/>
      <c r="B38" s="429" t="s">
        <v>410</v>
      </c>
      <c r="C38" s="429"/>
      <c r="D38" s="476">
        <f>Assumption!E31/100</f>
        <v>0.3</v>
      </c>
      <c r="E38" s="477"/>
      <c r="H38" s="460" t="s">
        <v>811</v>
      </c>
      <c r="I38" s="461" t="s">
        <v>778</v>
      </c>
      <c r="J38" s="462">
        <v>0</v>
      </c>
      <c r="K38" s="462">
        <v>0</v>
      </c>
      <c r="L38" s="463">
        <v>0.05</v>
      </c>
      <c r="M38" s="462">
        <v>0.25</v>
      </c>
    </row>
    <row r="39" spans="1:13" ht="10.5" customHeight="1" x14ac:dyDescent="0.2">
      <c r="A39" s="475"/>
      <c r="B39" s="429" t="s">
        <v>260</v>
      </c>
      <c r="C39" s="429"/>
      <c r="D39" s="478">
        <f>Assumption!E32/100</f>
        <v>0.09</v>
      </c>
      <c r="E39" s="477"/>
      <c r="H39" s="460" t="s">
        <v>812</v>
      </c>
      <c r="I39" s="461" t="s">
        <v>767</v>
      </c>
      <c r="J39" s="462">
        <v>6.9500000000000006E-2</v>
      </c>
      <c r="K39" s="462">
        <v>9.8599999999999993E-2</v>
      </c>
      <c r="L39" s="463">
        <v>0.14860000000000001</v>
      </c>
      <c r="M39" s="462">
        <v>0</v>
      </c>
    </row>
    <row r="40" spans="1:13" ht="10.5" customHeight="1" x14ac:dyDescent="0.2">
      <c r="A40" s="475"/>
      <c r="B40" s="429" t="s">
        <v>256</v>
      </c>
      <c r="C40" s="429"/>
      <c r="D40" s="478">
        <f>Assumption!E38/100</f>
        <v>0.11</v>
      </c>
      <c r="E40" s="477"/>
      <c r="H40" s="460" t="s">
        <v>813</v>
      </c>
      <c r="I40" s="461" t="s">
        <v>792</v>
      </c>
      <c r="J40" s="462">
        <v>6.4000000000000003E-3</v>
      </c>
      <c r="K40" s="462">
        <v>9.1000000000000004E-3</v>
      </c>
      <c r="L40" s="463">
        <v>5.91E-2</v>
      </c>
      <c r="M40" s="462">
        <v>0</v>
      </c>
    </row>
    <row r="41" spans="1:13" ht="10.5" customHeight="1" x14ac:dyDescent="0.2">
      <c r="A41" s="475"/>
      <c r="B41" s="429" t="s">
        <v>411</v>
      </c>
      <c r="C41" s="429"/>
      <c r="D41" s="479">
        <f>C32</f>
        <v>6.54E-2</v>
      </c>
      <c r="E41" s="480" t="s">
        <v>413</v>
      </c>
      <c r="H41" s="460" t="s">
        <v>814</v>
      </c>
      <c r="I41" s="461" t="s">
        <v>797</v>
      </c>
      <c r="J41" s="462">
        <v>9.1000000000000004E-3</v>
      </c>
      <c r="K41" s="462">
        <v>1.2800000000000001E-2</v>
      </c>
      <c r="L41" s="463">
        <v>6.2799999999999995E-2</v>
      </c>
      <c r="M41" s="462">
        <v>0.27</v>
      </c>
    </row>
    <row r="42" spans="1:13" ht="10.5" customHeight="1" x14ac:dyDescent="0.2">
      <c r="A42" s="475"/>
      <c r="B42" s="429" t="s">
        <v>412</v>
      </c>
      <c r="C42" s="429"/>
      <c r="D42" s="479">
        <f>C34</f>
        <v>2.8899999999999999E-2</v>
      </c>
      <c r="E42" s="480" t="s">
        <v>413</v>
      </c>
      <c r="H42" s="460" t="s">
        <v>815</v>
      </c>
      <c r="I42" s="461" t="s">
        <v>816</v>
      </c>
      <c r="J42" s="462">
        <v>7.4999999999999997E-3</v>
      </c>
      <c r="K42" s="462">
        <v>1.0699999999999999E-2</v>
      </c>
      <c r="L42" s="463">
        <v>6.0699999999999997E-2</v>
      </c>
      <c r="M42" s="462">
        <v>0.25</v>
      </c>
    </row>
    <row r="43" spans="1:13" ht="10.5" customHeight="1" x14ac:dyDescent="0.2">
      <c r="A43" s="475"/>
      <c r="B43" s="429" t="s">
        <v>414</v>
      </c>
      <c r="C43" s="429"/>
      <c r="D43" s="476">
        <f>D41+D42</f>
        <v>9.4299999999999995E-2</v>
      </c>
      <c r="E43" s="481" t="s">
        <v>506</v>
      </c>
      <c r="H43" s="460" t="s">
        <v>817</v>
      </c>
      <c r="I43" s="461" t="s">
        <v>764</v>
      </c>
      <c r="J43" s="462">
        <v>2.0400000000000001E-2</v>
      </c>
      <c r="K43" s="462">
        <v>2.8899999999999999E-2</v>
      </c>
      <c r="L43" s="463">
        <v>7.8899999999999998E-2</v>
      </c>
      <c r="M43" s="462">
        <v>0.35</v>
      </c>
    </row>
    <row r="44" spans="1:13" ht="10.5" customHeight="1" x14ac:dyDescent="0.2">
      <c r="A44" s="475"/>
      <c r="B44" s="429" t="s">
        <v>261</v>
      </c>
      <c r="C44" s="429"/>
      <c r="D44" s="482"/>
      <c r="E44" s="477"/>
      <c r="H44" s="460" t="s">
        <v>818</v>
      </c>
      <c r="I44" s="461" t="s">
        <v>767</v>
      </c>
      <c r="J44" s="462">
        <v>6.9500000000000006E-2</v>
      </c>
      <c r="K44" s="462">
        <v>9.8599999999999993E-2</v>
      </c>
      <c r="L44" s="463">
        <v>0.14860000000000001</v>
      </c>
      <c r="M44" s="462">
        <v>0.3</v>
      </c>
    </row>
    <row r="45" spans="1:13" ht="10.5" customHeight="1" x14ac:dyDescent="0.2">
      <c r="A45" s="483"/>
      <c r="B45" s="472" t="s">
        <v>251</v>
      </c>
      <c r="C45" s="472"/>
      <c r="D45" s="484">
        <f>ROUND((D38*D43)+(D37*D39*(1-D40)),2)</f>
        <v>0.08</v>
      </c>
      <c r="E45" s="485"/>
      <c r="H45" s="460" t="s">
        <v>819</v>
      </c>
      <c r="I45" s="461" t="s">
        <v>794</v>
      </c>
      <c r="J45" s="462">
        <v>9.6299999999999997E-2</v>
      </c>
      <c r="K45" s="462">
        <v>0.1366</v>
      </c>
      <c r="L45" s="463">
        <v>0.18659999999999999</v>
      </c>
      <c r="M45" s="462">
        <v>0.28000000000000003</v>
      </c>
    </row>
    <row r="46" spans="1:13" x14ac:dyDescent="0.2">
      <c r="H46" s="460" t="s">
        <v>820</v>
      </c>
      <c r="I46" s="461" t="s">
        <v>786</v>
      </c>
      <c r="J46" s="462">
        <v>5.8799999999999998E-2</v>
      </c>
      <c r="K46" s="462">
        <v>8.3500000000000005E-2</v>
      </c>
      <c r="L46" s="463">
        <v>0.13350000000000001</v>
      </c>
      <c r="M46" s="462">
        <v>0.2843</v>
      </c>
    </row>
    <row r="47" spans="1:13" x14ac:dyDescent="0.2">
      <c r="H47" s="460" t="s">
        <v>821</v>
      </c>
      <c r="I47" s="461" t="s">
        <v>786</v>
      </c>
      <c r="J47" s="462">
        <v>5.8799999999999998E-2</v>
      </c>
      <c r="K47" s="462">
        <v>8.3500000000000005E-2</v>
      </c>
      <c r="L47" s="463">
        <v>0.13350000000000001</v>
      </c>
      <c r="M47" s="462">
        <v>0.3</v>
      </c>
    </row>
    <row r="48" spans="1:13" x14ac:dyDescent="0.2">
      <c r="H48" s="460" t="s">
        <v>822</v>
      </c>
      <c r="I48" s="461" t="s">
        <v>773</v>
      </c>
      <c r="J48" s="462">
        <v>3.85E-2</v>
      </c>
      <c r="K48" s="462">
        <v>5.4600000000000003E-2</v>
      </c>
      <c r="L48" s="463">
        <v>0.1046</v>
      </c>
      <c r="M48" s="462">
        <v>0.25</v>
      </c>
    </row>
    <row r="49" spans="8:13" x14ac:dyDescent="0.2">
      <c r="H49" s="460" t="s">
        <v>823</v>
      </c>
      <c r="I49" s="461" t="s">
        <v>764</v>
      </c>
      <c r="J49" s="462">
        <v>2.0400000000000001E-2</v>
      </c>
      <c r="K49" s="462">
        <v>2.8899999999999999E-2</v>
      </c>
      <c r="L49" s="463">
        <v>7.8899999999999998E-2</v>
      </c>
      <c r="M49" s="462">
        <v>0.18</v>
      </c>
    </row>
    <row r="50" spans="8:13" x14ac:dyDescent="0.2">
      <c r="H50" s="460" t="s">
        <v>824</v>
      </c>
      <c r="I50" s="461" t="s">
        <v>770</v>
      </c>
      <c r="J50" s="462">
        <v>0.12839999999999999</v>
      </c>
      <c r="K50" s="462">
        <v>0.18210000000000001</v>
      </c>
      <c r="L50" s="463">
        <v>0.2321</v>
      </c>
      <c r="M50" s="462">
        <v>0.27179999999999999</v>
      </c>
    </row>
    <row r="51" spans="8:13" x14ac:dyDescent="0.2">
      <c r="H51" s="460" t="s">
        <v>825</v>
      </c>
      <c r="I51" s="461" t="s">
        <v>764</v>
      </c>
      <c r="J51" s="462">
        <v>2.0400000000000001E-2</v>
      </c>
      <c r="K51" s="462">
        <v>2.8899999999999999E-2</v>
      </c>
      <c r="L51" s="463">
        <v>7.8899999999999998E-2</v>
      </c>
      <c r="M51" s="462">
        <v>0.22</v>
      </c>
    </row>
    <row r="52" spans="8:13" x14ac:dyDescent="0.2">
      <c r="H52" s="460" t="s">
        <v>826</v>
      </c>
      <c r="I52" s="461" t="s">
        <v>783</v>
      </c>
      <c r="J52" s="462">
        <v>2.6800000000000001E-2</v>
      </c>
      <c r="K52" s="462">
        <v>3.7999999999999999E-2</v>
      </c>
      <c r="L52" s="463">
        <v>8.7999999999999995E-2</v>
      </c>
      <c r="M52" s="462">
        <v>0.125</v>
      </c>
    </row>
    <row r="53" spans="8:13" x14ac:dyDescent="0.2">
      <c r="H53" s="460" t="s">
        <v>827</v>
      </c>
      <c r="I53" s="461" t="s">
        <v>792</v>
      </c>
      <c r="J53" s="462">
        <v>6.4000000000000003E-3</v>
      </c>
      <c r="K53" s="462">
        <v>9.1000000000000004E-3</v>
      </c>
      <c r="L53" s="463">
        <v>5.91E-2</v>
      </c>
      <c r="M53" s="462">
        <v>0.19</v>
      </c>
    </row>
    <row r="54" spans="8:13" x14ac:dyDescent="0.2">
      <c r="H54" s="460" t="s">
        <v>828</v>
      </c>
      <c r="I54" s="461" t="s">
        <v>778</v>
      </c>
      <c r="J54" s="462">
        <v>0</v>
      </c>
      <c r="K54" s="462">
        <v>0</v>
      </c>
      <c r="L54" s="463">
        <v>0.05</v>
      </c>
      <c r="M54" s="462">
        <v>0.22</v>
      </c>
    </row>
    <row r="55" spans="8:13" x14ac:dyDescent="0.2">
      <c r="H55" s="460" t="s">
        <v>829</v>
      </c>
      <c r="I55" s="461" t="s">
        <v>773</v>
      </c>
      <c r="J55" s="462">
        <v>3.85E-2</v>
      </c>
      <c r="K55" s="462">
        <v>5.4600000000000003E-2</v>
      </c>
      <c r="L55" s="463">
        <v>0.1046</v>
      </c>
      <c r="M55" s="462">
        <v>0.27</v>
      </c>
    </row>
    <row r="56" spans="8:13" x14ac:dyDescent="0.2">
      <c r="H56" s="460" t="s">
        <v>830</v>
      </c>
      <c r="I56" s="461" t="s">
        <v>831</v>
      </c>
      <c r="J56" s="462">
        <v>0.107</v>
      </c>
      <c r="K56" s="462">
        <v>0.15179999999999999</v>
      </c>
      <c r="L56" s="463">
        <v>0.20180000000000001</v>
      </c>
      <c r="M56" s="462">
        <v>0.25</v>
      </c>
    </row>
    <row r="57" spans="8:13" x14ac:dyDescent="0.2">
      <c r="H57" s="460" t="s">
        <v>832</v>
      </c>
      <c r="I57" s="461" t="s">
        <v>767</v>
      </c>
      <c r="J57" s="462">
        <v>6.9500000000000006E-2</v>
      </c>
      <c r="K57" s="462">
        <v>9.8599999999999993E-2</v>
      </c>
      <c r="L57" s="463">
        <v>0.14860000000000001</v>
      </c>
      <c r="M57" s="462">
        <v>0.22500000000000001</v>
      </c>
    </row>
    <row r="58" spans="8:13" x14ac:dyDescent="0.2">
      <c r="H58" s="460" t="s">
        <v>833</v>
      </c>
      <c r="I58" s="461" t="s">
        <v>831</v>
      </c>
      <c r="J58" s="462">
        <v>0.107</v>
      </c>
      <c r="K58" s="462">
        <v>0.15179999999999999</v>
      </c>
      <c r="L58" s="463">
        <v>0.20180000000000001</v>
      </c>
      <c r="M58" s="462">
        <v>0.3</v>
      </c>
    </row>
    <row r="59" spans="8:13" x14ac:dyDescent="0.2">
      <c r="H59" s="460" t="s">
        <v>834</v>
      </c>
      <c r="I59" s="461" t="s">
        <v>816</v>
      </c>
      <c r="J59" s="462">
        <v>7.4999999999999997E-3</v>
      </c>
      <c r="K59" s="462">
        <v>1.0699999999999999E-2</v>
      </c>
      <c r="L59" s="463">
        <v>6.0699999999999997E-2</v>
      </c>
      <c r="M59" s="462">
        <v>0.2</v>
      </c>
    </row>
    <row r="60" spans="8:13" x14ac:dyDescent="0.2">
      <c r="H60" s="460" t="s">
        <v>835</v>
      </c>
      <c r="I60" s="461" t="s">
        <v>794</v>
      </c>
      <c r="J60" s="462">
        <v>9.6299999999999997E-2</v>
      </c>
      <c r="K60" s="462">
        <v>0.1366</v>
      </c>
      <c r="L60" s="463">
        <v>0.18659999999999999</v>
      </c>
      <c r="M60" s="462">
        <v>0.3</v>
      </c>
    </row>
    <row r="61" spans="8:13" x14ac:dyDescent="0.2">
      <c r="H61" s="460" t="s">
        <v>836</v>
      </c>
      <c r="I61" s="461" t="s">
        <v>759</v>
      </c>
      <c r="J61" s="462">
        <v>4.82E-2</v>
      </c>
      <c r="K61" s="462">
        <v>6.83E-2</v>
      </c>
      <c r="L61" s="463">
        <v>0.1183</v>
      </c>
      <c r="M61" s="462">
        <v>0.2</v>
      </c>
    </row>
    <row r="62" spans="8:13" x14ac:dyDescent="0.2">
      <c r="H62" s="460" t="s">
        <v>837</v>
      </c>
      <c r="I62" s="461" t="s">
        <v>781</v>
      </c>
      <c r="J62" s="462">
        <v>4.3E-3</v>
      </c>
      <c r="K62" s="462">
        <v>6.1000000000000004E-3</v>
      </c>
      <c r="L62" s="463">
        <v>5.6099999999999997E-2</v>
      </c>
      <c r="M62" s="462">
        <v>0.2</v>
      </c>
    </row>
    <row r="63" spans="8:13" x14ac:dyDescent="0.2">
      <c r="H63" s="460" t="s">
        <v>838</v>
      </c>
      <c r="I63" s="461" t="s">
        <v>757</v>
      </c>
      <c r="J63" s="462">
        <v>5.3E-3</v>
      </c>
      <c r="K63" s="462">
        <v>7.4999999999999997E-3</v>
      </c>
      <c r="L63" s="463">
        <v>5.7500000000000002E-2</v>
      </c>
      <c r="M63" s="462">
        <v>0.25</v>
      </c>
    </row>
    <row r="64" spans="8:13" x14ac:dyDescent="0.2">
      <c r="H64" s="460" t="s">
        <v>839</v>
      </c>
      <c r="I64" s="461" t="s">
        <v>789</v>
      </c>
      <c r="J64" s="462">
        <v>8.0199999999999994E-2</v>
      </c>
      <c r="K64" s="462">
        <v>0.1138</v>
      </c>
      <c r="L64" s="463">
        <v>0.1638</v>
      </c>
      <c r="M64" s="462">
        <v>0.3</v>
      </c>
    </row>
    <row r="65" spans="8:13" x14ac:dyDescent="0.2">
      <c r="H65" s="460" t="s">
        <v>840</v>
      </c>
      <c r="I65" s="461" t="s">
        <v>762</v>
      </c>
      <c r="J65" s="462">
        <v>5.8799999999999998E-2</v>
      </c>
      <c r="K65" s="462">
        <v>8.3500000000000005E-2</v>
      </c>
      <c r="L65" s="463">
        <v>0.13350000000000001</v>
      </c>
      <c r="M65" s="462">
        <v>0.31</v>
      </c>
    </row>
    <row r="66" spans="8:13" x14ac:dyDescent="0.2">
      <c r="H66" s="460" t="s">
        <v>841</v>
      </c>
      <c r="I66" s="461" t="s">
        <v>804</v>
      </c>
      <c r="J66" s="462">
        <v>3.2199999999999999E-2</v>
      </c>
      <c r="K66" s="462">
        <v>4.5699999999999998E-2</v>
      </c>
      <c r="L66" s="463">
        <v>9.5699999999999993E-2</v>
      </c>
      <c r="M66" s="462">
        <v>0.15</v>
      </c>
    </row>
    <row r="67" spans="8:13" x14ac:dyDescent="0.2">
      <c r="H67" s="460" t="s">
        <v>842</v>
      </c>
      <c r="I67" s="461" t="s">
        <v>778</v>
      </c>
      <c r="J67" s="462">
        <v>0</v>
      </c>
      <c r="K67" s="462">
        <v>0</v>
      </c>
      <c r="L67" s="463">
        <v>0.05</v>
      </c>
      <c r="M67" s="462">
        <v>0.3</v>
      </c>
    </row>
    <row r="68" spans="8:13" x14ac:dyDescent="0.2">
      <c r="H68" s="460" t="s">
        <v>843</v>
      </c>
      <c r="I68" s="461" t="s">
        <v>770</v>
      </c>
      <c r="J68" s="462">
        <v>0.12839999999999999</v>
      </c>
      <c r="K68" s="462">
        <v>0.18210000000000001</v>
      </c>
      <c r="L68" s="463">
        <v>0.2321</v>
      </c>
      <c r="M68" s="462">
        <v>0.25</v>
      </c>
    </row>
    <row r="69" spans="8:13" x14ac:dyDescent="0.2">
      <c r="H69" s="460" t="s">
        <v>844</v>
      </c>
      <c r="I69" s="461" t="s">
        <v>773</v>
      </c>
      <c r="J69" s="462">
        <v>3.85E-2</v>
      </c>
      <c r="K69" s="462">
        <v>5.4600000000000003E-2</v>
      </c>
      <c r="L69" s="463">
        <v>0.1046</v>
      </c>
      <c r="M69" s="462">
        <v>0.22</v>
      </c>
    </row>
    <row r="70" spans="8:13" x14ac:dyDescent="0.2">
      <c r="H70" s="460" t="s">
        <v>845</v>
      </c>
      <c r="I70" s="461" t="s">
        <v>783</v>
      </c>
      <c r="J70" s="462">
        <v>2.6800000000000001E-2</v>
      </c>
      <c r="K70" s="462">
        <v>3.7999999999999999E-2</v>
      </c>
      <c r="L70" s="463">
        <v>8.7999999999999995E-2</v>
      </c>
      <c r="M70" s="462">
        <v>0.25</v>
      </c>
    </row>
    <row r="71" spans="8:13" x14ac:dyDescent="0.2">
      <c r="H71" s="460" t="s">
        <v>846</v>
      </c>
      <c r="I71" s="461" t="s">
        <v>757</v>
      </c>
      <c r="J71" s="462">
        <v>5.3E-3</v>
      </c>
      <c r="K71" s="462">
        <v>7.4999999999999997E-3</v>
      </c>
      <c r="L71" s="463">
        <v>5.7500000000000002E-2</v>
      </c>
      <c r="M71" s="462">
        <v>0</v>
      </c>
    </row>
    <row r="72" spans="8:13" x14ac:dyDescent="0.2">
      <c r="H72" s="460" t="s">
        <v>847</v>
      </c>
      <c r="I72" s="461" t="s">
        <v>762</v>
      </c>
      <c r="J72" s="462">
        <v>9.6299999999999997E-2</v>
      </c>
      <c r="K72" s="462">
        <v>0.1366</v>
      </c>
      <c r="L72" s="463">
        <v>0.18659999999999999</v>
      </c>
      <c r="M72" s="462">
        <v>0.29149999999999998</v>
      </c>
    </row>
    <row r="73" spans="8:13" x14ac:dyDescent="0.2">
      <c r="H73" s="460" t="s">
        <v>848</v>
      </c>
      <c r="I73" s="461" t="s">
        <v>762</v>
      </c>
      <c r="J73" s="462">
        <v>5.8799999999999998E-2</v>
      </c>
      <c r="K73" s="462">
        <v>8.3500000000000005E-2</v>
      </c>
      <c r="L73" s="463">
        <v>0.13350000000000001</v>
      </c>
      <c r="M73" s="462">
        <v>0.29149999999999998</v>
      </c>
    </row>
    <row r="74" spans="8:13" x14ac:dyDescent="0.2">
      <c r="H74" s="460" t="s">
        <v>849</v>
      </c>
      <c r="I74" s="461" t="s">
        <v>762</v>
      </c>
      <c r="J74" s="462">
        <v>1.7100000000000001E-2</v>
      </c>
      <c r="K74" s="462">
        <v>2.4299999999999999E-2</v>
      </c>
      <c r="L74" s="463">
        <v>7.4300000000000005E-2</v>
      </c>
      <c r="M74" s="462">
        <v>0.18640000000000001</v>
      </c>
    </row>
    <row r="75" spans="8:13" x14ac:dyDescent="0.2">
      <c r="H75" s="460" t="s">
        <v>850</v>
      </c>
      <c r="I75" s="461" t="s">
        <v>762</v>
      </c>
      <c r="J75" s="462">
        <v>0.12839999999999999</v>
      </c>
      <c r="K75" s="462">
        <v>0.18210000000000001</v>
      </c>
      <c r="L75" s="463">
        <v>0.2321</v>
      </c>
      <c r="M75" s="462">
        <v>0.18640000000000001</v>
      </c>
    </row>
    <row r="76" spans="8:13" x14ac:dyDescent="0.2">
      <c r="H76" s="460" t="s">
        <v>851</v>
      </c>
      <c r="I76" s="461" t="s">
        <v>759</v>
      </c>
      <c r="J76" s="462">
        <v>4.82E-2</v>
      </c>
      <c r="K76" s="462">
        <v>6.83E-2</v>
      </c>
      <c r="L76" s="463">
        <v>0.1183</v>
      </c>
      <c r="M76" s="462">
        <v>0.25</v>
      </c>
    </row>
    <row r="77" spans="8:13" x14ac:dyDescent="0.2">
      <c r="H77" s="460" t="s">
        <v>852</v>
      </c>
      <c r="I77" s="461" t="s">
        <v>792</v>
      </c>
      <c r="J77" s="462">
        <v>6.4000000000000003E-3</v>
      </c>
      <c r="K77" s="462">
        <v>9.1000000000000004E-3</v>
      </c>
      <c r="L77" s="463">
        <v>5.91E-2</v>
      </c>
      <c r="M77" s="462">
        <v>0.16500000000000001</v>
      </c>
    </row>
    <row r="78" spans="8:13" x14ac:dyDescent="0.2">
      <c r="H78" s="460" t="s">
        <v>853</v>
      </c>
      <c r="I78" s="461" t="s">
        <v>764</v>
      </c>
      <c r="J78" s="462">
        <v>2.0400000000000001E-2</v>
      </c>
      <c r="K78" s="462">
        <v>2.8899999999999999E-2</v>
      </c>
      <c r="L78" s="463">
        <v>7.8899999999999998E-2</v>
      </c>
      <c r="M78" s="462">
        <v>0.09</v>
      </c>
    </row>
    <row r="79" spans="8:13" x14ac:dyDescent="0.2">
      <c r="H79" s="460" t="s">
        <v>854</v>
      </c>
      <c r="I79" s="461" t="s">
        <v>797</v>
      </c>
      <c r="J79" s="462">
        <v>9.1000000000000004E-3</v>
      </c>
      <c r="K79" s="462">
        <v>1.2800000000000001E-2</v>
      </c>
      <c r="L79" s="463">
        <v>6.2799999999999995E-2</v>
      </c>
      <c r="M79" s="462">
        <v>0.2</v>
      </c>
    </row>
    <row r="80" spans="8:13" x14ac:dyDescent="0.2">
      <c r="H80" s="460" t="s">
        <v>855</v>
      </c>
      <c r="I80" s="461" t="s">
        <v>856</v>
      </c>
      <c r="J80" s="462">
        <v>2.35E-2</v>
      </c>
      <c r="K80" s="462">
        <v>3.3300000000000003E-2</v>
      </c>
      <c r="L80" s="463">
        <v>8.3299999999999999E-2</v>
      </c>
      <c r="M80" s="462">
        <v>0.3</v>
      </c>
    </row>
    <row r="81" spans="8:13" x14ac:dyDescent="0.2">
      <c r="H81" s="486" t="s">
        <v>857</v>
      </c>
      <c r="I81" s="487" t="s">
        <v>764</v>
      </c>
      <c r="J81" s="488">
        <v>2.0400000000000001E-2</v>
      </c>
      <c r="K81" s="488">
        <v>2.8899999999999999E-2</v>
      </c>
      <c r="L81" s="488">
        <v>7.8899999999999998E-2</v>
      </c>
      <c r="M81" s="488">
        <v>0.22</v>
      </c>
    </row>
    <row r="82" spans="8:13" x14ac:dyDescent="0.2">
      <c r="H82" s="460" t="s">
        <v>858</v>
      </c>
      <c r="I82" s="461" t="s">
        <v>762</v>
      </c>
      <c r="J82" s="462">
        <v>6.9500000000000006E-2</v>
      </c>
      <c r="K82" s="462">
        <v>9.8599999999999993E-2</v>
      </c>
      <c r="L82" s="463">
        <v>0.14860000000000001</v>
      </c>
      <c r="M82" s="462">
        <v>0.20230000000000001</v>
      </c>
    </row>
    <row r="83" spans="8:13" x14ac:dyDescent="0.2">
      <c r="H83" s="460" t="s">
        <v>859</v>
      </c>
      <c r="I83" s="461" t="s">
        <v>789</v>
      </c>
      <c r="J83" s="462">
        <v>8.0199999999999994E-2</v>
      </c>
      <c r="K83" s="462">
        <v>0.1138</v>
      </c>
      <c r="L83" s="463">
        <v>0.1638</v>
      </c>
      <c r="M83" s="462">
        <v>0.15</v>
      </c>
    </row>
    <row r="84" spans="8:13" x14ac:dyDescent="0.2">
      <c r="H84" s="460" t="s">
        <v>860</v>
      </c>
      <c r="I84" s="461" t="s">
        <v>792</v>
      </c>
      <c r="J84" s="462">
        <v>6.4000000000000003E-3</v>
      </c>
      <c r="K84" s="462">
        <v>9.1000000000000004E-3</v>
      </c>
      <c r="L84" s="463">
        <v>5.91E-2</v>
      </c>
      <c r="M84" s="462">
        <v>0.125</v>
      </c>
    </row>
    <row r="85" spans="8:13" x14ac:dyDescent="0.2">
      <c r="H85" s="460" t="s">
        <v>861</v>
      </c>
      <c r="I85" s="461" t="s">
        <v>792</v>
      </c>
      <c r="J85" s="462">
        <v>6.4000000000000003E-3</v>
      </c>
      <c r="K85" s="462">
        <v>9.1000000000000004E-3</v>
      </c>
      <c r="L85" s="463">
        <v>5.91E-2</v>
      </c>
      <c r="M85" s="462">
        <v>0</v>
      </c>
    </row>
    <row r="86" spans="8:13" x14ac:dyDescent="0.2">
      <c r="H86" s="460" t="s">
        <v>862</v>
      </c>
      <c r="I86" s="461" t="s">
        <v>816</v>
      </c>
      <c r="J86" s="462">
        <v>7.4999999999999997E-3</v>
      </c>
      <c r="K86" s="462">
        <v>1.0699999999999999E-2</v>
      </c>
      <c r="L86" s="463">
        <v>6.0699999999999997E-2</v>
      </c>
      <c r="M86" s="462">
        <v>0.23</v>
      </c>
    </row>
    <row r="87" spans="8:13" x14ac:dyDescent="0.2">
      <c r="H87" s="460" t="s">
        <v>863</v>
      </c>
      <c r="I87" s="461" t="s">
        <v>856</v>
      </c>
      <c r="J87" s="462">
        <v>2.35E-2</v>
      </c>
      <c r="K87" s="462">
        <v>3.3300000000000003E-2</v>
      </c>
      <c r="L87" s="463">
        <v>8.3299999999999999E-2</v>
      </c>
      <c r="M87" s="462">
        <v>0.24</v>
      </c>
    </row>
    <row r="88" spans="8:13" x14ac:dyDescent="0.2">
      <c r="H88" s="460" t="s">
        <v>864</v>
      </c>
      <c r="I88" s="461" t="s">
        <v>786</v>
      </c>
      <c r="J88" s="462">
        <v>5.8799999999999998E-2</v>
      </c>
      <c r="K88" s="462">
        <v>8.3500000000000005E-2</v>
      </c>
      <c r="L88" s="463">
        <v>0.13350000000000001</v>
      </c>
      <c r="M88" s="462">
        <v>0.25</v>
      </c>
    </row>
    <row r="89" spans="8:13" x14ac:dyDescent="0.2">
      <c r="H89" s="460" t="s">
        <v>865</v>
      </c>
      <c r="I89" s="461" t="s">
        <v>816</v>
      </c>
      <c r="J89" s="462">
        <v>7.4999999999999997E-3</v>
      </c>
      <c r="K89" s="462">
        <v>1.0699999999999999E-2</v>
      </c>
      <c r="L89" s="463">
        <v>6.0699999999999997E-2</v>
      </c>
      <c r="M89" s="462">
        <v>0.23200000000000001</v>
      </c>
    </row>
    <row r="90" spans="8:13" x14ac:dyDescent="0.2">
      <c r="H90" s="460" t="s">
        <v>866</v>
      </c>
      <c r="I90" s="461" t="s">
        <v>792</v>
      </c>
      <c r="J90" s="462">
        <v>6.4000000000000003E-3</v>
      </c>
      <c r="K90" s="462">
        <v>9.1000000000000004E-3</v>
      </c>
      <c r="L90" s="463">
        <v>5.91E-2</v>
      </c>
      <c r="M90" s="462">
        <v>0</v>
      </c>
    </row>
    <row r="91" spans="8:13" x14ac:dyDescent="0.2">
      <c r="H91" s="460" t="s">
        <v>867</v>
      </c>
      <c r="I91" s="461" t="s">
        <v>759</v>
      </c>
      <c r="J91" s="462">
        <v>4.82E-2</v>
      </c>
      <c r="K91" s="462">
        <v>6.83E-2</v>
      </c>
      <c r="L91" s="463">
        <v>0.1183</v>
      </c>
      <c r="M91" s="462">
        <v>0.2</v>
      </c>
    </row>
    <row r="92" spans="8:13" x14ac:dyDescent="0.2">
      <c r="H92" s="460" t="s">
        <v>868</v>
      </c>
      <c r="I92" s="461" t="s">
        <v>764</v>
      </c>
      <c r="J92" s="462">
        <v>2.0400000000000001E-2</v>
      </c>
      <c r="K92" s="462">
        <v>2.8899999999999999E-2</v>
      </c>
      <c r="L92" s="463">
        <v>7.8899999999999998E-2</v>
      </c>
      <c r="M92" s="462">
        <v>0.2</v>
      </c>
    </row>
    <row r="93" spans="8:13" x14ac:dyDescent="0.2">
      <c r="H93" s="460" t="s">
        <v>869</v>
      </c>
      <c r="I93" s="461" t="s">
        <v>767</v>
      </c>
      <c r="J93" s="462">
        <v>6.9500000000000006E-2</v>
      </c>
      <c r="K93" s="462">
        <v>9.8599999999999993E-2</v>
      </c>
      <c r="L93" s="463">
        <v>0.14860000000000001</v>
      </c>
      <c r="M93" s="462">
        <v>0.3</v>
      </c>
    </row>
    <row r="94" spans="8:13" x14ac:dyDescent="0.2">
      <c r="H94" s="460" t="s">
        <v>870</v>
      </c>
      <c r="I94" s="461" t="s">
        <v>757</v>
      </c>
      <c r="J94" s="462">
        <v>5.3E-3</v>
      </c>
      <c r="K94" s="462">
        <v>7.4999999999999997E-3</v>
      </c>
      <c r="L94" s="463">
        <v>5.7500000000000002E-2</v>
      </c>
      <c r="M94" s="462">
        <v>0.25</v>
      </c>
    </row>
    <row r="95" spans="8:13" x14ac:dyDescent="0.2">
      <c r="H95" s="460" t="s">
        <v>871</v>
      </c>
      <c r="I95" s="461" t="s">
        <v>762</v>
      </c>
      <c r="J95" s="462">
        <v>0.12839999999999999</v>
      </c>
      <c r="K95" s="462">
        <v>0.18210000000000001</v>
      </c>
      <c r="L95" s="463">
        <v>0.2321</v>
      </c>
      <c r="M95" s="462">
        <v>0.23100000000000001</v>
      </c>
    </row>
    <row r="96" spans="8:13" x14ac:dyDescent="0.2">
      <c r="H96" s="460" t="s">
        <v>872</v>
      </c>
      <c r="I96" s="461" t="s">
        <v>816</v>
      </c>
      <c r="J96" s="462">
        <v>7.4999999999999997E-3</v>
      </c>
      <c r="K96" s="462">
        <v>1.0699999999999999E-2</v>
      </c>
      <c r="L96" s="463">
        <v>6.0699999999999997E-2</v>
      </c>
      <c r="M96" s="462">
        <v>0.15</v>
      </c>
    </row>
    <row r="97" spans="8:13" x14ac:dyDescent="0.2">
      <c r="H97" s="460" t="s">
        <v>873</v>
      </c>
      <c r="I97" s="461" t="s">
        <v>767</v>
      </c>
      <c r="J97" s="462">
        <v>6.9500000000000006E-2</v>
      </c>
      <c r="K97" s="462">
        <v>9.8599999999999993E-2</v>
      </c>
      <c r="L97" s="463">
        <v>0.14860000000000001</v>
      </c>
      <c r="M97" s="462">
        <v>0.1</v>
      </c>
    </row>
    <row r="98" spans="8:13" x14ac:dyDescent="0.2">
      <c r="H98" s="460" t="s">
        <v>874</v>
      </c>
      <c r="I98" s="461" t="s">
        <v>831</v>
      </c>
      <c r="J98" s="462">
        <v>0.107</v>
      </c>
      <c r="K98" s="462">
        <v>0.15179999999999999</v>
      </c>
      <c r="L98" s="463">
        <v>0.20180000000000001</v>
      </c>
      <c r="M98" s="462">
        <v>0.2281</v>
      </c>
    </row>
    <row r="99" spans="8:13" x14ac:dyDescent="0.2">
      <c r="H99" s="460" t="s">
        <v>875</v>
      </c>
      <c r="I99" s="461" t="s">
        <v>802</v>
      </c>
      <c r="J99" s="462">
        <v>1.2800000000000001E-2</v>
      </c>
      <c r="K99" s="462">
        <v>1.8200000000000001E-2</v>
      </c>
      <c r="L99" s="463">
        <v>6.8199999999999997E-2</v>
      </c>
      <c r="M99" s="462">
        <v>0.2</v>
      </c>
    </row>
    <row r="100" spans="8:13" x14ac:dyDescent="0.2">
      <c r="H100" s="460" t="s">
        <v>876</v>
      </c>
      <c r="I100" s="461" t="s">
        <v>567</v>
      </c>
      <c r="J100" s="462">
        <v>0.17499999999999999</v>
      </c>
      <c r="K100" s="462">
        <v>0.2482</v>
      </c>
      <c r="L100" s="463">
        <v>0.29820000000000002</v>
      </c>
      <c r="M100" s="462">
        <v>0.17</v>
      </c>
    </row>
    <row r="101" spans="8:13" x14ac:dyDescent="0.2">
      <c r="H101" s="460" t="s">
        <v>877</v>
      </c>
      <c r="I101" s="461" t="s">
        <v>762</v>
      </c>
      <c r="J101" s="462">
        <v>0.107</v>
      </c>
      <c r="K101" s="462">
        <v>0.15179999999999999</v>
      </c>
      <c r="L101" s="463">
        <v>0.20180000000000001</v>
      </c>
      <c r="M101" s="462">
        <v>0.29149999999999998</v>
      </c>
    </row>
    <row r="102" spans="8:13" x14ac:dyDescent="0.2">
      <c r="H102" s="460" t="s">
        <v>878</v>
      </c>
      <c r="I102" s="461" t="s">
        <v>762</v>
      </c>
      <c r="J102" s="462">
        <v>2.0400000000000001E-2</v>
      </c>
      <c r="K102" s="462">
        <v>2.8899999999999999E-2</v>
      </c>
      <c r="L102" s="463">
        <v>7.8899999999999998E-2</v>
      </c>
      <c r="M102" s="462">
        <v>0.2</v>
      </c>
    </row>
    <row r="103" spans="8:13" x14ac:dyDescent="0.2">
      <c r="H103" s="460" t="s">
        <v>879</v>
      </c>
      <c r="I103" s="461" t="s">
        <v>778</v>
      </c>
      <c r="J103" s="462">
        <v>0</v>
      </c>
      <c r="K103" s="462">
        <v>0</v>
      </c>
      <c r="L103" s="463">
        <v>0.05</v>
      </c>
      <c r="M103" s="462">
        <v>0.125</v>
      </c>
    </row>
    <row r="104" spans="8:13" x14ac:dyDescent="0.2">
      <c r="H104" s="460" t="s">
        <v>880</v>
      </c>
      <c r="I104" s="461" t="s">
        <v>797</v>
      </c>
      <c r="J104" s="462">
        <v>9.1000000000000004E-3</v>
      </c>
      <c r="K104" s="462">
        <v>1.2800000000000001E-2</v>
      </c>
      <c r="L104" s="463">
        <v>6.2799999999999995E-2</v>
      </c>
      <c r="M104" s="462">
        <v>0.15</v>
      </c>
    </row>
    <row r="105" spans="8:13" x14ac:dyDescent="0.2">
      <c r="H105" s="460" t="s">
        <v>881</v>
      </c>
      <c r="I105" s="461" t="s">
        <v>778</v>
      </c>
      <c r="J105" s="462">
        <v>0</v>
      </c>
      <c r="K105" s="462">
        <v>0</v>
      </c>
      <c r="L105" s="463">
        <v>0.05</v>
      </c>
      <c r="M105" s="462">
        <v>0.24940000000000001</v>
      </c>
    </row>
    <row r="106" spans="8:13" x14ac:dyDescent="0.2">
      <c r="H106" s="460" t="s">
        <v>882</v>
      </c>
      <c r="I106" s="461" t="s">
        <v>792</v>
      </c>
      <c r="J106" s="462">
        <v>6.4000000000000003E-3</v>
      </c>
      <c r="K106" s="462">
        <v>9.1000000000000004E-3</v>
      </c>
      <c r="L106" s="463">
        <v>5.91E-2</v>
      </c>
      <c r="M106" s="462">
        <v>0.2281</v>
      </c>
    </row>
    <row r="107" spans="8:13" x14ac:dyDescent="0.2">
      <c r="H107" s="460" t="s">
        <v>883</v>
      </c>
      <c r="I107" s="461" t="s">
        <v>773</v>
      </c>
      <c r="J107" s="462">
        <v>3.85E-2</v>
      </c>
      <c r="K107" s="462">
        <v>5.4600000000000003E-2</v>
      </c>
      <c r="L107" s="463">
        <v>0.1046</v>
      </c>
      <c r="M107" s="462">
        <v>0.1</v>
      </c>
    </row>
    <row r="108" spans="8:13" x14ac:dyDescent="0.2">
      <c r="H108" s="460" t="s">
        <v>884</v>
      </c>
      <c r="I108" s="461" t="s">
        <v>762</v>
      </c>
      <c r="J108" s="462">
        <v>6.9500000000000006E-2</v>
      </c>
      <c r="K108" s="462">
        <v>9.8599999999999993E-2</v>
      </c>
      <c r="L108" s="463">
        <v>0.14860000000000001</v>
      </c>
      <c r="M108" s="462">
        <v>0.2</v>
      </c>
    </row>
    <row r="109" spans="8:13" x14ac:dyDescent="0.2">
      <c r="H109" s="460" t="s">
        <v>885</v>
      </c>
      <c r="I109" s="461" t="s">
        <v>762</v>
      </c>
      <c r="J109" s="462">
        <v>0.12839999999999999</v>
      </c>
      <c r="K109" s="462">
        <v>0.18210000000000001</v>
      </c>
      <c r="L109" s="463">
        <v>0.2321</v>
      </c>
      <c r="M109" s="462">
        <v>0.3</v>
      </c>
    </row>
    <row r="110" spans="8:13" x14ac:dyDescent="0.2">
      <c r="H110" s="460" t="s">
        <v>886</v>
      </c>
      <c r="I110" s="461" t="s">
        <v>802</v>
      </c>
      <c r="J110" s="462">
        <v>1.2800000000000001E-2</v>
      </c>
      <c r="K110" s="462">
        <v>1.8200000000000001E-2</v>
      </c>
      <c r="L110" s="463">
        <v>6.8199999999999997E-2</v>
      </c>
      <c r="M110" s="462">
        <v>0.24</v>
      </c>
    </row>
    <row r="111" spans="8:13" x14ac:dyDescent="0.2">
      <c r="H111" s="460" t="s">
        <v>887</v>
      </c>
      <c r="I111" s="461" t="s">
        <v>789</v>
      </c>
      <c r="J111" s="462">
        <v>8.0199999999999994E-2</v>
      </c>
      <c r="K111" s="462">
        <v>0.1138</v>
      </c>
      <c r="L111" s="463">
        <v>0.1638</v>
      </c>
      <c r="M111" s="462">
        <v>0.2281</v>
      </c>
    </row>
    <row r="112" spans="8:13" x14ac:dyDescent="0.2">
      <c r="H112" s="460" t="s">
        <v>888</v>
      </c>
      <c r="I112" s="461" t="s">
        <v>794</v>
      </c>
      <c r="J112" s="462">
        <v>9.6299999999999997E-2</v>
      </c>
      <c r="K112" s="462">
        <v>0.1366</v>
      </c>
      <c r="L112" s="463">
        <v>0.18659999999999999</v>
      </c>
      <c r="M112" s="462">
        <v>0.2281</v>
      </c>
    </row>
    <row r="113" spans="8:13" x14ac:dyDescent="0.2">
      <c r="H113" s="460" t="s">
        <v>889</v>
      </c>
      <c r="I113" s="461" t="s">
        <v>797</v>
      </c>
      <c r="J113" s="462">
        <v>9.1000000000000004E-3</v>
      </c>
      <c r="K113" s="462">
        <v>1.2800000000000001E-2</v>
      </c>
      <c r="L113" s="463">
        <v>6.2799999999999995E-2</v>
      </c>
      <c r="M113" s="462">
        <v>0.35</v>
      </c>
    </row>
    <row r="114" spans="8:13" x14ac:dyDescent="0.2">
      <c r="H114" s="460" t="s">
        <v>890</v>
      </c>
      <c r="I114" s="461" t="s">
        <v>856</v>
      </c>
      <c r="J114" s="462">
        <v>2.35E-2</v>
      </c>
      <c r="K114" s="462">
        <v>3.3300000000000003E-2</v>
      </c>
      <c r="L114" s="463">
        <v>8.3299999999999999E-2</v>
      </c>
      <c r="M114" s="462">
        <v>0.15</v>
      </c>
    </row>
    <row r="115" spans="8:13" x14ac:dyDescent="0.2">
      <c r="H115" s="460" t="s">
        <v>891</v>
      </c>
      <c r="I115" s="461" t="s">
        <v>764</v>
      </c>
      <c r="J115" s="462">
        <v>2.0400000000000001E-2</v>
      </c>
      <c r="K115" s="462">
        <v>2.8899999999999999E-2</v>
      </c>
      <c r="L115" s="463">
        <v>7.8899999999999998E-2</v>
      </c>
      <c r="M115" s="462">
        <v>0.3</v>
      </c>
    </row>
    <row r="116" spans="8:13" x14ac:dyDescent="0.2">
      <c r="H116" s="460" t="s">
        <v>892</v>
      </c>
      <c r="I116" s="461" t="s">
        <v>767</v>
      </c>
      <c r="J116" s="462">
        <v>6.9500000000000006E-2</v>
      </c>
      <c r="K116" s="462">
        <v>9.8599999999999993E-2</v>
      </c>
      <c r="L116" s="463">
        <v>0.14860000000000001</v>
      </c>
      <c r="M116" s="462">
        <v>0.12</v>
      </c>
    </row>
    <row r="117" spans="8:13" x14ac:dyDescent="0.2">
      <c r="H117" s="460" t="s">
        <v>893</v>
      </c>
      <c r="I117" s="461" t="s">
        <v>767</v>
      </c>
      <c r="J117" s="462">
        <v>6.9500000000000006E-2</v>
      </c>
      <c r="K117" s="462">
        <v>9.8599999999999993E-2</v>
      </c>
      <c r="L117" s="463">
        <v>0.14860000000000001</v>
      </c>
      <c r="M117" s="462">
        <v>0.25</v>
      </c>
    </row>
    <row r="118" spans="8:13" x14ac:dyDescent="0.2">
      <c r="H118" s="460" t="s">
        <v>894</v>
      </c>
      <c r="I118" s="461" t="s">
        <v>759</v>
      </c>
      <c r="J118" s="462">
        <v>4.82E-2</v>
      </c>
      <c r="K118" s="462">
        <v>6.83E-2</v>
      </c>
      <c r="L118" s="463">
        <v>0.1183</v>
      </c>
      <c r="M118" s="462">
        <v>0.15</v>
      </c>
    </row>
    <row r="119" spans="8:13" x14ac:dyDescent="0.2">
      <c r="H119" s="460" t="s">
        <v>895</v>
      </c>
      <c r="I119" s="461" t="s">
        <v>856</v>
      </c>
      <c r="J119" s="462">
        <v>2.35E-2</v>
      </c>
      <c r="K119" s="462">
        <v>3.3300000000000003E-2</v>
      </c>
      <c r="L119" s="463">
        <v>8.3299999999999999E-2</v>
      </c>
      <c r="M119" s="462">
        <v>0.27179999999999999</v>
      </c>
    </row>
    <row r="120" spans="8:13" x14ac:dyDescent="0.2">
      <c r="H120" s="460" t="s">
        <v>896</v>
      </c>
      <c r="I120" s="461" t="s">
        <v>783</v>
      </c>
      <c r="J120" s="462">
        <v>2.6800000000000001E-2</v>
      </c>
      <c r="K120" s="462">
        <v>3.7999999999999999E-2</v>
      </c>
      <c r="L120" s="463">
        <v>8.7999999999999995E-2</v>
      </c>
      <c r="M120" s="462">
        <v>0.31</v>
      </c>
    </row>
    <row r="121" spans="8:13" x14ac:dyDescent="0.2">
      <c r="H121" s="460" t="s">
        <v>897</v>
      </c>
      <c r="I121" s="461" t="s">
        <v>794</v>
      </c>
      <c r="J121" s="462">
        <v>9.6299999999999997E-2</v>
      </c>
      <c r="K121" s="462">
        <v>0.1366</v>
      </c>
      <c r="L121" s="463">
        <v>0.18659999999999999</v>
      </c>
      <c r="M121" s="462">
        <v>0.32</v>
      </c>
    </row>
    <row r="122" spans="8:13" x14ac:dyDescent="0.2">
      <c r="H122" s="460" t="s">
        <v>898</v>
      </c>
      <c r="I122" s="461" t="s">
        <v>762</v>
      </c>
      <c r="J122" s="462">
        <v>0.107</v>
      </c>
      <c r="K122" s="462">
        <v>0.15179999999999999</v>
      </c>
      <c r="L122" s="463">
        <v>0.20180000000000001</v>
      </c>
      <c r="M122" s="462">
        <v>0.25</v>
      </c>
    </row>
    <row r="123" spans="8:13" x14ac:dyDescent="0.2">
      <c r="H123" s="460" t="s">
        <v>899</v>
      </c>
      <c r="I123" s="461" t="s">
        <v>759</v>
      </c>
      <c r="J123" s="462">
        <v>4.82E-2</v>
      </c>
      <c r="K123" s="462">
        <v>6.83E-2</v>
      </c>
      <c r="L123" s="463">
        <v>0.1183</v>
      </c>
      <c r="M123" s="462">
        <v>0.32</v>
      </c>
    </row>
    <row r="124" spans="8:13" x14ac:dyDescent="0.2">
      <c r="H124" s="460" t="s">
        <v>900</v>
      </c>
      <c r="I124" s="461" t="s">
        <v>778</v>
      </c>
      <c r="J124" s="462">
        <v>0</v>
      </c>
      <c r="K124" s="462">
        <v>0</v>
      </c>
      <c r="L124" s="463">
        <v>0.05</v>
      </c>
      <c r="M124" s="462">
        <v>0.25800000000000001</v>
      </c>
    </row>
    <row r="125" spans="8:13" x14ac:dyDescent="0.2">
      <c r="H125" s="460" t="s">
        <v>901</v>
      </c>
      <c r="I125" s="461" t="s">
        <v>778</v>
      </c>
      <c r="J125" s="462">
        <v>0</v>
      </c>
      <c r="K125" s="462">
        <v>0</v>
      </c>
      <c r="L125" s="463">
        <v>0.05</v>
      </c>
      <c r="M125" s="462">
        <v>0.28000000000000003</v>
      </c>
    </row>
    <row r="126" spans="8:13" x14ac:dyDescent="0.2">
      <c r="H126" s="460" t="s">
        <v>902</v>
      </c>
      <c r="I126" s="461" t="s">
        <v>767</v>
      </c>
      <c r="J126" s="462">
        <v>6.9500000000000006E-2</v>
      </c>
      <c r="K126" s="462">
        <v>9.8599999999999993E-2</v>
      </c>
      <c r="L126" s="463">
        <v>0.14860000000000001</v>
      </c>
      <c r="M126" s="462">
        <v>0.3</v>
      </c>
    </row>
    <row r="127" spans="8:13" x14ac:dyDescent="0.2">
      <c r="H127" s="460" t="s">
        <v>903</v>
      </c>
      <c r="I127" s="461" t="s">
        <v>767</v>
      </c>
      <c r="J127" s="462">
        <v>6.9500000000000006E-2</v>
      </c>
      <c r="K127" s="462">
        <v>9.8599999999999993E-2</v>
      </c>
      <c r="L127" s="463">
        <v>0.14860000000000001</v>
      </c>
      <c r="M127" s="462">
        <v>0.2281</v>
      </c>
    </row>
    <row r="128" spans="8:13" x14ac:dyDescent="0.2">
      <c r="H128" s="460" t="s">
        <v>904</v>
      </c>
      <c r="I128" s="461" t="s">
        <v>789</v>
      </c>
      <c r="J128" s="462">
        <v>8.0199999999999994E-2</v>
      </c>
      <c r="K128" s="462">
        <v>0.1138</v>
      </c>
      <c r="L128" s="463">
        <v>0.1638</v>
      </c>
      <c r="M128" s="462">
        <v>0.3</v>
      </c>
    </row>
    <row r="129" spans="8:13" x14ac:dyDescent="0.2">
      <c r="H129" s="460" t="s">
        <v>905</v>
      </c>
      <c r="I129" s="461" t="s">
        <v>778</v>
      </c>
      <c r="J129" s="462">
        <v>0</v>
      </c>
      <c r="K129" s="462">
        <v>0</v>
      </c>
      <c r="L129" s="463">
        <v>0.05</v>
      </c>
      <c r="M129" s="462">
        <v>0.22</v>
      </c>
    </row>
    <row r="130" spans="8:13" x14ac:dyDescent="0.2">
      <c r="H130" s="460" t="s">
        <v>906</v>
      </c>
      <c r="I130" s="461" t="s">
        <v>804</v>
      </c>
      <c r="J130" s="462">
        <v>3.2199999999999999E-2</v>
      </c>
      <c r="K130" s="462">
        <v>4.5699999999999998E-2</v>
      </c>
      <c r="L130" s="463">
        <v>9.5699999999999993E-2</v>
      </c>
      <c r="M130" s="462">
        <v>0.15</v>
      </c>
    </row>
    <row r="131" spans="8:13" x14ac:dyDescent="0.2">
      <c r="H131" s="460" t="s">
        <v>907</v>
      </c>
      <c r="I131" s="461" t="s">
        <v>831</v>
      </c>
      <c r="J131" s="462">
        <v>0.107</v>
      </c>
      <c r="K131" s="462">
        <v>0.15179999999999999</v>
      </c>
      <c r="L131" s="463">
        <v>0.20180000000000001</v>
      </c>
      <c r="M131" s="462">
        <v>0.28999999999999998</v>
      </c>
    </row>
    <row r="132" spans="8:13" x14ac:dyDescent="0.2">
      <c r="H132" s="460" t="s">
        <v>908</v>
      </c>
      <c r="I132" s="461" t="s">
        <v>764</v>
      </c>
      <c r="J132" s="462">
        <v>2.0400000000000001E-2</v>
      </c>
      <c r="K132" s="462">
        <v>2.8899999999999999E-2</v>
      </c>
      <c r="L132" s="463">
        <v>7.8899999999999998E-2</v>
      </c>
      <c r="M132" s="462">
        <v>0.25</v>
      </c>
    </row>
    <row r="133" spans="8:13" x14ac:dyDescent="0.2">
      <c r="H133" s="460" t="s">
        <v>909</v>
      </c>
      <c r="I133" s="461" t="s">
        <v>786</v>
      </c>
      <c r="J133" s="462">
        <v>5.8799999999999998E-2</v>
      </c>
      <c r="K133" s="462">
        <v>8.3500000000000005E-2</v>
      </c>
      <c r="L133" s="463">
        <v>0.13350000000000001</v>
      </c>
      <c r="M133" s="462">
        <v>0.3</v>
      </c>
    </row>
    <row r="134" spans="8:13" x14ac:dyDescent="0.2">
      <c r="H134" s="460" t="s">
        <v>910</v>
      </c>
      <c r="I134" s="461" t="s">
        <v>783</v>
      </c>
      <c r="J134" s="462">
        <v>2.6800000000000001E-2</v>
      </c>
      <c r="K134" s="462">
        <v>3.7999999999999999E-2</v>
      </c>
      <c r="L134" s="463">
        <v>8.7999999999999995E-2</v>
      </c>
      <c r="M134" s="462">
        <v>0.1</v>
      </c>
    </row>
    <row r="135" spans="8:13" x14ac:dyDescent="0.2">
      <c r="H135" s="460" t="s">
        <v>911</v>
      </c>
      <c r="I135" s="461" t="s">
        <v>807</v>
      </c>
      <c r="J135" s="462">
        <v>1.7100000000000001E-2</v>
      </c>
      <c r="K135" s="462">
        <v>2.4299999999999999E-2</v>
      </c>
      <c r="L135" s="463">
        <v>7.4300000000000005E-2</v>
      </c>
      <c r="M135" s="462">
        <v>0.29499999999999998</v>
      </c>
    </row>
    <row r="136" spans="8:13" x14ac:dyDescent="0.2">
      <c r="H136" s="460" t="s">
        <v>912</v>
      </c>
      <c r="I136" s="461" t="s">
        <v>764</v>
      </c>
      <c r="J136" s="462">
        <v>2.0400000000000001E-2</v>
      </c>
      <c r="K136" s="462">
        <v>2.8899999999999999E-2</v>
      </c>
      <c r="L136" s="463">
        <v>7.8899999999999998E-2</v>
      </c>
      <c r="M136" s="462">
        <v>0.25</v>
      </c>
    </row>
    <row r="137" spans="8:13" x14ac:dyDescent="0.2">
      <c r="H137" s="460" t="s">
        <v>913</v>
      </c>
      <c r="I137" s="461" t="s">
        <v>797</v>
      </c>
      <c r="J137" s="462">
        <v>9.1000000000000004E-3</v>
      </c>
      <c r="K137" s="462">
        <v>1.2800000000000001E-2</v>
      </c>
      <c r="L137" s="463">
        <v>6.2799999999999995E-2</v>
      </c>
      <c r="M137" s="462">
        <v>0.19</v>
      </c>
    </row>
    <row r="138" spans="8:13" x14ac:dyDescent="0.2">
      <c r="H138" s="460" t="s">
        <v>914</v>
      </c>
      <c r="I138" s="461" t="s">
        <v>764</v>
      </c>
      <c r="J138" s="462">
        <v>2.0400000000000001E-2</v>
      </c>
      <c r="K138" s="462">
        <v>2.8899999999999999E-2</v>
      </c>
      <c r="L138" s="463">
        <v>7.8899999999999998E-2</v>
      </c>
      <c r="M138" s="462">
        <v>0.21</v>
      </c>
    </row>
    <row r="139" spans="8:13" x14ac:dyDescent="0.2">
      <c r="H139" s="460" t="s">
        <v>915</v>
      </c>
      <c r="I139" s="461" t="s">
        <v>792</v>
      </c>
      <c r="J139" s="462">
        <v>6.4000000000000003E-3</v>
      </c>
      <c r="K139" s="462">
        <v>9.1000000000000004E-3</v>
      </c>
      <c r="L139" s="463">
        <v>5.91E-2</v>
      </c>
      <c r="M139" s="462">
        <v>0.1</v>
      </c>
    </row>
    <row r="140" spans="8:13" x14ac:dyDescent="0.2">
      <c r="H140" s="460" t="s">
        <v>916</v>
      </c>
      <c r="I140" s="461" t="s">
        <v>802</v>
      </c>
      <c r="J140" s="462">
        <v>1.2800000000000001E-2</v>
      </c>
      <c r="K140" s="462">
        <v>1.8200000000000001E-2</v>
      </c>
      <c r="L140" s="463">
        <v>6.8199999999999997E-2</v>
      </c>
      <c r="M140" s="462">
        <v>0</v>
      </c>
    </row>
    <row r="141" spans="8:13" x14ac:dyDescent="0.2">
      <c r="H141" s="460" t="s">
        <v>917</v>
      </c>
      <c r="I141" s="461" t="s">
        <v>856</v>
      </c>
      <c r="J141" s="462">
        <v>2.35E-2</v>
      </c>
      <c r="K141" s="462">
        <v>3.3300000000000003E-2</v>
      </c>
      <c r="L141" s="463">
        <v>8.3299999999999999E-2</v>
      </c>
      <c r="M141" s="462">
        <v>0.16</v>
      </c>
    </row>
    <row r="142" spans="8:13" x14ac:dyDescent="0.2">
      <c r="H142" s="460" t="s">
        <v>918</v>
      </c>
      <c r="I142" s="461" t="s">
        <v>770</v>
      </c>
      <c r="J142" s="462">
        <v>0.12839999999999999</v>
      </c>
      <c r="K142" s="462">
        <v>0.18210000000000001</v>
      </c>
      <c r="L142" s="463">
        <v>0.2321</v>
      </c>
      <c r="M142" s="462">
        <v>0.2</v>
      </c>
    </row>
    <row r="143" spans="8:13" x14ac:dyDescent="0.2">
      <c r="H143" s="460" t="s">
        <v>919</v>
      </c>
      <c r="I143" s="461" t="s">
        <v>786</v>
      </c>
      <c r="J143" s="462">
        <v>5.8799999999999998E-2</v>
      </c>
      <c r="K143" s="462">
        <v>8.3500000000000005E-2</v>
      </c>
      <c r="L143" s="463">
        <v>0.13350000000000001</v>
      </c>
      <c r="M143" s="462">
        <v>0.3</v>
      </c>
    </row>
    <row r="144" spans="8:13" x14ac:dyDescent="0.2">
      <c r="H144" s="460" t="s">
        <v>920</v>
      </c>
      <c r="I144" s="461" t="s">
        <v>816</v>
      </c>
      <c r="J144" s="462">
        <v>7.4999999999999997E-3</v>
      </c>
      <c r="K144" s="462">
        <v>1.0699999999999999E-2</v>
      </c>
      <c r="L144" s="463">
        <v>6.0699999999999997E-2</v>
      </c>
      <c r="M144" s="462">
        <v>0.2</v>
      </c>
    </row>
    <row r="145" spans="8:13" x14ac:dyDescent="0.2">
      <c r="H145" s="460" t="s">
        <v>921</v>
      </c>
      <c r="I145" s="461" t="s">
        <v>773</v>
      </c>
      <c r="J145" s="462">
        <v>3.85E-2</v>
      </c>
      <c r="K145" s="462">
        <v>5.4600000000000003E-2</v>
      </c>
      <c r="L145" s="463">
        <v>0.1046</v>
      </c>
      <c r="M145" s="462">
        <v>0.3</v>
      </c>
    </row>
    <row r="146" spans="8:13" x14ac:dyDescent="0.2">
      <c r="H146" s="460" t="s">
        <v>922</v>
      </c>
      <c r="I146" s="461" t="s">
        <v>804</v>
      </c>
      <c r="J146" s="462">
        <v>3.2199999999999999E-2</v>
      </c>
      <c r="K146" s="462">
        <v>4.5699999999999998E-2</v>
      </c>
      <c r="L146" s="463">
        <v>9.5699999999999993E-2</v>
      </c>
      <c r="M146" s="462">
        <v>0.15</v>
      </c>
    </row>
    <row r="147" spans="8:13" x14ac:dyDescent="0.2">
      <c r="H147" s="460" t="s">
        <v>923</v>
      </c>
      <c r="I147" s="461" t="s">
        <v>783</v>
      </c>
      <c r="J147" s="462">
        <v>2.6800000000000001E-2</v>
      </c>
      <c r="K147" s="462">
        <v>3.7999999999999999E-2</v>
      </c>
      <c r="L147" s="463">
        <v>8.7999999999999995E-2</v>
      </c>
      <c r="M147" s="462">
        <v>0</v>
      </c>
    </row>
    <row r="148" spans="8:13" x14ac:dyDescent="0.2">
      <c r="H148" s="460" t="s">
        <v>924</v>
      </c>
      <c r="I148" s="461" t="s">
        <v>762</v>
      </c>
      <c r="J148" s="462">
        <v>0.12839999999999999</v>
      </c>
      <c r="K148" s="462">
        <v>0.18210000000000001</v>
      </c>
      <c r="L148" s="463">
        <v>0.2321</v>
      </c>
      <c r="M148" s="462">
        <v>0.3</v>
      </c>
    </row>
    <row r="149" spans="8:13" x14ac:dyDescent="0.2">
      <c r="H149" s="460" t="s">
        <v>925</v>
      </c>
      <c r="I149" s="461" t="s">
        <v>778</v>
      </c>
      <c r="J149" s="462">
        <v>0</v>
      </c>
      <c r="K149" s="462">
        <v>0</v>
      </c>
      <c r="L149" s="463">
        <v>0.05</v>
      </c>
      <c r="M149" s="462">
        <v>0.17</v>
      </c>
    </row>
    <row r="150" spans="8:13" x14ac:dyDescent="0.2">
      <c r="H150" s="460" t="s">
        <v>926</v>
      </c>
      <c r="I150" s="461" t="s">
        <v>797</v>
      </c>
      <c r="J150" s="462">
        <v>9.1000000000000004E-3</v>
      </c>
      <c r="K150" s="462">
        <v>1.2800000000000001E-2</v>
      </c>
      <c r="L150" s="463">
        <v>6.2799999999999995E-2</v>
      </c>
      <c r="M150" s="462">
        <v>0.21</v>
      </c>
    </row>
    <row r="151" spans="8:13" x14ac:dyDescent="0.2">
      <c r="H151" s="460" t="s">
        <v>927</v>
      </c>
      <c r="I151" s="461" t="s">
        <v>802</v>
      </c>
      <c r="J151" s="462">
        <v>1.2800000000000001E-2</v>
      </c>
      <c r="K151" s="462">
        <v>1.8200000000000001E-2</v>
      </c>
      <c r="L151" s="463">
        <v>6.8199999999999997E-2</v>
      </c>
      <c r="M151" s="462">
        <v>0.19</v>
      </c>
    </row>
    <row r="152" spans="8:13" x14ac:dyDescent="0.2">
      <c r="H152" s="460" t="s">
        <v>928</v>
      </c>
      <c r="I152" s="461" t="s">
        <v>789</v>
      </c>
      <c r="J152" s="462">
        <v>8.0199999999999994E-2</v>
      </c>
      <c r="K152" s="462">
        <v>0.1138</v>
      </c>
      <c r="L152" s="463">
        <v>0.1638</v>
      </c>
      <c r="M152" s="462">
        <v>0.3</v>
      </c>
    </row>
    <row r="153" spans="8:13" x14ac:dyDescent="0.2">
      <c r="H153" s="460" t="s">
        <v>929</v>
      </c>
      <c r="I153" s="461" t="s">
        <v>762</v>
      </c>
      <c r="J153" s="462">
        <v>0.12839999999999999</v>
      </c>
      <c r="K153" s="462">
        <v>0.18210000000000001</v>
      </c>
      <c r="L153" s="463">
        <v>0.2321</v>
      </c>
      <c r="M153" s="462">
        <v>0.29149999999999998</v>
      </c>
    </row>
    <row r="154" spans="8:13" x14ac:dyDescent="0.2">
      <c r="H154" s="460" t="s">
        <v>930</v>
      </c>
      <c r="I154" s="461" t="s">
        <v>804</v>
      </c>
      <c r="J154" s="462">
        <v>3.2199999999999999E-2</v>
      </c>
      <c r="K154" s="462">
        <v>4.5699999999999998E-2</v>
      </c>
      <c r="L154" s="463">
        <v>9.5699999999999993E-2</v>
      </c>
      <c r="M154" s="462">
        <v>0.27</v>
      </c>
    </row>
    <row r="155" spans="8:13" x14ac:dyDescent="0.2">
      <c r="H155" s="460" t="s">
        <v>931</v>
      </c>
      <c r="I155" s="461" t="s">
        <v>807</v>
      </c>
      <c r="J155" s="462">
        <v>1.7100000000000001E-2</v>
      </c>
      <c r="K155" s="462">
        <v>2.4299999999999999E-2</v>
      </c>
      <c r="L155" s="463">
        <v>7.4300000000000005E-2</v>
      </c>
      <c r="M155" s="462">
        <v>0.25</v>
      </c>
    </row>
    <row r="156" spans="8:13" x14ac:dyDescent="0.2">
      <c r="H156" s="460" t="s">
        <v>932</v>
      </c>
      <c r="I156" s="461" t="s">
        <v>770</v>
      </c>
      <c r="J156" s="462">
        <v>0.12839999999999999</v>
      </c>
      <c r="K156" s="462">
        <v>0.18210000000000001</v>
      </c>
      <c r="L156" s="463">
        <v>0.2321</v>
      </c>
      <c r="M156" s="462">
        <v>0.24</v>
      </c>
    </row>
    <row r="157" spans="8:13" x14ac:dyDescent="0.2">
      <c r="H157" s="460" t="s">
        <v>933</v>
      </c>
      <c r="I157" s="461" t="s">
        <v>804</v>
      </c>
      <c r="J157" s="462">
        <v>3.2199999999999999E-2</v>
      </c>
      <c r="K157" s="462">
        <v>4.5699999999999998E-2</v>
      </c>
      <c r="L157" s="463">
        <v>9.5699999999999993E-2</v>
      </c>
      <c r="M157" s="462">
        <v>0.27179999999999999</v>
      </c>
    </row>
    <row r="158" spans="8:13" x14ac:dyDescent="0.2">
      <c r="H158" s="460" t="s">
        <v>934</v>
      </c>
      <c r="I158" s="461" t="s">
        <v>767</v>
      </c>
      <c r="J158" s="462">
        <v>6.9500000000000006E-2</v>
      </c>
      <c r="K158" s="462">
        <v>9.8599999999999993E-2</v>
      </c>
      <c r="L158" s="463">
        <v>0.14860000000000001</v>
      </c>
      <c r="M158" s="462">
        <v>0.27179999999999999</v>
      </c>
    </row>
    <row r="159" spans="8:13" x14ac:dyDescent="0.2">
      <c r="H159" s="460" t="s">
        <v>935</v>
      </c>
      <c r="I159" s="461" t="s">
        <v>762</v>
      </c>
      <c r="J159" s="462">
        <v>0.17499999999999999</v>
      </c>
      <c r="K159" s="462">
        <v>0.2482</v>
      </c>
      <c r="L159" s="463">
        <v>0.29820000000000002</v>
      </c>
      <c r="M159" s="462">
        <v>0.35</v>
      </c>
    </row>
    <row r="160" spans="8:13" x14ac:dyDescent="0.2">
      <c r="H160" s="460" t="s">
        <v>936</v>
      </c>
      <c r="I160" s="461" t="s">
        <v>831</v>
      </c>
      <c r="J160" s="462">
        <v>0.107</v>
      </c>
      <c r="K160" s="462">
        <v>0.15179999999999999</v>
      </c>
      <c r="L160" s="463">
        <v>0.20180000000000001</v>
      </c>
      <c r="M160" s="462">
        <v>0.36</v>
      </c>
    </row>
    <row r="161" spans="8:13" x14ac:dyDescent="0.2">
      <c r="H161" s="460" t="s">
        <v>937</v>
      </c>
      <c r="I161" s="461" t="s">
        <v>767</v>
      </c>
      <c r="J161" s="462">
        <v>6.9500000000000006E-2</v>
      </c>
      <c r="K161" s="462">
        <v>9.8599999999999993E-2</v>
      </c>
      <c r="L161" s="463">
        <v>0.14860000000000001</v>
      </c>
      <c r="M161" s="462">
        <v>0.27500000000000002</v>
      </c>
    </row>
    <row r="162" spans="8:13" x14ac:dyDescent="0.2">
      <c r="H162" s="460" t="s">
        <v>938</v>
      </c>
      <c r="I162" s="461" t="s">
        <v>778</v>
      </c>
      <c r="J162" s="462">
        <v>0</v>
      </c>
      <c r="K162" s="462">
        <v>0</v>
      </c>
      <c r="L162" s="463">
        <v>0.05</v>
      </c>
      <c r="M162" s="462">
        <v>0.20599999999999999</v>
      </c>
    </row>
    <row r="163" spans="8:13" x14ac:dyDescent="0.2">
      <c r="H163" s="460" t="s">
        <v>939</v>
      </c>
      <c r="I163" s="461" t="s">
        <v>778</v>
      </c>
      <c r="J163" s="462">
        <v>0</v>
      </c>
      <c r="K163" s="462">
        <v>0</v>
      </c>
      <c r="L163" s="463">
        <v>0.05</v>
      </c>
      <c r="M163" s="462">
        <v>0.18</v>
      </c>
    </row>
    <row r="164" spans="8:13" x14ac:dyDescent="0.2">
      <c r="H164" s="460" t="s">
        <v>940</v>
      </c>
      <c r="I164" s="461" t="s">
        <v>762</v>
      </c>
      <c r="J164" s="462">
        <v>0.17499999999999999</v>
      </c>
      <c r="K164" s="462">
        <v>0.2482</v>
      </c>
      <c r="L164" s="463">
        <v>0.29820000000000002</v>
      </c>
      <c r="M164" s="462">
        <v>0.28000000000000003</v>
      </c>
    </row>
    <row r="165" spans="8:13" x14ac:dyDescent="0.2">
      <c r="H165" s="460" t="s">
        <v>941</v>
      </c>
      <c r="I165" s="461" t="s">
        <v>792</v>
      </c>
      <c r="J165" s="462">
        <v>6.4000000000000003E-3</v>
      </c>
      <c r="K165" s="462">
        <v>9.1000000000000004E-3</v>
      </c>
      <c r="L165" s="463">
        <v>5.91E-2</v>
      </c>
      <c r="M165" s="462">
        <v>0.2</v>
      </c>
    </row>
    <row r="166" spans="8:13" x14ac:dyDescent="0.2">
      <c r="H166" s="460" t="s">
        <v>942</v>
      </c>
      <c r="I166" s="461" t="s">
        <v>767</v>
      </c>
      <c r="J166" s="462">
        <v>6.9500000000000006E-2</v>
      </c>
      <c r="K166" s="462">
        <v>9.8599999999999993E-2</v>
      </c>
      <c r="L166" s="463">
        <v>0.14860000000000001</v>
      </c>
      <c r="M166" s="462">
        <v>0.18</v>
      </c>
    </row>
    <row r="167" spans="8:13" x14ac:dyDescent="0.2">
      <c r="H167" s="460" t="s">
        <v>943</v>
      </c>
      <c r="I167" s="461" t="s">
        <v>786</v>
      </c>
      <c r="J167" s="462">
        <v>5.8799999999999998E-2</v>
      </c>
      <c r="K167" s="462">
        <v>8.3500000000000005E-2</v>
      </c>
      <c r="L167" s="463">
        <v>0.13350000000000001</v>
      </c>
      <c r="M167" s="462">
        <v>0.3</v>
      </c>
    </row>
    <row r="168" spans="8:13" x14ac:dyDescent="0.2">
      <c r="H168" s="460" t="s">
        <v>944</v>
      </c>
      <c r="I168" s="461" t="s">
        <v>807</v>
      </c>
      <c r="J168" s="462">
        <v>1.7100000000000001E-2</v>
      </c>
      <c r="K168" s="462">
        <v>2.4299999999999999E-2</v>
      </c>
      <c r="L168" s="463">
        <v>7.4300000000000005E-2</v>
      </c>
      <c r="M168" s="462">
        <v>0.2</v>
      </c>
    </row>
    <row r="169" spans="8:13" x14ac:dyDescent="0.2">
      <c r="H169" s="460" t="s">
        <v>945</v>
      </c>
      <c r="I169" s="461" t="s">
        <v>767</v>
      </c>
      <c r="J169" s="462">
        <v>6.9500000000000006E-2</v>
      </c>
      <c r="K169" s="462">
        <v>9.8599999999999993E-2</v>
      </c>
      <c r="L169" s="463">
        <v>0.14860000000000001</v>
      </c>
      <c r="M169" s="462">
        <v>0.2281</v>
      </c>
    </row>
    <row r="170" spans="8:13" x14ac:dyDescent="0.2">
      <c r="H170" s="460" t="s">
        <v>946</v>
      </c>
      <c r="I170" s="461" t="s">
        <v>804</v>
      </c>
      <c r="J170" s="462">
        <v>3.2199999999999999E-2</v>
      </c>
      <c r="K170" s="462">
        <v>4.5699999999999998E-2</v>
      </c>
      <c r="L170" s="463">
        <v>9.5699999999999993E-2</v>
      </c>
      <c r="M170" s="462">
        <v>0.3</v>
      </c>
    </row>
    <row r="171" spans="8:13" x14ac:dyDescent="0.2">
      <c r="H171" s="460" t="s">
        <v>947</v>
      </c>
      <c r="I171" s="461" t="s">
        <v>794</v>
      </c>
      <c r="J171" s="462">
        <v>9.6299999999999997E-2</v>
      </c>
      <c r="K171" s="462">
        <v>0.1366</v>
      </c>
      <c r="L171" s="463">
        <v>0.18659999999999999</v>
      </c>
      <c r="M171" s="462">
        <v>0.15</v>
      </c>
    </row>
    <row r="172" spans="8:13" x14ac:dyDescent="0.2">
      <c r="H172" s="460" t="s">
        <v>948</v>
      </c>
      <c r="I172" s="461" t="s">
        <v>767</v>
      </c>
      <c r="J172" s="462">
        <v>6.9500000000000006E-2</v>
      </c>
      <c r="K172" s="462">
        <v>9.8599999999999993E-2</v>
      </c>
      <c r="L172" s="463">
        <v>0.14860000000000001</v>
      </c>
      <c r="M172" s="462">
        <v>0.23</v>
      </c>
    </row>
    <row r="173" spans="8:13" x14ac:dyDescent="0.2">
      <c r="H173" s="460" t="s">
        <v>949</v>
      </c>
      <c r="I173" s="461" t="s">
        <v>807</v>
      </c>
      <c r="J173" s="462">
        <v>1.7100000000000001E-2</v>
      </c>
      <c r="K173" s="462">
        <v>2.4299999999999999E-2</v>
      </c>
      <c r="L173" s="463">
        <v>7.4300000000000005E-2</v>
      </c>
      <c r="M173" s="462">
        <v>0</v>
      </c>
    </row>
    <row r="174" spans="8:13" x14ac:dyDescent="0.2">
      <c r="H174" s="460" t="s">
        <v>950</v>
      </c>
      <c r="I174" s="461" t="s">
        <v>786</v>
      </c>
      <c r="J174" s="462">
        <v>5.8799999999999998E-2</v>
      </c>
      <c r="K174" s="462">
        <v>8.3500000000000005E-2</v>
      </c>
      <c r="L174" s="463">
        <v>0.13350000000000001</v>
      </c>
      <c r="M174" s="462">
        <v>0.3</v>
      </c>
    </row>
    <row r="175" spans="8:13" x14ac:dyDescent="0.2">
      <c r="H175" s="460" t="s">
        <v>951</v>
      </c>
      <c r="I175" s="461" t="s">
        <v>770</v>
      </c>
      <c r="J175" s="462">
        <v>0.12839999999999999</v>
      </c>
      <c r="K175" s="462">
        <v>0.18210000000000001</v>
      </c>
      <c r="L175" s="463">
        <v>0.2321</v>
      </c>
      <c r="M175" s="462">
        <v>0.18</v>
      </c>
    </row>
    <row r="176" spans="8:13" x14ac:dyDescent="0.2">
      <c r="H176" s="460" t="s">
        <v>952</v>
      </c>
      <c r="I176" s="461" t="s">
        <v>757</v>
      </c>
      <c r="J176" s="462">
        <v>5.3E-3</v>
      </c>
      <c r="K176" s="462">
        <v>7.4999999999999997E-3</v>
      </c>
      <c r="L176" s="463">
        <v>5.7500000000000002E-2</v>
      </c>
      <c r="M176" s="462">
        <v>0</v>
      </c>
    </row>
    <row r="177" spans="8:13" x14ac:dyDescent="0.2">
      <c r="H177" s="460" t="s">
        <v>953</v>
      </c>
      <c r="I177" s="461" t="s">
        <v>792</v>
      </c>
      <c r="J177" s="462">
        <v>6.4000000000000003E-3</v>
      </c>
      <c r="K177" s="462">
        <v>9.1000000000000004E-3</v>
      </c>
      <c r="L177" s="463">
        <v>5.91E-2</v>
      </c>
      <c r="M177" s="462">
        <v>0.25</v>
      </c>
    </row>
    <row r="178" spans="8:13" x14ac:dyDescent="0.2">
      <c r="H178" s="460" t="s">
        <v>954</v>
      </c>
      <c r="I178" s="461" t="s">
        <v>778</v>
      </c>
      <c r="J178" s="462">
        <v>0</v>
      </c>
      <c r="K178" s="462">
        <v>0</v>
      </c>
      <c r="L178" s="463">
        <v>0.05</v>
      </c>
      <c r="M178" s="462">
        <v>0.25</v>
      </c>
    </row>
    <row r="179" spans="8:13" x14ac:dyDescent="0.2">
      <c r="H179" s="460" t="s">
        <v>955</v>
      </c>
      <c r="I179" s="461" t="s">
        <v>764</v>
      </c>
      <c r="J179" s="462">
        <v>2.0400000000000001E-2</v>
      </c>
      <c r="K179" s="462">
        <v>2.8899999999999999E-2</v>
      </c>
      <c r="L179" s="463">
        <v>7.8899999999999998E-2</v>
      </c>
      <c r="M179" s="462">
        <v>0.25</v>
      </c>
    </row>
    <row r="180" spans="8:13" x14ac:dyDescent="0.2">
      <c r="H180" s="460" t="s">
        <v>956</v>
      </c>
      <c r="I180" s="461" t="s">
        <v>773</v>
      </c>
      <c r="J180" s="462">
        <v>3.85E-2</v>
      </c>
      <c r="K180" s="462">
        <v>5.4600000000000003E-2</v>
      </c>
      <c r="L180" s="463">
        <v>0.1046</v>
      </c>
      <c r="M180" s="462">
        <v>0.15</v>
      </c>
    </row>
    <row r="181" spans="8:13" x14ac:dyDescent="0.2">
      <c r="H181" s="460" t="s">
        <v>957</v>
      </c>
      <c r="I181" s="461" t="s">
        <v>567</v>
      </c>
      <c r="J181" s="462">
        <v>0.17499999999999999</v>
      </c>
      <c r="K181" s="462">
        <v>0.2482</v>
      </c>
      <c r="L181" s="463">
        <v>0.29820000000000002</v>
      </c>
      <c r="M181" s="462">
        <v>0.34</v>
      </c>
    </row>
    <row r="182" spans="8:13" x14ac:dyDescent="0.2">
      <c r="H182" s="460" t="s">
        <v>958</v>
      </c>
      <c r="I182" s="461" t="s">
        <v>804</v>
      </c>
      <c r="J182" s="462">
        <v>3.2199999999999999E-2</v>
      </c>
      <c r="K182" s="462">
        <v>4.5699999999999998E-2</v>
      </c>
      <c r="L182" s="463">
        <v>9.5699999999999993E-2</v>
      </c>
      <c r="M182" s="462">
        <v>0.2</v>
      </c>
    </row>
    <row r="183" spans="8:13" x14ac:dyDescent="0.2">
      <c r="H183" s="460" t="s">
        <v>959</v>
      </c>
      <c r="I183" s="461" t="s">
        <v>762</v>
      </c>
      <c r="J183" s="462">
        <v>0.107</v>
      </c>
      <c r="K183" s="462">
        <v>0.15179999999999999</v>
      </c>
      <c r="L183" s="463">
        <v>0.20180000000000001</v>
      </c>
      <c r="M183" s="462">
        <v>0.2</v>
      </c>
    </row>
    <row r="184" spans="8:13" x14ac:dyDescent="0.2">
      <c r="H184" s="460" t="s">
        <v>960</v>
      </c>
      <c r="I184" s="461" t="s">
        <v>770</v>
      </c>
      <c r="J184" s="462">
        <v>0.12839999999999999</v>
      </c>
      <c r="K184" s="462">
        <v>0.18210000000000001</v>
      </c>
      <c r="L184" s="463">
        <v>0.2321</v>
      </c>
      <c r="M184" s="462">
        <v>0.35</v>
      </c>
    </row>
    <row r="185" spans="8:13" x14ac:dyDescent="0.2">
      <c r="H185" s="460" t="s">
        <v>961</v>
      </c>
      <c r="I185" s="461" t="s">
        <v>762</v>
      </c>
      <c r="J185" s="462">
        <v>8.0199999999999994E-2</v>
      </c>
      <c r="K185" s="462">
        <v>0.1138</v>
      </c>
      <c r="L185" s="463">
        <v>0.1638</v>
      </c>
      <c r="M185" s="462">
        <v>0.25</v>
      </c>
    </row>
    <row r="211" spans="8:8" x14ac:dyDescent="0.2">
      <c r="H211" s="489" t="s">
        <v>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0"/>
  <sheetViews>
    <sheetView showGridLines="0" zoomScaleNormal="100" workbookViewId="0">
      <pane ySplit="7" topLeftCell="A8" activePane="bottomLeft" state="frozen"/>
      <selection pane="bottomLeft" activeCell="I17" sqref="I17"/>
    </sheetView>
  </sheetViews>
  <sheetFormatPr defaultColWidth="8.25" defaultRowHeight="10.5" x14ac:dyDescent="0.25"/>
  <cols>
    <col min="1" max="1" width="3" style="94" customWidth="1"/>
    <col min="2" max="2" width="18.125" style="94" customWidth="1"/>
    <col min="3" max="3" width="7.125" style="94" customWidth="1"/>
    <col min="4" max="4" width="2.625" style="94" customWidth="1"/>
    <col min="5" max="5" width="8.25" style="94"/>
    <col min="6" max="6" width="2.625" style="94" customWidth="1"/>
    <col min="7" max="7" width="4.75" style="94" customWidth="1"/>
    <col min="8" max="8" width="13.75" style="94" customWidth="1"/>
    <col min="9" max="9" width="8.25" style="94"/>
    <col min="10" max="10" width="9.25" style="87" customWidth="1"/>
    <col min="11" max="13" width="8.25" style="94"/>
    <col min="14" max="15" width="10.25" style="94" bestFit="1" customWidth="1"/>
    <col min="16" max="17" width="11" style="94" bestFit="1" customWidth="1"/>
    <col min="18" max="21" width="8.25" style="94"/>
    <col min="22" max="22" width="3.25" style="94" customWidth="1"/>
    <col min="23" max="23" width="17.5" style="94" customWidth="1"/>
    <col min="24" max="24" width="16.125" style="94" bestFit="1" customWidth="1"/>
    <col min="25" max="25" width="10.75" style="109" customWidth="1"/>
    <col min="26" max="16384" width="8.25" style="94"/>
  </cols>
  <sheetData>
    <row r="1" spans="1:25" x14ac:dyDescent="0.25">
      <c r="A1" s="88" t="str">
        <f>'[2]SG&amp;A Truck Thermoking'!A1</f>
        <v>Bisnis Truk Thermoking</v>
      </c>
    </row>
    <row r="2" spans="1:25" x14ac:dyDescent="0.25">
      <c r="A2" s="88" t="str">
        <f>'[2]SG&amp;A Truck Thermoking'!A2</f>
        <v>Financial Pre-Feasibility Study</v>
      </c>
    </row>
    <row r="3" spans="1:25" x14ac:dyDescent="0.25">
      <c r="A3" s="110" t="s">
        <v>500</v>
      </c>
    </row>
    <row r="6" spans="1:25" ht="21" x14ac:dyDescent="0.25">
      <c r="A6" s="86" t="s">
        <v>67</v>
      </c>
      <c r="B6" s="86"/>
      <c r="C6" s="86"/>
      <c r="D6" s="86"/>
      <c r="E6" s="86"/>
      <c r="F6" s="86"/>
      <c r="G6" s="86"/>
      <c r="H6" s="86"/>
      <c r="J6" s="764" t="s">
        <v>79</v>
      </c>
      <c r="K6" s="764" t="s">
        <v>458</v>
      </c>
      <c r="L6" s="764"/>
      <c r="M6" s="764"/>
      <c r="N6" s="764" t="s">
        <v>501</v>
      </c>
      <c r="O6" s="764"/>
      <c r="P6" s="764"/>
      <c r="Q6" s="764"/>
      <c r="V6" s="95" t="s">
        <v>58</v>
      </c>
      <c r="W6" s="95" t="s">
        <v>467</v>
      </c>
      <c r="X6" s="95" t="s">
        <v>468</v>
      </c>
      <c r="Y6" s="95" t="s">
        <v>472</v>
      </c>
    </row>
    <row r="7" spans="1:25" ht="21" x14ac:dyDescent="0.15">
      <c r="A7" s="128"/>
      <c r="B7" s="128"/>
      <c r="C7" s="128"/>
      <c r="D7" s="128"/>
      <c r="E7" s="128"/>
      <c r="F7" s="128"/>
      <c r="G7" s="128"/>
      <c r="H7" s="128"/>
      <c r="J7" s="764"/>
      <c r="K7" s="131" t="s">
        <v>443</v>
      </c>
      <c r="L7" s="131" t="s">
        <v>444</v>
      </c>
      <c r="M7" s="131" t="s">
        <v>445</v>
      </c>
      <c r="N7" s="131" t="s">
        <v>443</v>
      </c>
      <c r="O7" s="131" t="s">
        <v>444</v>
      </c>
      <c r="P7" s="131" t="s">
        <v>445</v>
      </c>
      <c r="Q7" s="131" t="s">
        <v>23</v>
      </c>
      <c r="V7" s="114"/>
      <c r="W7" s="114"/>
      <c r="X7" s="114"/>
      <c r="Y7" s="115"/>
    </row>
    <row r="8" spans="1:25" x14ac:dyDescent="0.15">
      <c r="A8" s="130" t="s">
        <v>150</v>
      </c>
      <c r="B8" s="141" t="s">
        <v>502</v>
      </c>
      <c r="C8" s="147">
        <v>0</v>
      </c>
      <c r="D8" s="141" t="s">
        <v>504</v>
      </c>
      <c r="E8" s="133"/>
      <c r="F8" s="129" t="s">
        <v>460</v>
      </c>
      <c r="H8" s="129"/>
      <c r="J8" s="89">
        <v>-1</v>
      </c>
      <c r="V8" s="96">
        <v>1</v>
      </c>
      <c r="W8" s="97" t="s">
        <v>459</v>
      </c>
      <c r="X8" s="98" t="s">
        <v>433</v>
      </c>
      <c r="Y8" s="108">
        <v>27.5</v>
      </c>
    </row>
    <row r="9" spans="1:25" x14ac:dyDescent="0.15">
      <c r="A9" s="130" t="s">
        <v>151</v>
      </c>
      <c r="B9" s="129" t="s">
        <v>457</v>
      </c>
      <c r="C9" s="148" t="s">
        <v>469</v>
      </c>
      <c r="J9" s="89">
        <v>0</v>
      </c>
      <c r="V9" s="104">
        <v>2</v>
      </c>
      <c r="W9" s="97" t="s">
        <v>459</v>
      </c>
      <c r="X9" s="98" t="s">
        <v>434</v>
      </c>
      <c r="Y9" s="108">
        <v>162.5</v>
      </c>
    </row>
    <row r="10" spans="1:25" x14ac:dyDescent="0.15">
      <c r="B10" s="130" t="s">
        <v>465</v>
      </c>
      <c r="C10" s="149">
        <f>Y18</f>
        <v>160.5</v>
      </c>
      <c r="D10" s="141" t="s">
        <v>505</v>
      </c>
      <c r="E10" s="149">
        <f>$C$8*C10</f>
        <v>0</v>
      </c>
      <c r="F10" s="141" t="s">
        <v>369</v>
      </c>
      <c r="J10" s="89">
        <v>1</v>
      </c>
      <c r="K10" s="132" t="e">
        <f>#REF!</f>
        <v>#REF!</v>
      </c>
      <c r="L10" s="132" t="e">
        <f>#REF!</f>
        <v>#REF!</v>
      </c>
      <c r="M10" s="132" t="e">
        <f>#REF!</f>
        <v>#REF!</v>
      </c>
      <c r="N10" s="134" t="e">
        <f>$C$8*K10*$C$10*1000</f>
        <v>#REF!</v>
      </c>
      <c r="O10" s="134" t="e">
        <f>$C$8*L10*$C$11*1000</f>
        <v>#REF!</v>
      </c>
      <c r="P10" s="134" t="e">
        <f>$C$8*M10*$C$12*1000</f>
        <v>#REF!</v>
      </c>
      <c r="Q10" s="134" t="e">
        <f>N10+O10+P10</f>
        <v>#REF!</v>
      </c>
      <c r="V10" s="96">
        <v>3</v>
      </c>
      <c r="W10" s="97" t="s">
        <v>459</v>
      </c>
      <c r="X10" s="98" t="s">
        <v>435</v>
      </c>
      <c r="Y10" s="108">
        <v>171.5</v>
      </c>
    </row>
    <row r="11" spans="1:25" x14ac:dyDescent="0.15">
      <c r="B11" s="130" t="s">
        <v>464</v>
      </c>
      <c r="C11" s="149">
        <f>Y19</f>
        <v>239.6</v>
      </c>
      <c r="D11" s="141" t="s">
        <v>505</v>
      </c>
      <c r="E11" s="149">
        <f>$C$8*C11</f>
        <v>0</v>
      </c>
      <c r="F11" s="141" t="s">
        <v>369</v>
      </c>
      <c r="J11" s="89">
        <f>J10+1</f>
        <v>2</v>
      </c>
      <c r="K11" s="132" t="e">
        <f>#REF!</f>
        <v>#REF!</v>
      </c>
      <c r="L11" s="132" t="e">
        <f>#REF!</f>
        <v>#REF!</v>
      </c>
      <c r="M11" s="132" t="e">
        <f>#REF!</f>
        <v>#REF!</v>
      </c>
      <c r="N11" s="134" t="e">
        <f t="shared" ref="N11:N24" si="0">$C$8*K11*$C$10*1000</f>
        <v>#REF!</v>
      </c>
      <c r="O11" s="134" t="e">
        <f t="shared" ref="O11:O24" si="1">$C$8*L11*$C$11*1000</f>
        <v>#REF!</v>
      </c>
      <c r="P11" s="134" t="e">
        <f t="shared" ref="P11:P24" si="2">$C$8*M11*$C$12*1000</f>
        <v>#REF!</v>
      </c>
      <c r="Q11" s="134" t="e">
        <f t="shared" ref="Q11:Q24" si="3">N11+O11+P11</f>
        <v>#REF!</v>
      </c>
      <c r="V11" s="104">
        <v>4</v>
      </c>
      <c r="W11" s="97" t="s">
        <v>459</v>
      </c>
      <c r="X11" s="98" t="s">
        <v>436</v>
      </c>
      <c r="Y11" s="108">
        <v>219.3</v>
      </c>
    </row>
    <row r="12" spans="1:25" x14ac:dyDescent="0.15">
      <c r="B12" s="130" t="s">
        <v>466</v>
      </c>
      <c r="C12" s="149">
        <f>Y20</f>
        <v>296.60000000000002</v>
      </c>
      <c r="D12" s="141" t="s">
        <v>505</v>
      </c>
      <c r="E12" s="149">
        <f>$C$8*C12</f>
        <v>0</v>
      </c>
      <c r="F12" s="141" t="s">
        <v>369</v>
      </c>
      <c r="J12" s="89">
        <f t="shared" ref="J12:J24" si="4">J11+1</f>
        <v>3</v>
      </c>
      <c r="K12" s="132" t="e">
        <f>#REF!</f>
        <v>#REF!</v>
      </c>
      <c r="L12" s="132" t="e">
        <f>#REF!</f>
        <v>#REF!</v>
      </c>
      <c r="M12" s="132" t="e">
        <f>#REF!</f>
        <v>#REF!</v>
      </c>
      <c r="N12" s="134" t="e">
        <f t="shared" si="0"/>
        <v>#REF!</v>
      </c>
      <c r="O12" s="134" t="e">
        <f t="shared" si="1"/>
        <v>#REF!</v>
      </c>
      <c r="P12" s="134" t="e">
        <f t="shared" si="2"/>
        <v>#REF!</v>
      </c>
      <c r="Q12" s="134" t="e">
        <f t="shared" si="3"/>
        <v>#REF!</v>
      </c>
      <c r="V12" s="96">
        <v>5</v>
      </c>
      <c r="W12" s="97" t="s">
        <v>459</v>
      </c>
      <c r="X12" s="98" t="s">
        <v>437</v>
      </c>
      <c r="Y12" s="108">
        <v>273.8</v>
      </c>
    </row>
    <row r="13" spans="1:25" x14ac:dyDescent="0.15">
      <c r="A13" s="138" t="s">
        <v>152</v>
      </c>
      <c r="B13" s="133" t="s">
        <v>473</v>
      </c>
      <c r="J13" s="89">
        <f t="shared" si="4"/>
        <v>4</v>
      </c>
      <c r="K13" s="132" t="e">
        <f>#REF!</f>
        <v>#REF!</v>
      </c>
      <c r="L13" s="132" t="e">
        <f>#REF!</f>
        <v>#REF!</v>
      </c>
      <c r="M13" s="132" t="e">
        <f>#REF!</f>
        <v>#REF!</v>
      </c>
      <c r="N13" s="134" t="e">
        <f t="shared" si="0"/>
        <v>#REF!</v>
      </c>
      <c r="O13" s="134" t="e">
        <f t="shared" si="1"/>
        <v>#REF!</v>
      </c>
      <c r="P13" s="134" t="e">
        <f t="shared" si="2"/>
        <v>#REF!</v>
      </c>
      <c r="Q13" s="134" t="e">
        <f t="shared" si="3"/>
        <v>#REF!</v>
      </c>
      <c r="V13" s="104">
        <v>6</v>
      </c>
      <c r="W13" s="97" t="s">
        <v>459</v>
      </c>
      <c r="X13" s="98" t="s">
        <v>438</v>
      </c>
      <c r="Y13" s="108">
        <v>304.39999999999998</v>
      </c>
    </row>
    <row r="14" spans="1:25" x14ac:dyDescent="0.15">
      <c r="B14" s="133" t="s">
        <v>474</v>
      </c>
      <c r="C14" s="144" t="s">
        <v>459</v>
      </c>
      <c r="D14" s="144"/>
      <c r="E14" s="144"/>
      <c r="J14" s="89">
        <f t="shared" si="4"/>
        <v>5</v>
      </c>
      <c r="K14" s="132" t="e">
        <f>#REF!</f>
        <v>#REF!</v>
      </c>
      <c r="L14" s="132" t="e">
        <f>#REF!</f>
        <v>#REF!</v>
      </c>
      <c r="M14" s="132" t="e">
        <f>#REF!</f>
        <v>#REF!</v>
      </c>
      <c r="N14" s="134" t="e">
        <f t="shared" si="0"/>
        <v>#REF!</v>
      </c>
      <c r="O14" s="134" t="e">
        <f t="shared" si="1"/>
        <v>#REF!</v>
      </c>
      <c r="P14" s="134" t="e">
        <f t="shared" si="2"/>
        <v>#REF!</v>
      </c>
      <c r="Q14" s="134" t="e">
        <f t="shared" si="3"/>
        <v>#REF!</v>
      </c>
      <c r="V14" s="96">
        <v>7</v>
      </c>
      <c r="W14" s="97" t="s">
        <v>459</v>
      </c>
      <c r="X14" s="98" t="s">
        <v>439</v>
      </c>
      <c r="Y14" s="108">
        <v>424.1</v>
      </c>
    </row>
    <row r="15" spans="1:25" x14ac:dyDescent="0.15">
      <c r="B15" s="133" t="s">
        <v>475</v>
      </c>
      <c r="C15" s="142" t="s">
        <v>503</v>
      </c>
      <c r="D15" s="143"/>
      <c r="E15" s="142" t="s">
        <v>504</v>
      </c>
      <c r="F15" s="145"/>
      <c r="G15" s="142" t="s">
        <v>369</v>
      </c>
      <c r="J15" s="89">
        <f t="shared" si="4"/>
        <v>6</v>
      </c>
      <c r="K15" s="132" t="e">
        <f>#REF!</f>
        <v>#REF!</v>
      </c>
      <c r="L15" s="132" t="e">
        <f>#REF!</f>
        <v>#REF!</v>
      </c>
      <c r="M15" s="132" t="e">
        <f>#REF!</f>
        <v>#REF!</v>
      </c>
      <c r="N15" s="134" t="e">
        <f t="shared" si="0"/>
        <v>#REF!</v>
      </c>
      <c r="O15" s="134" t="e">
        <f t="shared" si="1"/>
        <v>#REF!</v>
      </c>
      <c r="P15" s="134" t="e">
        <f t="shared" si="2"/>
        <v>#REF!</v>
      </c>
      <c r="Q15" s="134" t="e">
        <f t="shared" si="3"/>
        <v>#REF!</v>
      </c>
      <c r="V15" s="104">
        <v>8</v>
      </c>
      <c r="W15" s="97" t="s">
        <v>459</v>
      </c>
      <c r="X15" s="98" t="s">
        <v>440</v>
      </c>
      <c r="Y15" s="108">
        <v>470.2</v>
      </c>
    </row>
    <row r="16" spans="1:25" x14ac:dyDescent="0.15">
      <c r="A16" s="133"/>
      <c r="B16" s="139" t="s">
        <v>476</v>
      </c>
      <c r="C16" s="150">
        <v>27.5</v>
      </c>
      <c r="D16" s="151"/>
      <c r="E16" s="153" t="e">
        <f>Assumption!#REF!</f>
        <v>#REF!</v>
      </c>
      <c r="F16" s="151"/>
      <c r="G16" s="149" t="e">
        <f>E16*C16</f>
        <v>#REF!</v>
      </c>
      <c r="J16" s="89">
        <f t="shared" si="4"/>
        <v>7</v>
      </c>
      <c r="K16" s="132" t="e">
        <f>#REF!</f>
        <v>#REF!</v>
      </c>
      <c r="L16" s="132" t="e">
        <f>#REF!</f>
        <v>#REF!</v>
      </c>
      <c r="M16" s="132" t="e">
        <f>#REF!</f>
        <v>#REF!</v>
      </c>
      <c r="N16" s="134" t="e">
        <f t="shared" si="0"/>
        <v>#REF!</v>
      </c>
      <c r="O16" s="134" t="e">
        <f t="shared" si="1"/>
        <v>#REF!</v>
      </c>
      <c r="P16" s="134" t="e">
        <f t="shared" si="2"/>
        <v>#REF!</v>
      </c>
      <c r="Q16" s="134" t="e">
        <f t="shared" si="3"/>
        <v>#REF!</v>
      </c>
      <c r="V16" s="96">
        <v>9</v>
      </c>
      <c r="W16" s="97" t="s">
        <v>459</v>
      </c>
      <c r="X16" s="98" t="s">
        <v>441</v>
      </c>
      <c r="Y16" s="108">
        <v>353.6</v>
      </c>
    </row>
    <row r="17" spans="1:25" x14ac:dyDescent="0.15">
      <c r="A17" s="135"/>
      <c r="B17" s="139" t="s">
        <v>477</v>
      </c>
      <c r="C17" s="152">
        <v>162.5</v>
      </c>
      <c r="D17" s="151"/>
      <c r="E17" s="154" t="e">
        <f>E16</f>
        <v>#REF!</v>
      </c>
      <c r="F17" s="151"/>
      <c r="G17" s="149" t="e">
        <f>E16*C17</f>
        <v>#REF!</v>
      </c>
      <c r="J17" s="89">
        <f t="shared" si="4"/>
        <v>8</v>
      </c>
      <c r="K17" s="132" t="e">
        <f>#REF!</f>
        <v>#REF!</v>
      </c>
      <c r="L17" s="132" t="e">
        <f>#REF!</f>
        <v>#REF!</v>
      </c>
      <c r="M17" s="132" t="e">
        <f>#REF!</f>
        <v>#REF!</v>
      </c>
      <c r="N17" s="134" t="e">
        <f t="shared" si="0"/>
        <v>#REF!</v>
      </c>
      <c r="O17" s="134" t="e">
        <f t="shared" si="1"/>
        <v>#REF!</v>
      </c>
      <c r="P17" s="134" t="e">
        <f t="shared" si="2"/>
        <v>#REF!</v>
      </c>
      <c r="Q17" s="134" t="e">
        <f t="shared" si="3"/>
        <v>#REF!</v>
      </c>
      <c r="V17" s="104">
        <v>10</v>
      </c>
      <c r="W17" s="97" t="s">
        <v>459</v>
      </c>
      <c r="X17" s="98" t="s">
        <v>442</v>
      </c>
      <c r="Y17" s="108">
        <v>322.2</v>
      </c>
    </row>
    <row r="18" spans="1:25" x14ac:dyDescent="0.15">
      <c r="A18" s="137"/>
      <c r="B18" s="139" t="s">
        <v>478</v>
      </c>
      <c r="C18" s="152">
        <v>171.5</v>
      </c>
      <c r="D18" s="151"/>
      <c r="E18" s="154" t="e">
        <f t="shared" ref="E18:E38" si="5">E17</f>
        <v>#REF!</v>
      </c>
      <c r="F18" s="151"/>
      <c r="G18" s="149" t="e">
        <f t="shared" ref="G18:G38" si="6">E17*C18</f>
        <v>#REF!</v>
      </c>
      <c r="J18" s="89">
        <f t="shared" si="4"/>
        <v>9</v>
      </c>
      <c r="K18" s="132" t="e">
        <f>#REF!</f>
        <v>#REF!</v>
      </c>
      <c r="L18" s="132" t="e">
        <f>#REF!</f>
        <v>#REF!</v>
      </c>
      <c r="M18" s="132" t="e">
        <f>#REF!</f>
        <v>#REF!</v>
      </c>
      <c r="N18" s="134" t="e">
        <f t="shared" si="0"/>
        <v>#REF!</v>
      </c>
      <c r="O18" s="134" t="e">
        <f t="shared" si="1"/>
        <v>#REF!</v>
      </c>
      <c r="P18" s="134" t="e">
        <f t="shared" si="2"/>
        <v>#REF!</v>
      </c>
      <c r="Q18" s="134" t="e">
        <f t="shared" si="3"/>
        <v>#REF!</v>
      </c>
      <c r="V18" s="96">
        <v>11</v>
      </c>
      <c r="W18" s="97" t="s">
        <v>459</v>
      </c>
      <c r="X18" s="125" t="s">
        <v>443</v>
      </c>
      <c r="Y18" s="108">
        <v>160.5</v>
      </c>
    </row>
    <row r="19" spans="1:25" x14ac:dyDescent="0.15">
      <c r="A19" s="135"/>
      <c r="B19" s="139" t="s">
        <v>479</v>
      </c>
      <c r="C19" s="152">
        <v>219.3</v>
      </c>
      <c r="D19" s="151"/>
      <c r="E19" s="154" t="e">
        <f t="shared" si="5"/>
        <v>#REF!</v>
      </c>
      <c r="F19" s="151"/>
      <c r="G19" s="149" t="e">
        <f t="shared" si="6"/>
        <v>#REF!</v>
      </c>
      <c r="J19" s="89">
        <f t="shared" si="4"/>
        <v>10</v>
      </c>
      <c r="K19" s="132" t="e">
        <f>#REF!</f>
        <v>#REF!</v>
      </c>
      <c r="L19" s="132" t="e">
        <f>#REF!</f>
        <v>#REF!</v>
      </c>
      <c r="M19" s="132" t="e">
        <f>#REF!</f>
        <v>#REF!</v>
      </c>
      <c r="N19" s="134" t="e">
        <f t="shared" si="0"/>
        <v>#REF!</v>
      </c>
      <c r="O19" s="134" t="e">
        <f t="shared" si="1"/>
        <v>#REF!</v>
      </c>
      <c r="P19" s="134" t="e">
        <f t="shared" si="2"/>
        <v>#REF!</v>
      </c>
      <c r="Q19" s="134" t="e">
        <f t="shared" si="3"/>
        <v>#REF!</v>
      </c>
      <c r="V19" s="104">
        <v>12</v>
      </c>
      <c r="W19" s="97" t="s">
        <v>459</v>
      </c>
      <c r="X19" s="125" t="s">
        <v>444</v>
      </c>
      <c r="Y19" s="108">
        <v>239.6</v>
      </c>
    </row>
    <row r="20" spans="1:25" x14ac:dyDescent="0.15">
      <c r="A20" s="137"/>
      <c r="B20" s="139" t="s">
        <v>480</v>
      </c>
      <c r="C20" s="152">
        <v>273.8</v>
      </c>
      <c r="D20" s="151"/>
      <c r="E20" s="154" t="e">
        <f t="shared" si="5"/>
        <v>#REF!</v>
      </c>
      <c r="F20" s="151"/>
      <c r="G20" s="149" t="e">
        <f t="shared" si="6"/>
        <v>#REF!</v>
      </c>
      <c r="J20" s="89">
        <f t="shared" si="4"/>
        <v>11</v>
      </c>
      <c r="K20" s="132" t="e">
        <f>#REF!</f>
        <v>#REF!</v>
      </c>
      <c r="L20" s="132" t="e">
        <f>#REF!</f>
        <v>#REF!</v>
      </c>
      <c r="M20" s="132" t="e">
        <f>#REF!</f>
        <v>#REF!</v>
      </c>
      <c r="N20" s="134" t="e">
        <f t="shared" si="0"/>
        <v>#REF!</v>
      </c>
      <c r="O20" s="134" t="e">
        <f t="shared" si="1"/>
        <v>#REF!</v>
      </c>
      <c r="P20" s="134" t="e">
        <f t="shared" si="2"/>
        <v>#REF!</v>
      </c>
      <c r="Q20" s="134" t="e">
        <f t="shared" si="3"/>
        <v>#REF!</v>
      </c>
      <c r="V20" s="96">
        <v>13</v>
      </c>
      <c r="W20" s="97" t="s">
        <v>459</v>
      </c>
      <c r="X20" s="125" t="s">
        <v>445</v>
      </c>
      <c r="Y20" s="108">
        <v>296.60000000000002</v>
      </c>
    </row>
    <row r="21" spans="1:25" x14ac:dyDescent="0.15">
      <c r="A21" s="135"/>
      <c r="B21" s="139" t="s">
        <v>481</v>
      </c>
      <c r="C21" s="152">
        <v>304.39999999999998</v>
      </c>
      <c r="D21" s="151"/>
      <c r="E21" s="154" t="e">
        <f t="shared" si="5"/>
        <v>#REF!</v>
      </c>
      <c r="F21" s="151"/>
      <c r="G21" s="149" t="e">
        <f t="shared" si="6"/>
        <v>#REF!</v>
      </c>
      <c r="J21" s="89">
        <f t="shared" si="4"/>
        <v>12</v>
      </c>
      <c r="K21" s="132" t="e">
        <f>#REF!</f>
        <v>#REF!</v>
      </c>
      <c r="L21" s="132" t="e">
        <f>#REF!</f>
        <v>#REF!</v>
      </c>
      <c r="M21" s="132" t="e">
        <f>#REF!</f>
        <v>#REF!</v>
      </c>
      <c r="N21" s="134" t="e">
        <f t="shared" si="0"/>
        <v>#REF!</v>
      </c>
      <c r="O21" s="134" t="e">
        <f t="shared" si="1"/>
        <v>#REF!</v>
      </c>
      <c r="P21" s="134" t="e">
        <f t="shared" si="2"/>
        <v>#REF!</v>
      </c>
      <c r="Q21" s="134" t="e">
        <f t="shared" si="3"/>
        <v>#REF!</v>
      </c>
      <c r="V21" s="104">
        <v>14</v>
      </c>
      <c r="W21" s="97" t="s">
        <v>459</v>
      </c>
      <c r="X21" s="98" t="s">
        <v>446</v>
      </c>
      <c r="Y21" s="108">
        <v>364.7</v>
      </c>
    </row>
    <row r="22" spans="1:25" x14ac:dyDescent="0.15">
      <c r="A22" s="137"/>
      <c r="B22" s="139" t="s">
        <v>482</v>
      </c>
      <c r="C22" s="152">
        <v>424.1</v>
      </c>
      <c r="D22" s="151"/>
      <c r="E22" s="154" t="e">
        <f t="shared" si="5"/>
        <v>#REF!</v>
      </c>
      <c r="F22" s="151"/>
      <c r="G22" s="149" t="e">
        <f t="shared" si="6"/>
        <v>#REF!</v>
      </c>
      <c r="J22" s="89">
        <f t="shared" si="4"/>
        <v>13</v>
      </c>
      <c r="K22" s="132" t="e">
        <f>#REF!</f>
        <v>#REF!</v>
      </c>
      <c r="L22" s="132" t="e">
        <f>#REF!</f>
        <v>#REF!</v>
      </c>
      <c r="M22" s="132" t="e">
        <f>#REF!</f>
        <v>#REF!</v>
      </c>
      <c r="N22" s="134" t="e">
        <f t="shared" si="0"/>
        <v>#REF!</v>
      </c>
      <c r="O22" s="134" t="e">
        <f t="shared" si="1"/>
        <v>#REF!</v>
      </c>
      <c r="P22" s="134" t="e">
        <f t="shared" si="2"/>
        <v>#REF!</v>
      </c>
      <c r="Q22" s="134" t="e">
        <f t="shared" si="3"/>
        <v>#REF!</v>
      </c>
      <c r="V22" s="96">
        <v>15</v>
      </c>
      <c r="W22" s="97" t="s">
        <v>459</v>
      </c>
      <c r="X22" s="98" t="s">
        <v>447</v>
      </c>
      <c r="Y22" s="108">
        <v>421</v>
      </c>
    </row>
    <row r="23" spans="1:25" x14ac:dyDescent="0.15">
      <c r="A23" s="135"/>
      <c r="B23" s="139" t="s">
        <v>483</v>
      </c>
      <c r="C23" s="152">
        <v>470.2</v>
      </c>
      <c r="D23" s="151"/>
      <c r="E23" s="154" t="e">
        <f t="shared" si="5"/>
        <v>#REF!</v>
      </c>
      <c r="F23" s="151"/>
      <c r="G23" s="149" t="e">
        <f t="shared" si="6"/>
        <v>#REF!</v>
      </c>
      <c r="J23" s="89">
        <f t="shared" si="4"/>
        <v>14</v>
      </c>
      <c r="K23" s="132" t="e">
        <f>#REF!</f>
        <v>#REF!</v>
      </c>
      <c r="L23" s="132" t="e">
        <f>#REF!</f>
        <v>#REF!</v>
      </c>
      <c r="M23" s="132" t="e">
        <f>#REF!</f>
        <v>#REF!</v>
      </c>
      <c r="N23" s="134" t="e">
        <f t="shared" si="0"/>
        <v>#REF!</v>
      </c>
      <c r="O23" s="134" t="e">
        <f t="shared" si="1"/>
        <v>#REF!</v>
      </c>
      <c r="P23" s="134" t="e">
        <f t="shared" si="2"/>
        <v>#REF!</v>
      </c>
      <c r="Q23" s="134" t="e">
        <f t="shared" si="3"/>
        <v>#REF!</v>
      </c>
      <c r="V23" s="104">
        <v>16</v>
      </c>
      <c r="W23" s="97" t="s">
        <v>459</v>
      </c>
      <c r="X23" s="98" t="s">
        <v>448</v>
      </c>
      <c r="Y23" s="108">
        <v>579.5</v>
      </c>
    </row>
    <row r="24" spans="1:25" x14ac:dyDescent="0.15">
      <c r="A24" s="137"/>
      <c r="B24" s="139" t="s">
        <v>484</v>
      </c>
      <c r="C24" s="152">
        <v>353.6</v>
      </c>
      <c r="D24" s="151"/>
      <c r="E24" s="154" t="e">
        <f t="shared" si="5"/>
        <v>#REF!</v>
      </c>
      <c r="F24" s="151"/>
      <c r="G24" s="149" t="e">
        <f t="shared" si="6"/>
        <v>#REF!</v>
      </c>
      <c r="J24" s="89">
        <f t="shared" si="4"/>
        <v>15</v>
      </c>
      <c r="K24" s="132" t="e">
        <f>#REF!</f>
        <v>#REF!</v>
      </c>
      <c r="L24" s="132" t="e">
        <f>#REF!</f>
        <v>#REF!</v>
      </c>
      <c r="M24" s="132" t="e">
        <f>#REF!</f>
        <v>#REF!</v>
      </c>
      <c r="N24" s="134" t="e">
        <f t="shared" si="0"/>
        <v>#REF!</v>
      </c>
      <c r="O24" s="134" t="e">
        <f t="shared" si="1"/>
        <v>#REF!</v>
      </c>
      <c r="P24" s="134" t="e">
        <f t="shared" si="2"/>
        <v>#REF!</v>
      </c>
      <c r="Q24" s="134" t="e">
        <f t="shared" si="3"/>
        <v>#REF!</v>
      </c>
      <c r="V24" s="96">
        <v>17</v>
      </c>
      <c r="W24" s="97" t="s">
        <v>459</v>
      </c>
      <c r="X24" s="98" t="s">
        <v>449</v>
      </c>
      <c r="Y24" s="108">
        <v>639.4</v>
      </c>
    </row>
    <row r="25" spans="1:25" x14ac:dyDescent="0.15">
      <c r="A25" s="135"/>
      <c r="B25" s="139" t="s">
        <v>485</v>
      </c>
      <c r="C25" s="152">
        <v>322.2</v>
      </c>
      <c r="D25" s="151"/>
      <c r="E25" s="154" t="e">
        <f t="shared" si="5"/>
        <v>#REF!</v>
      </c>
      <c r="F25" s="151"/>
      <c r="G25" s="149" t="e">
        <f t="shared" si="6"/>
        <v>#REF!</v>
      </c>
      <c r="V25" s="104">
        <v>18</v>
      </c>
      <c r="W25" s="97" t="s">
        <v>459</v>
      </c>
      <c r="X25" s="98" t="s">
        <v>450</v>
      </c>
      <c r="Y25" s="108">
        <v>296.60000000000002</v>
      </c>
    </row>
    <row r="26" spans="1:25" x14ac:dyDescent="0.15">
      <c r="A26" s="137"/>
      <c r="B26" s="140" t="s">
        <v>461</v>
      </c>
      <c r="C26" s="152">
        <v>160.5</v>
      </c>
      <c r="D26" s="151"/>
      <c r="E26" s="154" t="e">
        <f t="shared" si="5"/>
        <v>#REF!</v>
      </c>
      <c r="F26" s="151"/>
      <c r="G26" s="149" t="e">
        <f t="shared" si="6"/>
        <v>#REF!</v>
      </c>
      <c r="J26" s="90"/>
      <c r="K26" s="90"/>
      <c r="L26" s="90"/>
      <c r="M26" s="90"/>
      <c r="N26" s="90"/>
      <c r="O26" s="90"/>
      <c r="P26" s="90"/>
      <c r="Q26" s="90"/>
      <c r="V26" s="96">
        <v>19</v>
      </c>
      <c r="W26" s="97" t="s">
        <v>459</v>
      </c>
      <c r="X26" s="98" t="s">
        <v>451</v>
      </c>
      <c r="Y26" s="108">
        <v>451.7</v>
      </c>
    </row>
    <row r="27" spans="1:25" x14ac:dyDescent="0.15">
      <c r="A27" s="135"/>
      <c r="B27" s="140" t="s">
        <v>462</v>
      </c>
      <c r="C27" s="152">
        <v>239.6</v>
      </c>
      <c r="D27" s="151"/>
      <c r="E27" s="154" t="e">
        <f t="shared" si="5"/>
        <v>#REF!</v>
      </c>
      <c r="F27" s="151"/>
      <c r="G27" s="149" t="e">
        <f t="shared" si="6"/>
        <v>#REF!</v>
      </c>
      <c r="V27" s="104">
        <v>20</v>
      </c>
      <c r="W27" s="97" t="s">
        <v>459</v>
      </c>
      <c r="X27" s="98" t="s">
        <v>452</v>
      </c>
      <c r="Y27" s="108"/>
    </row>
    <row r="28" spans="1:25" x14ac:dyDescent="0.15">
      <c r="A28" s="137"/>
      <c r="B28" s="140" t="s">
        <v>463</v>
      </c>
      <c r="C28" s="152">
        <v>296.60000000000002</v>
      </c>
      <c r="D28" s="151"/>
      <c r="E28" s="154" t="e">
        <f t="shared" si="5"/>
        <v>#REF!</v>
      </c>
      <c r="F28" s="151"/>
      <c r="G28" s="149" t="e">
        <f t="shared" si="6"/>
        <v>#REF!</v>
      </c>
      <c r="V28" s="96">
        <v>21</v>
      </c>
      <c r="W28" s="97" t="s">
        <v>459</v>
      </c>
      <c r="X28" s="98" t="s">
        <v>453</v>
      </c>
      <c r="Y28" s="108"/>
    </row>
    <row r="29" spans="1:25" x14ac:dyDescent="0.15">
      <c r="A29" s="135"/>
      <c r="B29" s="139" t="s">
        <v>486</v>
      </c>
      <c r="C29" s="152">
        <v>364.7</v>
      </c>
      <c r="D29" s="151"/>
      <c r="E29" s="154" t="e">
        <f t="shared" si="5"/>
        <v>#REF!</v>
      </c>
      <c r="F29" s="151"/>
      <c r="G29" s="149" t="e">
        <f t="shared" si="6"/>
        <v>#REF!</v>
      </c>
      <c r="V29" s="104">
        <v>22</v>
      </c>
      <c r="W29" s="97" t="s">
        <v>459</v>
      </c>
      <c r="X29" s="98" t="s">
        <v>454</v>
      </c>
      <c r="Y29" s="108">
        <v>1233.2</v>
      </c>
    </row>
    <row r="30" spans="1:25" x14ac:dyDescent="0.15">
      <c r="A30" s="137"/>
      <c r="B30" s="139" t="s">
        <v>487</v>
      </c>
      <c r="C30" s="152">
        <v>421</v>
      </c>
      <c r="D30" s="151"/>
      <c r="E30" s="154" t="e">
        <f t="shared" si="5"/>
        <v>#REF!</v>
      </c>
      <c r="F30" s="151"/>
      <c r="G30" s="149" t="e">
        <f t="shared" si="6"/>
        <v>#REF!</v>
      </c>
      <c r="V30" s="96">
        <v>23</v>
      </c>
      <c r="W30" s="97" t="s">
        <v>459</v>
      </c>
      <c r="X30" s="98" t="s">
        <v>455</v>
      </c>
      <c r="Y30" s="108">
        <v>1256.0999999999999</v>
      </c>
    </row>
    <row r="31" spans="1:25" x14ac:dyDescent="0.15">
      <c r="A31" s="135"/>
      <c r="B31" s="139" t="s">
        <v>488</v>
      </c>
      <c r="C31" s="152">
        <v>579.5</v>
      </c>
      <c r="D31" s="151"/>
      <c r="E31" s="154" t="e">
        <f t="shared" si="5"/>
        <v>#REF!</v>
      </c>
      <c r="F31" s="151"/>
      <c r="G31" s="149" t="e">
        <f t="shared" si="6"/>
        <v>#REF!</v>
      </c>
      <c r="V31" s="104"/>
      <c r="W31" s="105"/>
      <c r="X31" s="98"/>
      <c r="Y31" s="108"/>
    </row>
    <row r="32" spans="1:25" x14ac:dyDescent="0.15">
      <c r="A32" s="137"/>
      <c r="B32" s="139" t="s">
        <v>489</v>
      </c>
      <c r="C32" s="152">
        <v>639.4</v>
      </c>
      <c r="D32" s="151"/>
      <c r="E32" s="154" t="e">
        <f t="shared" si="5"/>
        <v>#REF!</v>
      </c>
      <c r="F32" s="151"/>
      <c r="G32" s="149" t="e">
        <f t="shared" si="6"/>
        <v>#REF!</v>
      </c>
      <c r="V32" s="121"/>
      <c r="W32" s="114"/>
      <c r="X32" s="114"/>
      <c r="Y32" s="115"/>
    </row>
    <row r="33" spans="1:8" x14ac:dyDescent="0.15">
      <c r="A33" s="135"/>
      <c r="B33" s="139" t="s">
        <v>490</v>
      </c>
      <c r="C33" s="152">
        <v>296.60000000000002</v>
      </c>
      <c r="D33" s="151"/>
      <c r="E33" s="154" t="e">
        <f t="shared" si="5"/>
        <v>#REF!</v>
      </c>
      <c r="F33" s="151"/>
      <c r="G33" s="149" t="e">
        <f t="shared" si="6"/>
        <v>#REF!</v>
      </c>
    </row>
    <row r="34" spans="1:8" x14ac:dyDescent="0.15">
      <c r="A34" s="137"/>
      <c r="B34" s="139" t="s">
        <v>491</v>
      </c>
      <c r="C34" s="152">
        <v>451.7</v>
      </c>
      <c r="D34" s="151"/>
      <c r="E34" s="154" t="e">
        <f t="shared" si="5"/>
        <v>#REF!</v>
      </c>
      <c r="F34" s="151"/>
      <c r="G34" s="149" t="e">
        <f t="shared" si="6"/>
        <v>#REF!</v>
      </c>
    </row>
    <row r="35" spans="1:8" x14ac:dyDescent="0.15">
      <c r="A35" s="135"/>
      <c r="B35" s="139" t="s">
        <v>492</v>
      </c>
      <c r="C35" s="152"/>
      <c r="D35" s="151"/>
      <c r="E35" s="154" t="e">
        <f t="shared" si="5"/>
        <v>#REF!</v>
      </c>
      <c r="F35" s="151"/>
      <c r="G35" s="149" t="e">
        <f t="shared" si="6"/>
        <v>#REF!</v>
      </c>
    </row>
    <row r="36" spans="1:8" x14ac:dyDescent="0.15">
      <c r="A36" s="137"/>
      <c r="B36" s="139" t="s">
        <v>493</v>
      </c>
      <c r="C36" s="152"/>
      <c r="D36" s="151"/>
      <c r="E36" s="154" t="e">
        <f t="shared" si="5"/>
        <v>#REF!</v>
      </c>
      <c r="F36" s="151"/>
      <c r="G36" s="149" t="e">
        <f t="shared" si="6"/>
        <v>#REF!</v>
      </c>
    </row>
    <row r="37" spans="1:8" x14ac:dyDescent="0.15">
      <c r="A37" s="135"/>
      <c r="B37" s="139" t="s">
        <v>494</v>
      </c>
      <c r="C37" s="152">
        <v>1233.2</v>
      </c>
      <c r="D37" s="151"/>
      <c r="E37" s="154" t="e">
        <f t="shared" si="5"/>
        <v>#REF!</v>
      </c>
      <c r="F37" s="151"/>
      <c r="G37" s="149" t="e">
        <f t="shared" si="6"/>
        <v>#REF!</v>
      </c>
    </row>
    <row r="38" spans="1:8" x14ac:dyDescent="0.15">
      <c r="A38" s="137"/>
      <c r="B38" s="139" t="s">
        <v>495</v>
      </c>
      <c r="C38" s="152">
        <v>1256.0999999999999</v>
      </c>
      <c r="D38" s="151"/>
      <c r="E38" s="154" t="e">
        <f t="shared" si="5"/>
        <v>#REF!</v>
      </c>
      <c r="F38" s="151"/>
      <c r="G38" s="149" t="e">
        <f t="shared" si="6"/>
        <v>#REF!</v>
      </c>
    </row>
    <row r="39" spans="1:8" x14ac:dyDescent="0.15">
      <c r="A39" s="135"/>
      <c r="B39" s="136"/>
    </row>
    <row r="40" spans="1:8" x14ac:dyDescent="0.25">
      <c r="A40" s="90"/>
      <c r="B40" s="90"/>
      <c r="C40" s="90"/>
      <c r="D40" s="90"/>
      <c r="E40" s="90"/>
      <c r="F40" s="90"/>
      <c r="G40" s="90"/>
      <c r="H40" s="90"/>
    </row>
  </sheetData>
  <mergeCells count="3">
    <mergeCell ref="K6:M6"/>
    <mergeCell ref="N6:Q6"/>
    <mergeCell ref="J6:J7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P25"/>
  <sheetViews>
    <sheetView showGridLines="0" tabSelected="1" topLeftCell="D1" zoomScaleNormal="100" workbookViewId="0">
      <pane ySplit="6" topLeftCell="A7" activePane="bottomLeft" state="frozen"/>
      <selection pane="bottomLeft" activeCell="G6" sqref="G6:M17"/>
    </sheetView>
  </sheetViews>
  <sheetFormatPr defaultColWidth="9.125" defaultRowHeight="11.25" x14ac:dyDescent="0.25"/>
  <cols>
    <col min="1" max="1" width="2.25" style="266" customWidth="1"/>
    <col min="2" max="2" width="12.75" style="266" bestFit="1" customWidth="1"/>
    <col min="3" max="3" width="11" style="266" bestFit="1" customWidth="1"/>
    <col min="4" max="4" width="6.875" style="266" customWidth="1"/>
    <col min="5" max="5" width="16.25" style="266" customWidth="1"/>
    <col min="6" max="6" width="5.625" style="266" customWidth="1"/>
    <col min="7" max="7" width="9.125" style="266"/>
    <col min="8" max="8" width="8.125" style="266" bestFit="1" customWidth="1"/>
    <col min="9" max="9" width="8.125" style="266" customWidth="1"/>
    <col min="10" max="10" width="9.375" style="266" customWidth="1"/>
    <col min="11" max="12" width="9.25" style="266" customWidth="1"/>
    <col min="13" max="13" width="8.75" style="266" customWidth="1"/>
    <col min="14" max="14" width="12.5" style="266" bestFit="1" customWidth="1"/>
    <col min="15" max="15" width="11" style="266" customWidth="1"/>
    <col min="16" max="16" width="16.625" style="266" bestFit="1" customWidth="1"/>
    <col min="17" max="16384" width="9.125" style="266"/>
  </cols>
  <sheetData>
    <row r="1" spans="1:15" x14ac:dyDescent="0.2">
      <c r="A1" s="269" t="str">
        <f>[4]Assumption!A1</f>
        <v>Bisnis Truk Thermoking</v>
      </c>
    </row>
    <row r="2" spans="1:15" x14ac:dyDescent="0.2">
      <c r="A2" s="269" t="str">
        <f>[4]Assumption!A2</f>
        <v>Financial Pre-Feasibility Study</v>
      </c>
    </row>
    <row r="3" spans="1:15" x14ac:dyDescent="0.25">
      <c r="A3" s="271" t="s">
        <v>1209</v>
      </c>
    </row>
    <row r="4" spans="1:15" ht="10.5" customHeight="1" x14ac:dyDescent="0.25"/>
    <row r="5" spans="1:15" x14ac:dyDescent="0.25">
      <c r="O5" s="662" t="s">
        <v>586</v>
      </c>
    </row>
    <row r="6" spans="1:15" ht="24.75" customHeight="1" x14ac:dyDescent="0.25">
      <c r="A6" s="258" t="s">
        <v>547</v>
      </c>
      <c r="B6" s="276"/>
      <c r="C6" s="276"/>
      <c r="D6" s="276"/>
      <c r="E6" s="276"/>
      <c r="G6" s="663" t="s">
        <v>521</v>
      </c>
      <c r="H6" s="664" t="s">
        <v>588</v>
      </c>
      <c r="I6" s="664" t="s">
        <v>737</v>
      </c>
      <c r="J6" s="665" t="s">
        <v>738</v>
      </c>
      <c r="K6" s="665" t="s">
        <v>1210</v>
      </c>
      <c r="L6" s="663" t="s">
        <v>1211</v>
      </c>
      <c r="M6" s="663" t="s">
        <v>1212</v>
      </c>
    </row>
    <row r="7" spans="1:15" x14ac:dyDescent="0.25">
      <c r="A7" s="306" t="s">
        <v>1213</v>
      </c>
      <c r="F7" s="305"/>
      <c r="G7" s="277">
        <v>1</v>
      </c>
      <c r="H7" s="393">
        <f>C9</f>
        <v>221000000</v>
      </c>
      <c r="I7" s="393">
        <f>C10</f>
        <v>25000000</v>
      </c>
      <c r="J7" s="393">
        <f>C11</f>
        <v>12000000</v>
      </c>
      <c r="K7" s="666">
        <f>C12</f>
        <v>12000000</v>
      </c>
      <c r="L7" s="666">
        <f>C13</f>
        <v>32761680</v>
      </c>
      <c r="M7" s="667">
        <f t="shared" ref="M7:M16" si="0">SUM(H7:L7)</f>
        <v>302761680</v>
      </c>
      <c r="N7" s="633">
        <f>M7/12</f>
        <v>25230140</v>
      </c>
    </row>
    <row r="8" spans="1:15" x14ac:dyDescent="0.25">
      <c r="A8" s="263" t="s">
        <v>1214</v>
      </c>
      <c r="F8" s="305"/>
      <c r="G8" s="277">
        <f t="shared" ref="G8:G16" si="1">G7+1</f>
        <v>2</v>
      </c>
      <c r="H8" s="164">
        <f t="shared" ref="H8:H16" si="2">H7*(1+$C$20)</f>
        <v>225420000</v>
      </c>
      <c r="I8" s="164">
        <f t="shared" ref="I8:I16" si="3">I7*(1+$C$21)</f>
        <v>25500000</v>
      </c>
      <c r="J8" s="164">
        <f t="shared" ref="J8:J16" si="4">J7*(1+$C$22)</f>
        <v>12240000</v>
      </c>
      <c r="K8" s="164">
        <f t="shared" ref="K8:K16" si="5">K7*(1+$C$23)</f>
        <v>12240000</v>
      </c>
      <c r="L8" s="164"/>
      <c r="M8" s="667">
        <f t="shared" si="0"/>
        <v>275400000</v>
      </c>
    </row>
    <row r="9" spans="1:15" x14ac:dyDescent="0.25">
      <c r="A9" s="668" t="s">
        <v>1215</v>
      </c>
      <c r="B9" s="263" t="s">
        <v>675</v>
      </c>
      <c r="C9" s="164">
        <f>[4]Salary!I19</f>
        <v>221000000</v>
      </c>
      <c r="D9" s="266" t="s">
        <v>589</v>
      </c>
      <c r="E9" s="266" t="s">
        <v>1216</v>
      </c>
      <c r="F9" s="669"/>
      <c r="G9" s="277">
        <f t="shared" si="1"/>
        <v>3</v>
      </c>
      <c r="H9" s="164">
        <f t="shared" si="2"/>
        <v>229928400</v>
      </c>
      <c r="I9" s="164">
        <f t="shared" si="3"/>
        <v>26010000</v>
      </c>
      <c r="J9" s="164">
        <f t="shared" si="4"/>
        <v>12484800</v>
      </c>
      <c r="K9" s="164">
        <f t="shared" si="5"/>
        <v>12484800</v>
      </c>
      <c r="L9" s="164"/>
      <c r="M9" s="667">
        <f t="shared" si="0"/>
        <v>280908000</v>
      </c>
      <c r="O9" s="164">
        <f>Salary!I11</f>
        <v>65000000</v>
      </c>
    </row>
    <row r="10" spans="1:15" x14ac:dyDescent="0.25">
      <c r="A10" s="668" t="s">
        <v>1217</v>
      </c>
      <c r="B10" s="219" t="s">
        <v>737</v>
      </c>
      <c r="C10" s="670">
        <v>25000000</v>
      </c>
      <c r="D10" s="266" t="s">
        <v>589</v>
      </c>
      <c r="F10" s="671"/>
      <c r="G10" s="277">
        <f t="shared" si="1"/>
        <v>4</v>
      </c>
      <c r="H10" s="164">
        <f t="shared" si="2"/>
        <v>234526968</v>
      </c>
      <c r="I10" s="164">
        <f t="shared" si="3"/>
        <v>26530200</v>
      </c>
      <c r="J10" s="164">
        <f t="shared" si="4"/>
        <v>12734496</v>
      </c>
      <c r="K10" s="164">
        <f t="shared" si="5"/>
        <v>12734496</v>
      </c>
      <c r="L10" s="164"/>
      <c r="M10" s="667">
        <f t="shared" si="0"/>
        <v>286526160</v>
      </c>
      <c r="O10" s="164">
        <f>O9+J7+K7+L7</f>
        <v>121761680</v>
      </c>
    </row>
    <row r="11" spans="1:15" x14ac:dyDescent="0.25">
      <c r="A11" s="668" t="s">
        <v>1218</v>
      </c>
      <c r="B11" s="263" t="s">
        <v>738</v>
      </c>
      <c r="C11" s="670">
        <v>12000000</v>
      </c>
      <c r="D11" s="266" t="s">
        <v>589</v>
      </c>
      <c r="F11" s="669"/>
      <c r="G11" s="277">
        <f t="shared" si="1"/>
        <v>5</v>
      </c>
      <c r="H11" s="164">
        <f t="shared" si="2"/>
        <v>239217507.36000001</v>
      </c>
      <c r="I11" s="164">
        <f t="shared" si="3"/>
        <v>27060804</v>
      </c>
      <c r="J11" s="164">
        <f t="shared" si="4"/>
        <v>12989185.92</v>
      </c>
      <c r="K11" s="164">
        <f t="shared" si="5"/>
        <v>12989185.92</v>
      </c>
      <c r="L11" s="164"/>
      <c r="M11" s="667">
        <f t="shared" si="0"/>
        <v>292256683.20000005</v>
      </c>
    </row>
    <row r="12" spans="1:15" x14ac:dyDescent="0.2">
      <c r="A12" s="263" t="s">
        <v>1219</v>
      </c>
      <c r="B12" s="209" t="s">
        <v>1200</v>
      </c>
      <c r="C12" s="670">
        <v>12000000</v>
      </c>
      <c r="D12" s="266" t="s">
        <v>589</v>
      </c>
      <c r="F12" s="669"/>
      <c r="G12" s="277">
        <f t="shared" si="1"/>
        <v>6</v>
      </c>
      <c r="H12" s="164">
        <f t="shared" si="2"/>
        <v>244001857.50720003</v>
      </c>
      <c r="I12" s="164">
        <f t="shared" si="3"/>
        <v>27602020.080000002</v>
      </c>
      <c r="J12" s="164">
        <f t="shared" si="4"/>
        <v>13248969.6384</v>
      </c>
      <c r="K12" s="164">
        <f t="shared" si="5"/>
        <v>13248969.6384</v>
      </c>
      <c r="L12" s="164"/>
      <c r="M12" s="667">
        <f t="shared" si="0"/>
        <v>298101816.86400008</v>
      </c>
    </row>
    <row r="13" spans="1:15" x14ac:dyDescent="0.2">
      <c r="A13" s="263" t="s">
        <v>1220</v>
      </c>
      <c r="B13" s="209" t="s">
        <v>1211</v>
      </c>
      <c r="C13" s="741">
        <f>CapitalInvestment!C8*1%</f>
        <v>32761680</v>
      </c>
      <c r="D13" s="266" t="s">
        <v>589</v>
      </c>
      <c r="F13" s="669"/>
      <c r="G13" s="277">
        <f t="shared" si="1"/>
        <v>7</v>
      </c>
      <c r="H13" s="164">
        <f t="shared" si="2"/>
        <v>248881894.65734404</v>
      </c>
      <c r="I13" s="164">
        <f t="shared" si="3"/>
        <v>28154060.481600001</v>
      </c>
      <c r="J13" s="164">
        <f t="shared" si="4"/>
        <v>13513949.031167999</v>
      </c>
      <c r="K13" s="164">
        <f t="shared" si="5"/>
        <v>13513949.031167999</v>
      </c>
      <c r="L13" s="164"/>
      <c r="M13" s="667">
        <f t="shared" si="0"/>
        <v>304063853.20128</v>
      </c>
    </row>
    <row r="14" spans="1:15" x14ac:dyDescent="0.25">
      <c r="A14" s="672"/>
      <c r="B14" s="672"/>
      <c r="C14" s="672"/>
      <c r="D14" s="672"/>
      <c r="E14" s="672"/>
      <c r="F14" s="669"/>
      <c r="G14" s="277">
        <f t="shared" si="1"/>
        <v>8</v>
      </c>
      <c r="H14" s="164">
        <f t="shared" si="2"/>
        <v>253859532.55049092</v>
      </c>
      <c r="I14" s="164">
        <f t="shared" si="3"/>
        <v>28717141.691232003</v>
      </c>
      <c r="J14" s="164">
        <f t="shared" si="4"/>
        <v>13784228.01179136</v>
      </c>
      <c r="K14" s="164">
        <f t="shared" si="5"/>
        <v>13784228.01179136</v>
      </c>
      <c r="L14" s="164"/>
      <c r="M14" s="667">
        <f t="shared" si="0"/>
        <v>310145130.26530564</v>
      </c>
    </row>
    <row r="15" spans="1:15" x14ac:dyDescent="0.2">
      <c r="A15" s="272" t="s">
        <v>66</v>
      </c>
      <c r="B15" s="209"/>
      <c r="F15" s="669"/>
      <c r="G15" s="277">
        <f t="shared" si="1"/>
        <v>9</v>
      </c>
      <c r="H15" s="164">
        <f t="shared" si="2"/>
        <v>258936723.20150074</v>
      </c>
      <c r="I15" s="164">
        <f t="shared" si="3"/>
        <v>29291484.525056645</v>
      </c>
      <c r="J15" s="164">
        <f t="shared" si="4"/>
        <v>14059912.572027188</v>
      </c>
      <c r="K15" s="164">
        <f t="shared" si="5"/>
        <v>14059912.572027188</v>
      </c>
      <c r="L15" s="164"/>
      <c r="M15" s="667">
        <f t="shared" si="0"/>
        <v>316348032.87061179</v>
      </c>
    </row>
    <row r="16" spans="1:15" x14ac:dyDescent="0.25">
      <c r="A16" s="266" t="s">
        <v>1221</v>
      </c>
      <c r="F16" s="669"/>
      <c r="G16" s="277">
        <f t="shared" si="1"/>
        <v>10</v>
      </c>
      <c r="H16" s="164">
        <f t="shared" si="2"/>
        <v>264115457.66553077</v>
      </c>
      <c r="I16" s="164">
        <f t="shared" si="3"/>
        <v>29877314.21555778</v>
      </c>
      <c r="J16" s="164">
        <f t="shared" si="4"/>
        <v>14341110.823467731</v>
      </c>
      <c r="K16" s="164">
        <f t="shared" si="5"/>
        <v>14341110.823467731</v>
      </c>
      <c r="L16" s="164"/>
      <c r="M16" s="667">
        <f t="shared" si="0"/>
        <v>322674993.52802402</v>
      </c>
    </row>
    <row r="17" spans="2:16" x14ac:dyDescent="0.25">
      <c r="G17" s="672" t="s">
        <v>1222</v>
      </c>
      <c r="H17" s="284"/>
      <c r="I17" s="284"/>
      <c r="J17" s="284"/>
      <c r="K17" s="284"/>
      <c r="L17" s="284"/>
      <c r="M17" s="673">
        <f>AVERAGE(M7:M16)</f>
        <v>298918634.99292219</v>
      </c>
    </row>
    <row r="18" spans="2:16" x14ac:dyDescent="0.25">
      <c r="B18" s="272" t="s">
        <v>66</v>
      </c>
      <c r="C18" s="674"/>
      <c r="D18" s="674"/>
      <c r="E18" s="674"/>
    </row>
    <row r="19" spans="2:16" x14ac:dyDescent="0.25">
      <c r="B19" s="266" t="s">
        <v>175</v>
      </c>
      <c r="C19" s="675"/>
      <c r="D19" s="675"/>
      <c r="E19" s="675"/>
      <c r="N19" s="307"/>
    </row>
    <row r="20" spans="2:16" x14ac:dyDescent="0.25">
      <c r="B20" s="263" t="s">
        <v>1223</v>
      </c>
      <c r="C20" s="676">
        <v>0.02</v>
      </c>
      <c r="D20" s="677" t="s">
        <v>177</v>
      </c>
    </row>
    <row r="21" spans="2:16" x14ac:dyDescent="0.25">
      <c r="B21" s="219" t="s">
        <v>1224</v>
      </c>
      <c r="C21" s="676">
        <v>0.02</v>
      </c>
      <c r="D21" s="677" t="s">
        <v>177</v>
      </c>
    </row>
    <row r="22" spans="2:16" x14ac:dyDescent="0.25">
      <c r="B22" s="263" t="s">
        <v>1225</v>
      </c>
      <c r="C22" s="676">
        <v>0.02</v>
      </c>
      <c r="D22" s="677" t="s">
        <v>177</v>
      </c>
    </row>
    <row r="23" spans="2:16" x14ac:dyDescent="0.2">
      <c r="B23" s="439" t="s">
        <v>1226</v>
      </c>
      <c r="C23" s="676">
        <v>0.02</v>
      </c>
      <c r="D23" s="677" t="s">
        <v>177</v>
      </c>
    </row>
    <row r="24" spans="2:16" x14ac:dyDescent="0.25">
      <c r="P24" s="633"/>
    </row>
    <row r="25" spans="2:16" x14ac:dyDescent="0.25">
      <c r="P25" s="307"/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S75"/>
  <sheetViews>
    <sheetView showGridLines="0" zoomScale="110" zoomScaleNormal="110" workbookViewId="0">
      <pane ySplit="6" topLeftCell="A7" activePane="bottomLeft" state="frozen"/>
      <selection pane="bottomLeft" activeCell="T35" sqref="T35"/>
    </sheetView>
  </sheetViews>
  <sheetFormatPr defaultColWidth="9.125" defaultRowHeight="11.25" x14ac:dyDescent="0.2"/>
  <cols>
    <col min="1" max="1" width="33.375" style="156" bestFit="1" customWidth="1"/>
    <col min="2" max="2" width="4.75" style="156" customWidth="1"/>
    <col min="3" max="3" width="4.75" style="172" customWidth="1"/>
    <col min="4" max="4" width="23.25" style="156" bestFit="1" customWidth="1"/>
    <col min="5" max="5" width="4.75" style="157" customWidth="1"/>
    <col min="6" max="6" width="7.25" style="157" customWidth="1"/>
    <col min="7" max="8" width="6.875" style="158" bestFit="1" customWidth="1"/>
    <col min="9" max="9" width="8.25" style="156" bestFit="1" customWidth="1"/>
    <col min="10" max="10" width="5.75" style="156" bestFit="1" customWidth="1"/>
    <col min="11" max="11" width="8.25" style="156" bestFit="1" customWidth="1"/>
    <col min="12" max="12" width="4.75" style="156" bestFit="1" customWidth="1"/>
    <col min="13" max="13" width="8.5" style="156" bestFit="1" customWidth="1"/>
    <col min="14" max="14" width="9.125" style="156"/>
    <col min="15" max="15" width="12.375" style="156" customWidth="1"/>
    <col min="16" max="18" width="9.125" style="156"/>
    <col min="19" max="19" width="19.25" style="156" customWidth="1"/>
    <col min="20" max="16384" width="9.125" style="156"/>
  </cols>
  <sheetData>
    <row r="1" spans="1:9" x14ac:dyDescent="0.2">
      <c r="A1" s="308" t="str">
        <f>Assumption!A1</f>
        <v>Bisnis Truk Thermoking</v>
      </c>
    </row>
    <row r="2" spans="1:9" x14ac:dyDescent="0.2">
      <c r="A2" s="308" t="str">
        <f>Assumption!A2</f>
        <v>Financial Pre-Feasibility Study</v>
      </c>
    </row>
    <row r="3" spans="1:9" x14ac:dyDescent="0.2">
      <c r="A3" s="309" t="s">
        <v>588</v>
      </c>
    </row>
    <row r="5" spans="1:9" x14ac:dyDescent="0.2">
      <c r="I5" s="165" t="s">
        <v>387</v>
      </c>
    </row>
    <row r="6" spans="1:9" ht="24" customHeight="1" x14ac:dyDescent="0.2">
      <c r="A6" s="310" t="s">
        <v>547</v>
      </c>
      <c r="B6" s="311"/>
      <c r="C6" s="312"/>
      <c r="D6" s="310" t="s">
        <v>590</v>
      </c>
      <c r="E6" s="313"/>
      <c r="F6" s="313"/>
      <c r="G6" s="314"/>
      <c r="H6" s="314"/>
      <c r="I6" s="161"/>
    </row>
    <row r="7" spans="1:9" x14ac:dyDescent="0.2">
      <c r="A7" s="164" t="s">
        <v>672</v>
      </c>
      <c r="D7" s="163" t="s">
        <v>69</v>
      </c>
      <c r="E7" s="766" t="s">
        <v>70</v>
      </c>
      <c r="F7" s="766"/>
      <c r="G7" s="315" t="s">
        <v>669</v>
      </c>
      <c r="H7" s="765" t="s">
        <v>253</v>
      </c>
      <c r="I7" s="765"/>
    </row>
    <row r="8" spans="1:9" x14ac:dyDescent="0.2">
      <c r="A8" s="392" t="s">
        <v>671</v>
      </c>
      <c r="D8" s="163"/>
      <c r="E8" s="162"/>
      <c r="F8" s="162"/>
      <c r="G8" s="315" t="s">
        <v>252</v>
      </c>
      <c r="H8" s="315" t="s">
        <v>71</v>
      </c>
      <c r="I8" s="315" t="s">
        <v>72</v>
      </c>
    </row>
    <row r="9" spans="1:9" x14ac:dyDescent="0.2">
      <c r="A9" s="392" t="s">
        <v>1201</v>
      </c>
      <c r="C9" s="316"/>
      <c r="D9" s="156" t="s">
        <v>732</v>
      </c>
      <c r="E9" s="159">
        <v>0</v>
      </c>
      <c r="F9" s="157" t="s">
        <v>666</v>
      </c>
      <c r="G9" s="317">
        <v>6000000</v>
      </c>
      <c r="H9" s="158">
        <f t="shared" ref="H9" si="0">E9*G9</f>
        <v>0</v>
      </c>
      <c r="I9" s="156">
        <f>H9*13</f>
        <v>0</v>
      </c>
    </row>
    <row r="10" spans="1:9" x14ac:dyDescent="0.2">
      <c r="A10" s="392" t="s">
        <v>673</v>
      </c>
      <c r="D10" s="156" t="s">
        <v>1199</v>
      </c>
      <c r="E10" s="159">
        <v>1</v>
      </c>
      <c r="F10" s="157" t="s">
        <v>666</v>
      </c>
      <c r="G10" s="317">
        <v>7000000</v>
      </c>
      <c r="H10" s="158">
        <f>E10*G10</f>
        <v>7000000</v>
      </c>
      <c r="I10" s="156">
        <f>H10*13</f>
        <v>91000000</v>
      </c>
    </row>
    <row r="11" spans="1:9" x14ac:dyDescent="0.2">
      <c r="A11" s="156" t="s">
        <v>674</v>
      </c>
      <c r="D11" s="156" t="s">
        <v>1018</v>
      </c>
      <c r="E11" s="159">
        <v>1</v>
      </c>
      <c r="F11" s="157" t="s">
        <v>666</v>
      </c>
      <c r="G11" s="267">
        <v>5000000</v>
      </c>
      <c r="H11" s="158">
        <f t="shared" ref="H11:H12" si="1">E11*G11</f>
        <v>5000000</v>
      </c>
      <c r="I11" s="156">
        <f t="shared" ref="I11:I12" si="2">H11*13</f>
        <v>65000000</v>
      </c>
    </row>
    <row r="12" spans="1:9" x14ac:dyDescent="0.2">
      <c r="D12" s="156" t="s">
        <v>1108</v>
      </c>
      <c r="E12" s="159">
        <v>1</v>
      </c>
      <c r="F12" s="157" t="s">
        <v>666</v>
      </c>
      <c r="G12" s="317">
        <v>5000000</v>
      </c>
      <c r="H12" s="158">
        <f t="shared" si="1"/>
        <v>5000000</v>
      </c>
      <c r="I12" s="156">
        <f t="shared" si="2"/>
        <v>65000000</v>
      </c>
    </row>
    <row r="13" spans="1:9" x14ac:dyDescent="0.2">
      <c r="D13" s="156" t="s">
        <v>736</v>
      </c>
      <c r="E13" s="159">
        <v>0</v>
      </c>
      <c r="F13" s="157" t="s">
        <v>666</v>
      </c>
      <c r="G13" s="317">
        <v>3500000</v>
      </c>
      <c r="H13" s="158">
        <f>E13*G13</f>
        <v>0</v>
      </c>
      <c r="I13" s="156">
        <f>H13*13</f>
        <v>0</v>
      </c>
    </row>
    <row r="14" spans="1:9" x14ac:dyDescent="0.2">
      <c r="D14" s="156" t="s">
        <v>735</v>
      </c>
      <c r="E14" s="159">
        <v>0</v>
      </c>
      <c r="F14" s="157" t="s">
        <v>666</v>
      </c>
      <c r="G14" s="317">
        <v>3500000</v>
      </c>
      <c r="H14" s="158">
        <f>E14*G14</f>
        <v>0</v>
      </c>
      <c r="I14" s="156">
        <f>H14*12</f>
        <v>0</v>
      </c>
    </row>
    <row r="15" spans="1:9" x14ac:dyDescent="0.2">
      <c r="D15" s="156" t="s">
        <v>734</v>
      </c>
      <c r="E15" s="159">
        <v>0</v>
      </c>
      <c r="F15" s="157" t="s">
        <v>666</v>
      </c>
      <c r="G15" s="317">
        <v>2500000</v>
      </c>
      <c r="H15" s="158">
        <f>E15*G15</f>
        <v>0</v>
      </c>
      <c r="I15" s="156">
        <f>H15*12</f>
        <v>0</v>
      </c>
    </row>
    <row r="16" spans="1:9" x14ac:dyDescent="0.2">
      <c r="D16" s="587" t="s">
        <v>733</v>
      </c>
      <c r="E16" s="588">
        <v>0</v>
      </c>
      <c r="F16" s="589" t="s">
        <v>666</v>
      </c>
      <c r="G16" s="590">
        <v>3000000</v>
      </c>
      <c r="H16" s="591">
        <f>E16*G16</f>
        <v>0</v>
      </c>
      <c r="I16" s="587">
        <f>H16*13</f>
        <v>0</v>
      </c>
    </row>
    <row r="18" spans="1:19" x14ac:dyDescent="0.2">
      <c r="A18" s="163"/>
      <c r="B18" s="163"/>
      <c r="D18" s="163"/>
      <c r="E18" s="162"/>
      <c r="F18" s="162"/>
      <c r="G18" s="318"/>
      <c r="H18" s="318"/>
      <c r="I18" s="163"/>
    </row>
    <row r="19" spans="1:19" x14ac:dyDescent="0.2">
      <c r="D19" s="319" t="s">
        <v>518</v>
      </c>
      <c r="E19" s="160">
        <f>SUM(E9:E16)</f>
        <v>3</v>
      </c>
      <c r="G19" s="157"/>
      <c r="H19" s="157"/>
      <c r="I19" s="171">
        <f>SUM(I9:I15)</f>
        <v>221000000</v>
      </c>
    </row>
    <row r="23" spans="1:19" x14ac:dyDescent="0.2">
      <c r="O23" s="437"/>
      <c r="S23" s="437"/>
    </row>
    <row r="24" spans="1:19" x14ac:dyDescent="0.2">
      <c r="O24" s="437"/>
      <c r="S24" s="437"/>
    </row>
    <row r="25" spans="1:19" x14ac:dyDescent="0.2">
      <c r="O25" s="437"/>
      <c r="S25" s="437"/>
    </row>
    <row r="26" spans="1:19" x14ac:dyDescent="0.2">
      <c r="S26" s="437"/>
    </row>
    <row r="56" spans="5:8" x14ac:dyDescent="0.2">
      <c r="E56" s="156"/>
      <c r="F56" s="156"/>
      <c r="G56" s="156"/>
      <c r="H56" s="156"/>
    </row>
    <row r="57" spans="5:8" x14ac:dyDescent="0.2">
      <c r="E57" s="156"/>
      <c r="F57" s="156"/>
      <c r="G57" s="156"/>
      <c r="H57" s="156"/>
    </row>
    <row r="58" spans="5:8" x14ac:dyDescent="0.2">
      <c r="E58" s="156"/>
      <c r="F58" s="156"/>
      <c r="G58" s="156"/>
      <c r="H58" s="156"/>
    </row>
    <row r="59" spans="5:8" x14ac:dyDescent="0.2">
      <c r="E59" s="156"/>
      <c r="F59" s="156"/>
      <c r="G59" s="156"/>
      <c r="H59" s="156"/>
    </row>
    <row r="60" spans="5:8" x14ac:dyDescent="0.2">
      <c r="E60" s="156"/>
      <c r="F60" s="156"/>
      <c r="G60" s="156"/>
      <c r="H60" s="156"/>
    </row>
    <row r="61" spans="5:8" x14ac:dyDescent="0.2">
      <c r="E61" s="156"/>
      <c r="F61" s="156"/>
      <c r="G61" s="156"/>
      <c r="H61" s="156"/>
    </row>
    <row r="62" spans="5:8" x14ac:dyDescent="0.2">
      <c r="E62" s="156"/>
      <c r="F62" s="156"/>
      <c r="G62" s="156"/>
      <c r="H62" s="156"/>
    </row>
    <row r="63" spans="5:8" x14ac:dyDescent="0.2">
      <c r="E63" s="156"/>
      <c r="F63" s="156"/>
      <c r="G63" s="156"/>
      <c r="H63" s="156"/>
    </row>
    <row r="64" spans="5:8" x14ac:dyDescent="0.2">
      <c r="E64" s="156"/>
      <c r="F64" s="156"/>
      <c r="G64" s="156"/>
      <c r="H64" s="156"/>
    </row>
    <row r="65" spans="5:9" x14ac:dyDescent="0.2">
      <c r="E65" s="156"/>
      <c r="F65" s="156"/>
      <c r="G65" s="156"/>
      <c r="H65" s="156"/>
    </row>
    <row r="66" spans="5:9" x14ac:dyDescent="0.2">
      <c r="E66" s="156"/>
      <c r="F66" s="156"/>
      <c r="G66" s="156"/>
      <c r="H66" s="156"/>
    </row>
    <row r="67" spans="5:9" x14ac:dyDescent="0.2">
      <c r="E67" s="156"/>
      <c r="F67" s="156"/>
      <c r="G67" s="156"/>
      <c r="H67" s="156"/>
    </row>
    <row r="68" spans="5:9" x14ac:dyDescent="0.2">
      <c r="E68" s="156"/>
      <c r="F68" s="156"/>
      <c r="G68" s="156"/>
      <c r="H68" s="156"/>
    </row>
    <row r="69" spans="5:9" x14ac:dyDescent="0.2">
      <c r="E69" s="156"/>
      <c r="F69" s="156"/>
      <c r="G69" s="156"/>
      <c r="H69" s="156"/>
    </row>
    <row r="70" spans="5:9" x14ac:dyDescent="0.2">
      <c r="E70" s="156"/>
      <c r="F70" s="156"/>
      <c r="G70" s="156"/>
      <c r="H70" s="156"/>
    </row>
    <row r="71" spans="5:9" x14ac:dyDescent="0.2">
      <c r="E71" s="156"/>
      <c r="F71" s="156"/>
      <c r="G71" s="156"/>
      <c r="H71" s="156"/>
    </row>
    <row r="72" spans="5:9" x14ac:dyDescent="0.2">
      <c r="E72" s="156"/>
      <c r="F72" s="156"/>
      <c r="G72" s="156"/>
      <c r="H72" s="156"/>
    </row>
    <row r="73" spans="5:9" x14ac:dyDescent="0.2">
      <c r="E73" s="156"/>
      <c r="F73" s="156"/>
      <c r="G73" s="156"/>
      <c r="H73" s="156"/>
    </row>
    <row r="74" spans="5:9" x14ac:dyDescent="0.2">
      <c r="E74" s="156"/>
      <c r="F74" s="156"/>
      <c r="G74" s="156"/>
      <c r="H74" s="156"/>
    </row>
    <row r="75" spans="5:9" x14ac:dyDescent="0.2">
      <c r="I75" s="157"/>
    </row>
  </sheetData>
  <mergeCells count="2">
    <mergeCell ref="H7:I7"/>
    <mergeCell ref="E7:F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22"/>
  <sheetViews>
    <sheetView topLeftCell="J1" zoomScale="70" zoomScaleNormal="70" workbookViewId="0">
      <pane ySplit="4" topLeftCell="A5" activePane="bottomLeft" state="frozen"/>
      <selection pane="bottomLeft" activeCell="H48" sqref="H48:S54"/>
    </sheetView>
  </sheetViews>
  <sheetFormatPr defaultColWidth="9" defaultRowHeight="11.25" x14ac:dyDescent="0.2"/>
  <cols>
    <col min="1" max="1" width="24.375" style="167" bestFit="1" customWidth="1"/>
    <col min="2" max="2" width="14.5" style="167" bestFit="1" customWidth="1"/>
    <col min="3" max="3" width="14.375" style="167" bestFit="1" customWidth="1"/>
    <col min="4" max="4" width="7.625" style="167" customWidth="1"/>
    <col min="5" max="5" width="18.375" style="167" bestFit="1" customWidth="1"/>
    <col min="6" max="6" width="15" style="167" bestFit="1" customWidth="1"/>
    <col min="7" max="7" width="6.125" style="167" customWidth="1"/>
    <col min="8" max="8" width="11" style="167" bestFit="1" customWidth="1"/>
    <col min="9" max="9" width="4.5" style="167" bestFit="1" customWidth="1"/>
    <col min="10" max="10" width="15.25" style="167" bestFit="1" customWidth="1"/>
    <col min="11" max="11" width="15.375" style="167" bestFit="1" customWidth="1"/>
    <col min="12" max="19" width="15.25" style="167" bestFit="1" customWidth="1"/>
    <col min="20" max="20" width="6.375" style="167" customWidth="1"/>
    <col min="21" max="22" width="14" style="167" bestFit="1" customWidth="1"/>
    <col min="23" max="26" width="15.25" style="167" bestFit="1" customWidth="1"/>
    <col min="27" max="31" width="12.125" style="167" bestFit="1" customWidth="1"/>
    <col min="32" max="16384" width="9" style="167"/>
  </cols>
  <sheetData>
    <row r="1" spans="1:21" x14ac:dyDescent="0.2">
      <c r="A1" s="166" t="str">
        <f>ProjectValuation!A1</f>
        <v>Bisnis Truk Thermoking</v>
      </c>
    </row>
    <row r="2" spans="1:21" x14ac:dyDescent="0.2">
      <c r="A2" s="166" t="str">
        <f>[5]Assumption!A2</f>
        <v>Financial Pre-Feasibility Study</v>
      </c>
    </row>
    <row r="3" spans="1:21" x14ac:dyDescent="0.2">
      <c r="A3" s="168" t="s">
        <v>572</v>
      </c>
      <c r="E3" s="169"/>
    </row>
    <row r="4" spans="1:21" ht="12" thickBot="1" x14ac:dyDescent="0.25"/>
    <row r="5" spans="1:21" ht="17.25" customHeight="1" x14ac:dyDescent="0.2">
      <c r="A5" s="767" t="s">
        <v>1242</v>
      </c>
      <c r="B5" s="707"/>
      <c r="C5" s="707"/>
      <c r="D5" s="707"/>
      <c r="E5" s="707"/>
      <c r="F5" s="707"/>
      <c r="G5" s="707"/>
      <c r="H5" s="707"/>
      <c r="I5" s="707"/>
      <c r="J5" s="707"/>
      <c r="K5" s="707"/>
      <c r="L5" s="707"/>
      <c r="M5" s="707"/>
      <c r="N5" s="707"/>
      <c r="O5" s="707"/>
      <c r="P5" s="707"/>
      <c r="Q5" s="707"/>
      <c r="R5" s="707"/>
      <c r="S5" s="707"/>
      <c r="T5" s="708"/>
    </row>
    <row r="6" spans="1:21" ht="15.75" customHeight="1" x14ac:dyDescent="0.2">
      <c r="A6" s="768"/>
      <c r="T6" s="686"/>
    </row>
    <row r="7" spans="1:21" ht="16.5" customHeight="1" thickBot="1" x14ac:dyDescent="0.25">
      <c r="A7" s="768"/>
      <c r="T7" s="686"/>
    </row>
    <row r="8" spans="1:21" ht="19.5" customHeight="1" thickBot="1" x14ac:dyDescent="0.3">
      <c r="A8" s="768"/>
      <c r="B8" s="770" t="s">
        <v>1170</v>
      </c>
      <c r="C8" s="770"/>
      <c r="D8" s="770"/>
      <c r="E8" s="770"/>
      <c r="F8" s="770"/>
      <c r="H8" s="771" t="s">
        <v>1251</v>
      </c>
      <c r="I8" s="772"/>
      <c r="J8" s="772"/>
      <c r="K8" s="772"/>
      <c r="L8" s="772"/>
      <c r="M8" s="772"/>
      <c r="N8" s="772"/>
      <c r="O8" s="772"/>
      <c r="P8" s="772"/>
      <c r="Q8" s="772"/>
      <c r="R8" s="772"/>
      <c r="S8" s="773"/>
      <c r="T8" s="686"/>
    </row>
    <row r="9" spans="1:21" ht="27" customHeight="1" thickBot="1" x14ac:dyDescent="0.35">
      <c r="A9" s="768"/>
      <c r="B9" s="624"/>
      <c r="C9" s="624"/>
      <c r="D9" s="624"/>
      <c r="E9" s="624"/>
      <c r="F9" s="624"/>
      <c r="H9" s="689" t="s">
        <v>1187</v>
      </c>
      <c r="I9" s="774" t="s">
        <v>1173</v>
      </c>
      <c r="J9" s="690">
        <f>F19</f>
        <v>305053317.04000002</v>
      </c>
      <c r="K9" s="691">
        <f>S9-48</f>
        <v>48</v>
      </c>
      <c r="L9" s="692">
        <f>S9-40</f>
        <v>56</v>
      </c>
      <c r="M9" s="692">
        <f>S9-38</f>
        <v>58</v>
      </c>
      <c r="N9" s="692">
        <f>S9-36</f>
        <v>60</v>
      </c>
      <c r="O9" s="692">
        <f>S9-32</f>
        <v>64</v>
      </c>
      <c r="P9" s="692">
        <f>S9-24</f>
        <v>72</v>
      </c>
      <c r="Q9" s="692">
        <f>S9-16</f>
        <v>80</v>
      </c>
      <c r="R9" s="692">
        <f>S9-8</f>
        <v>88</v>
      </c>
      <c r="S9" s="693">
        <v>96</v>
      </c>
      <c r="T9" s="686"/>
      <c r="U9" s="724"/>
    </row>
    <row r="10" spans="1:21" ht="16.5" customHeight="1" x14ac:dyDescent="0.3">
      <c r="A10" s="768"/>
      <c r="B10" s="770" t="s">
        <v>1171</v>
      </c>
      <c r="C10" s="770"/>
      <c r="D10" s="624"/>
      <c r="E10" s="770" t="s">
        <v>1172</v>
      </c>
      <c r="F10" s="770"/>
      <c r="H10" s="694">
        <v>2000</v>
      </c>
      <c r="I10" s="775"/>
      <c r="J10" s="695">
        <f>J12+1000000</f>
        <v>37000000</v>
      </c>
      <c r="K10" s="739">
        <f t="dataTable" ref="K10:S14" dt2D="1" dtr="1" r1="C11" r2="C12"/>
        <v>-35201864</v>
      </c>
      <c r="L10" s="722">
        <v>38974170.373333402</v>
      </c>
      <c r="M10" s="722">
        <v>56550127.706666805</v>
      </c>
      <c r="N10" s="696">
        <v>74126085.039999992</v>
      </c>
      <c r="O10" s="697">
        <v>109277999.70666681</v>
      </c>
      <c r="P10" s="697">
        <v>179581829.03999999</v>
      </c>
      <c r="Q10" s="697">
        <v>249885658.3733336</v>
      </c>
      <c r="R10" s="697">
        <v>320189487.70666683</v>
      </c>
      <c r="S10" s="698">
        <v>390493317.04000002</v>
      </c>
      <c r="T10" s="686"/>
    </row>
    <row r="11" spans="1:21" ht="19.5" thickBot="1" x14ac:dyDescent="0.35">
      <c r="A11" s="768"/>
      <c r="B11" t="s">
        <v>1174</v>
      </c>
      <c r="C11" s="709">
        <v>96</v>
      </c>
      <c r="D11" s="624"/>
      <c r="E11" t="s">
        <v>692</v>
      </c>
      <c r="F11" s="710">
        <f>C11*C12</f>
        <v>3456000000</v>
      </c>
      <c r="H11" s="694">
        <v>1900</v>
      </c>
      <c r="I11" s="775"/>
      <c r="J11" s="699">
        <f>J12+500000</f>
        <v>36500000</v>
      </c>
      <c r="K11" s="739">
        <v>-59201864</v>
      </c>
      <c r="L11" s="722">
        <v>14054170.373333404</v>
      </c>
      <c r="M11" s="722">
        <v>30740127.706666809</v>
      </c>
      <c r="N11" s="696">
        <v>47426085.039999999</v>
      </c>
      <c r="O11" s="696">
        <v>80797999.706666812</v>
      </c>
      <c r="P11" s="696">
        <v>147541829.03999999</v>
      </c>
      <c r="Q11" s="696">
        <v>214285658.3733336</v>
      </c>
      <c r="R11" s="696">
        <v>281029487.70666683</v>
      </c>
      <c r="S11" s="700">
        <v>347773317.04000002</v>
      </c>
      <c r="T11" s="686"/>
    </row>
    <row r="12" spans="1:21" ht="19.5" thickBot="1" x14ac:dyDescent="0.35">
      <c r="A12" s="768"/>
      <c r="B12" t="s">
        <v>1175</v>
      </c>
      <c r="C12" s="709">
        <v>36000000</v>
      </c>
      <c r="D12" s="711"/>
      <c r="E12" t="s">
        <v>606</v>
      </c>
      <c r="F12" s="710">
        <f>-C13</f>
        <v>-2604083200</v>
      </c>
      <c r="H12" s="694">
        <v>1800</v>
      </c>
      <c r="I12" s="775"/>
      <c r="J12" s="701">
        <v>36000000</v>
      </c>
      <c r="K12" s="739">
        <v>-83201864</v>
      </c>
      <c r="L12" s="739">
        <v>-12208797.333333254</v>
      </c>
      <c r="M12" s="745">
        <v>4930127.7066668086</v>
      </c>
      <c r="N12" s="722">
        <v>20726085.039999999</v>
      </c>
      <c r="O12" s="696">
        <v>52317999.706666805</v>
      </c>
      <c r="P12" s="696">
        <v>115501829.03999999</v>
      </c>
      <c r="Q12" s="696">
        <v>178685658.3733336</v>
      </c>
      <c r="R12" s="696">
        <v>241869487.7066668</v>
      </c>
      <c r="S12" s="702">
        <v>305053317.04000002</v>
      </c>
      <c r="T12" s="686"/>
    </row>
    <row r="13" spans="1:21" ht="18.75" x14ac:dyDescent="0.3">
      <c r="A13" s="768"/>
      <c r="B13" t="s">
        <v>1176</v>
      </c>
      <c r="C13" s="709">
        <f>(C11*C15)+(C14*C11)</f>
        <v>2604083200</v>
      </c>
      <c r="D13" s="624"/>
      <c r="E13" s="627" t="s">
        <v>283</v>
      </c>
      <c r="F13" s="628">
        <f>SUM(F11:F12)</f>
        <v>851916800</v>
      </c>
      <c r="H13" s="694">
        <v>1700</v>
      </c>
      <c r="I13" s="775"/>
      <c r="J13" s="699">
        <f>J12-500000</f>
        <v>35500000</v>
      </c>
      <c r="K13" s="739">
        <v>-107201864</v>
      </c>
      <c r="L13" s="739">
        <v>-40208797.333333254</v>
      </c>
      <c r="M13" s="739">
        <v>-23460530.666666508</v>
      </c>
      <c r="N13" s="739">
        <v>-6712264</v>
      </c>
      <c r="O13" s="722">
        <v>23837999.706666809</v>
      </c>
      <c r="P13" s="696">
        <v>83461829.039999992</v>
      </c>
      <c r="Q13" s="696">
        <v>143085658.3733336</v>
      </c>
      <c r="R13" s="696">
        <v>202709487.7066668</v>
      </c>
      <c r="S13" s="700">
        <v>262333317.03999999</v>
      </c>
      <c r="T13" s="686"/>
    </row>
    <row r="14" spans="1:21" ht="19.5" thickBot="1" x14ac:dyDescent="0.35">
      <c r="A14" s="768"/>
      <c r="B14" t="s">
        <v>1177</v>
      </c>
      <c r="C14" s="709">
        <v>10485766.666666666</v>
      </c>
      <c r="D14" s="711"/>
      <c r="E14" t="s">
        <v>1178</v>
      </c>
      <c r="F14" s="710">
        <f>-C16</f>
        <v>-302761680</v>
      </c>
      <c r="H14" s="703">
        <v>1600</v>
      </c>
      <c r="I14" s="776"/>
      <c r="J14" s="704">
        <f>J12-1000000</f>
        <v>35000000</v>
      </c>
      <c r="K14" s="740">
        <v>-131201864</v>
      </c>
      <c r="L14" s="740">
        <v>-68208797.333333254</v>
      </c>
      <c r="M14" s="740">
        <v>-52460530.666666508</v>
      </c>
      <c r="N14" s="740">
        <v>-36712264</v>
      </c>
      <c r="O14" s="740">
        <v>-5215730.6666665077</v>
      </c>
      <c r="P14" s="705">
        <v>51421829.039999999</v>
      </c>
      <c r="Q14" s="705">
        <v>107485658.37333362</v>
      </c>
      <c r="R14" s="705">
        <v>163549487.7066668</v>
      </c>
      <c r="S14" s="706">
        <v>219613317.03999999</v>
      </c>
      <c r="T14" s="686"/>
    </row>
    <row r="15" spans="1:21" ht="15.75" x14ac:dyDescent="0.25">
      <c r="A15" s="768"/>
      <c r="B15" t="s">
        <v>1179</v>
      </c>
      <c r="C15" s="709">
        <v>16640100</v>
      </c>
      <c r="D15" s="624"/>
      <c r="E15" t="s">
        <v>1186</v>
      </c>
      <c r="F15" s="710">
        <f>-C17</f>
        <v>-206398584</v>
      </c>
      <c r="H15" s="712"/>
      <c r="I15" s="625"/>
      <c r="J15" s="625"/>
      <c r="K15" s="625"/>
      <c r="L15" s="625"/>
      <c r="M15" s="625"/>
      <c r="N15" s="625"/>
      <c r="T15" s="686"/>
    </row>
    <row r="16" spans="1:21" ht="15.75" x14ac:dyDescent="0.25">
      <c r="A16" s="768"/>
      <c r="B16" t="s">
        <v>1178</v>
      </c>
      <c r="C16" s="709">
        <v>302761680</v>
      </c>
      <c r="D16" s="624"/>
      <c r="E16" s="627" t="s">
        <v>691</v>
      </c>
      <c r="F16" s="628">
        <f>SUM(F13:F15)</f>
        <v>342756536</v>
      </c>
      <c r="G16" s="624"/>
      <c r="H16" s="624" t="s">
        <v>1238</v>
      </c>
      <c r="I16" s="624" t="s">
        <v>1239</v>
      </c>
      <c r="J16" s="624"/>
      <c r="K16" s="624"/>
      <c r="L16" s="624"/>
      <c r="M16" s="624"/>
      <c r="N16" s="624" t="s">
        <v>1241</v>
      </c>
      <c r="O16" s="626"/>
      <c r="P16" s="626"/>
      <c r="Q16" s="626"/>
      <c r="R16" s="626"/>
      <c r="S16" s="626"/>
      <c r="T16" s="686"/>
    </row>
    <row r="17" spans="1:20" ht="15.75" x14ac:dyDescent="0.25">
      <c r="A17" s="768"/>
      <c r="B17" t="s">
        <v>1186</v>
      </c>
      <c r="C17" s="709">
        <v>206398584</v>
      </c>
      <c r="D17" s="624"/>
      <c r="F17" s="629"/>
      <c r="G17" s="624"/>
      <c r="H17" s="624"/>
      <c r="I17" s="624" t="s">
        <v>1240</v>
      </c>
      <c r="J17" s="624"/>
      <c r="K17" s="624"/>
      <c r="L17" s="624"/>
      <c r="M17" s="624"/>
      <c r="N17" s="778" t="s">
        <v>1244</v>
      </c>
      <c r="O17" s="778"/>
      <c r="P17" s="778"/>
      <c r="Q17" s="778"/>
      <c r="R17" s="778"/>
      <c r="S17" s="778"/>
      <c r="T17" s="779"/>
    </row>
    <row r="18" spans="1:20" ht="15.75" x14ac:dyDescent="0.25">
      <c r="A18" s="768"/>
      <c r="B18" t="s">
        <v>1181</v>
      </c>
      <c r="C18" s="713">
        <v>0.11</v>
      </c>
      <c r="D18" s="624"/>
      <c r="E18" t="s">
        <v>1180</v>
      </c>
      <c r="F18" s="714">
        <f>IF(F16&lt;=0,"0",-C18*F16)</f>
        <v>-37703218.960000001</v>
      </c>
      <c r="G18" s="624"/>
      <c r="N18" s="778"/>
      <c r="O18" s="778"/>
      <c r="P18" s="778"/>
      <c r="Q18" s="778"/>
      <c r="R18" s="778"/>
      <c r="S18" s="778"/>
      <c r="T18" s="779"/>
    </row>
    <row r="19" spans="1:20" ht="15.75" x14ac:dyDescent="0.25">
      <c r="A19" s="768"/>
      <c r="B19" s="777" t="s">
        <v>1183</v>
      </c>
      <c r="C19" s="777"/>
      <c r="D19" s="624"/>
      <c r="E19" s="630" t="s">
        <v>1182</v>
      </c>
      <c r="F19" s="631">
        <f>SUM(F16:F18)</f>
        <v>305053317.04000002</v>
      </c>
      <c r="G19" s="624"/>
      <c r="I19" s="715"/>
      <c r="J19" s="715"/>
      <c r="K19" s="715"/>
      <c r="L19" s="715"/>
      <c r="M19" s="715"/>
      <c r="N19" s="715"/>
      <c r="T19" s="686"/>
    </row>
    <row r="20" spans="1:20" ht="15.75" x14ac:dyDescent="0.25">
      <c r="A20" s="768"/>
      <c r="B20" t="s">
        <v>171</v>
      </c>
      <c r="C20" s="716">
        <v>40000000</v>
      </c>
      <c r="D20" s="624"/>
      <c r="E20" s="624"/>
      <c r="F20" s="624"/>
      <c r="G20" s="624"/>
      <c r="T20" s="686"/>
    </row>
    <row r="21" spans="1:20" ht="15.75" x14ac:dyDescent="0.25">
      <c r="A21" s="768"/>
      <c r="B21" t="s">
        <v>1184</v>
      </c>
      <c r="C21" s="716">
        <v>24000</v>
      </c>
      <c r="E21" s="624"/>
      <c r="F21" s="624"/>
      <c r="T21" s="686"/>
    </row>
    <row r="22" spans="1:20" ht="16.5" thickBot="1" x14ac:dyDescent="0.3">
      <c r="A22" s="769"/>
      <c r="B22" s="717" t="s">
        <v>1185</v>
      </c>
      <c r="C22" s="718">
        <v>39000</v>
      </c>
      <c r="D22" s="687"/>
      <c r="E22" s="719"/>
      <c r="F22" s="687"/>
      <c r="G22" s="687"/>
      <c r="H22" s="687"/>
      <c r="I22" s="687"/>
      <c r="J22" s="687"/>
      <c r="K22" s="687"/>
      <c r="L22" s="687"/>
      <c r="M22" s="687"/>
      <c r="N22" s="720"/>
      <c r="O22" s="687"/>
      <c r="P22" s="721"/>
      <c r="Q22" s="687"/>
      <c r="R22" s="687"/>
      <c r="S22" s="687"/>
      <c r="T22" s="688"/>
    </row>
    <row r="23" spans="1:20" ht="12" customHeight="1" x14ac:dyDescent="0.25">
      <c r="A23" s="725"/>
      <c r="B23" s="624"/>
      <c r="C23" s="729"/>
      <c r="E23" s="726"/>
      <c r="N23" s="727"/>
      <c r="P23" s="728"/>
    </row>
    <row r="24" spans="1:20" ht="12" customHeight="1" x14ac:dyDescent="0.25">
      <c r="A24" s="725"/>
      <c r="B24" s="624"/>
      <c r="C24" s="729"/>
      <c r="E24" s="726"/>
      <c r="N24" s="727"/>
      <c r="P24" s="728"/>
    </row>
    <row r="25" spans="1:20" ht="11.25" customHeight="1" thickBot="1" x14ac:dyDescent="0.3">
      <c r="B25" s="624"/>
    </row>
    <row r="26" spans="1:20" ht="11.25" customHeight="1" x14ac:dyDescent="0.2">
      <c r="A26" s="767" t="s">
        <v>1243</v>
      </c>
      <c r="B26" s="707"/>
      <c r="C26" s="707"/>
      <c r="D26" s="707"/>
      <c r="E26" s="707"/>
      <c r="F26" s="707"/>
      <c r="G26" s="707"/>
      <c r="H26" s="707"/>
      <c r="I26" s="707"/>
      <c r="J26" s="707"/>
      <c r="K26" s="707"/>
      <c r="L26" s="707"/>
      <c r="M26" s="707"/>
      <c r="N26" s="707"/>
      <c r="O26" s="707"/>
      <c r="P26" s="707"/>
      <c r="Q26" s="707"/>
      <c r="R26" s="707"/>
      <c r="S26" s="707"/>
      <c r="T26" s="708"/>
    </row>
    <row r="27" spans="1:20" ht="12" customHeight="1" x14ac:dyDescent="0.2">
      <c r="A27" s="768"/>
      <c r="T27" s="686"/>
    </row>
    <row r="28" spans="1:20" ht="16.5" customHeight="1" thickBot="1" x14ac:dyDescent="0.25">
      <c r="A28" s="768"/>
      <c r="T28" s="686"/>
    </row>
    <row r="29" spans="1:20" ht="19.5" customHeight="1" thickBot="1" x14ac:dyDescent="0.3">
      <c r="A29" s="768"/>
      <c r="B29" s="770" t="s">
        <v>1170</v>
      </c>
      <c r="C29" s="770"/>
      <c r="D29" s="770"/>
      <c r="E29" s="770"/>
      <c r="F29" s="770"/>
      <c r="H29" s="771" t="s">
        <v>1251</v>
      </c>
      <c r="I29" s="772"/>
      <c r="J29" s="772"/>
      <c r="K29" s="772"/>
      <c r="L29" s="772"/>
      <c r="M29" s="772"/>
      <c r="N29" s="772"/>
      <c r="O29" s="772"/>
      <c r="P29" s="772"/>
      <c r="Q29" s="772"/>
      <c r="R29" s="772"/>
      <c r="S29" s="773"/>
      <c r="T29" s="686"/>
    </row>
    <row r="30" spans="1:20" ht="18.75" customHeight="1" thickBot="1" x14ac:dyDescent="0.35">
      <c r="A30" s="768"/>
      <c r="B30" s="624"/>
      <c r="C30" s="624"/>
      <c r="D30" s="624"/>
      <c r="E30" s="624"/>
      <c r="F30" s="624"/>
      <c r="H30" s="689" t="s">
        <v>1187</v>
      </c>
      <c r="I30" s="774" t="s">
        <v>1173</v>
      </c>
      <c r="J30" s="690">
        <f>F40</f>
        <v>466143317.04000002</v>
      </c>
      <c r="K30" s="691">
        <f>S30-48</f>
        <v>48</v>
      </c>
      <c r="L30" s="692">
        <f>S30-40</f>
        <v>56</v>
      </c>
      <c r="M30" s="692">
        <f>S30-38</f>
        <v>58</v>
      </c>
      <c r="N30" s="692">
        <f>S30-36</f>
        <v>60</v>
      </c>
      <c r="O30" s="692">
        <f>S30-32</f>
        <v>64</v>
      </c>
      <c r="P30" s="692">
        <f>S30-24</f>
        <v>72</v>
      </c>
      <c r="Q30" s="692">
        <f>S30-16</f>
        <v>80</v>
      </c>
      <c r="R30" s="692">
        <f>S30-8</f>
        <v>88</v>
      </c>
      <c r="S30" s="693">
        <v>96</v>
      </c>
      <c r="T30" s="686"/>
    </row>
    <row r="31" spans="1:20" ht="19.5" customHeight="1" x14ac:dyDescent="0.3">
      <c r="A31" s="768"/>
      <c r="B31" s="770" t="s">
        <v>1171</v>
      </c>
      <c r="C31" s="770"/>
      <c r="D31" s="624"/>
      <c r="E31" s="770" t="s">
        <v>1172</v>
      </c>
      <c r="F31" s="770"/>
      <c r="H31" s="694">
        <v>2000</v>
      </c>
      <c r="I31" s="775"/>
      <c r="J31" s="695">
        <f>J33+1000000</f>
        <v>37000000</v>
      </c>
      <c r="K31" s="696">
        <f t="dataTable" ref="K31:S35" dt2D="1" dtr="1" r1="C32" r2="C33"/>
        <v>129760341.03999999</v>
      </c>
      <c r="L31" s="696">
        <v>200064170.37333339</v>
      </c>
      <c r="M31" s="696">
        <v>217640127.7066668</v>
      </c>
      <c r="N31" s="696">
        <v>235216085.03999999</v>
      </c>
      <c r="O31" s="697">
        <v>270367999.70666683</v>
      </c>
      <c r="P31" s="697">
        <v>340671829.04000002</v>
      </c>
      <c r="Q31" s="697">
        <v>410975658.37333363</v>
      </c>
      <c r="R31" s="697">
        <v>481279487.70666683</v>
      </c>
      <c r="S31" s="698">
        <v>551583317.03999996</v>
      </c>
      <c r="T31" s="686"/>
    </row>
    <row r="32" spans="1:20" ht="19.5" customHeight="1" thickBot="1" x14ac:dyDescent="0.35">
      <c r="A32" s="768"/>
      <c r="B32" t="s">
        <v>1174</v>
      </c>
      <c r="C32" s="709">
        <v>96</v>
      </c>
      <c r="D32" s="624"/>
      <c r="E32" t="s">
        <v>692</v>
      </c>
      <c r="F32" s="710">
        <f>C32*C33</f>
        <v>3456000000</v>
      </c>
      <c r="H32" s="694">
        <v>1900</v>
      </c>
      <c r="I32" s="775"/>
      <c r="J32" s="699">
        <f>J33+500000</f>
        <v>36500000</v>
      </c>
      <c r="K32" s="696">
        <v>108400341.03999999</v>
      </c>
      <c r="L32" s="696">
        <v>175144170.37333339</v>
      </c>
      <c r="M32" s="696">
        <v>191830127.7066668</v>
      </c>
      <c r="N32" s="696">
        <v>208516085.03999999</v>
      </c>
      <c r="O32" s="696">
        <v>241887999.7066668</v>
      </c>
      <c r="P32" s="696">
        <v>308631829.04000002</v>
      </c>
      <c r="Q32" s="696">
        <v>375375658.37333363</v>
      </c>
      <c r="R32" s="696">
        <v>442119487.70666683</v>
      </c>
      <c r="S32" s="700">
        <v>508863317.04000002</v>
      </c>
      <c r="T32" s="686"/>
    </row>
    <row r="33" spans="1:20" ht="18.75" customHeight="1" thickBot="1" x14ac:dyDescent="0.35">
      <c r="A33" s="768"/>
      <c r="B33" t="s">
        <v>1175</v>
      </c>
      <c r="C33" s="709">
        <v>36000000</v>
      </c>
      <c r="D33" s="711"/>
      <c r="E33" t="s">
        <v>606</v>
      </c>
      <c r="F33" s="710">
        <f>-C34</f>
        <v>-2604083200</v>
      </c>
      <c r="H33" s="694">
        <v>1800</v>
      </c>
      <c r="I33" s="775"/>
      <c r="J33" s="701">
        <v>36000000</v>
      </c>
      <c r="K33" s="738">
        <v>87040341.039999992</v>
      </c>
      <c r="L33" s="722">
        <v>150224170.37333339</v>
      </c>
      <c r="M33" s="722">
        <v>166020127.7066668</v>
      </c>
      <c r="N33" s="722">
        <v>181816085.03999999</v>
      </c>
      <c r="O33" s="696">
        <v>213407999.7066668</v>
      </c>
      <c r="P33" s="696">
        <v>276591829.04000002</v>
      </c>
      <c r="Q33" s="696">
        <v>339775658.37333363</v>
      </c>
      <c r="R33" s="696">
        <v>402959487.70666683</v>
      </c>
      <c r="S33" s="702">
        <v>466143317.04000002</v>
      </c>
      <c r="T33" s="686"/>
    </row>
    <row r="34" spans="1:20" ht="19.5" customHeight="1" x14ac:dyDescent="0.3">
      <c r="A34" s="768"/>
      <c r="B34" t="s">
        <v>1176</v>
      </c>
      <c r="C34" s="709">
        <f>(C32*C36)+(C35*C32)</f>
        <v>2604083200</v>
      </c>
      <c r="D34" s="624"/>
      <c r="E34" s="627" t="s">
        <v>283</v>
      </c>
      <c r="F34" s="628">
        <f>SUM(F32:F33)</f>
        <v>851916800</v>
      </c>
      <c r="H34" s="694">
        <v>1700</v>
      </c>
      <c r="I34" s="775"/>
      <c r="J34" s="699">
        <f>J33-500000</f>
        <v>35500000</v>
      </c>
      <c r="K34" s="696">
        <v>65680341.039999999</v>
      </c>
      <c r="L34" s="696">
        <v>125304170.37333341</v>
      </c>
      <c r="M34" s="696">
        <v>140210127.7066668</v>
      </c>
      <c r="N34" s="696">
        <v>155116085.03999999</v>
      </c>
      <c r="O34" s="696">
        <v>184927999.7066668</v>
      </c>
      <c r="P34" s="696">
        <v>244551829.03999999</v>
      </c>
      <c r="Q34" s="696">
        <v>304175658.37333363</v>
      </c>
      <c r="R34" s="696">
        <v>363799487.70666683</v>
      </c>
      <c r="S34" s="700">
        <v>423423317.04000002</v>
      </c>
      <c r="T34" s="686"/>
    </row>
    <row r="35" spans="1:20" ht="15.75" customHeight="1" thickBot="1" x14ac:dyDescent="0.35">
      <c r="A35" s="768"/>
      <c r="B35" t="s">
        <v>1177</v>
      </c>
      <c r="C35" s="709">
        <v>10485766.666666666</v>
      </c>
      <c r="D35" s="711"/>
      <c r="E35" t="s">
        <v>1178</v>
      </c>
      <c r="F35" s="710">
        <f>-C37</f>
        <v>-121761680</v>
      </c>
      <c r="H35" s="703">
        <v>1600</v>
      </c>
      <c r="I35" s="776"/>
      <c r="J35" s="704">
        <f>J33-1000000</f>
        <v>35000000</v>
      </c>
      <c r="K35" s="705">
        <v>44320341.039999999</v>
      </c>
      <c r="L35" s="705">
        <v>100384170.37333341</v>
      </c>
      <c r="M35" s="705">
        <v>114400127.70666681</v>
      </c>
      <c r="N35" s="705">
        <v>128416085.03999999</v>
      </c>
      <c r="O35" s="705">
        <v>156447999.7066668</v>
      </c>
      <c r="P35" s="705">
        <v>212511829.03999999</v>
      </c>
      <c r="Q35" s="705">
        <v>268575658.37333363</v>
      </c>
      <c r="R35" s="705">
        <v>324639487.70666683</v>
      </c>
      <c r="S35" s="706">
        <v>380703317.04000002</v>
      </c>
      <c r="T35" s="686"/>
    </row>
    <row r="36" spans="1:20" ht="15.75" customHeight="1" x14ac:dyDescent="0.25">
      <c r="A36" s="768"/>
      <c r="B36" t="s">
        <v>1179</v>
      </c>
      <c r="C36" s="709">
        <v>16640100</v>
      </c>
      <c r="D36" s="624"/>
      <c r="E36" t="s">
        <v>1186</v>
      </c>
      <c r="F36" s="710">
        <f>-C38</f>
        <v>-206398584</v>
      </c>
      <c r="H36" s="712"/>
      <c r="I36" s="625"/>
      <c r="J36" s="625"/>
      <c r="K36" s="625"/>
      <c r="L36" s="625"/>
      <c r="M36" s="625"/>
      <c r="N36" s="625"/>
      <c r="T36" s="686"/>
    </row>
    <row r="37" spans="1:20" ht="15.75" customHeight="1" x14ac:dyDescent="0.25">
      <c r="A37" s="768"/>
      <c r="B37" t="s">
        <v>1178</v>
      </c>
      <c r="C37" s="709">
        <f>'SG&amp;A Truck Thermoking'!O10</f>
        <v>121761680</v>
      </c>
      <c r="D37" s="624"/>
      <c r="E37" s="627" t="s">
        <v>691</v>
      </c>
      <c r="F37" s="628">
        <f>SUM(F34:F36)</f>
        <v>523756536</v>
      </c>
      <c r="G37" s="624"/>
      <c r="H37" s="624" t="s">
        <v>1239</v>
      </c>
      <c r="J37" s="624"/>
      <c r="K37" s="624"/>
      <c r="L37" s="624"/>
      <c r="M37" s="624"/>
      <c r="N37" s="624" t="s">
        <v>1241</v>
      </c>
      <c r="O37" s="626"/>
      <c r="P37" s="626"/>
      <c r="Q37" s="626"/>
      <c r="R37" s="626"/>
      <c r="S37" s="626"/>
      <c r="T37" s="686"/>
    </row>
    <row r="38" spans="1:20" ht="15.75" customHeight="1" x14ac:dyDescent="0.25">
      <c r="A38" s="768"/>
      <c r="B38" t="s">
        <v>1186</v>
      </c>
      <c r="C38" s="709">
        <v>206398584</v>
      </c>
      <c r="D38" s="624"/>
      <c r="F38" s="629"/>
      <c r="G38" s="624"/>
      <c r="H38" s="783" t="s">
        <v>1245</v>
      </c>
      <c r="I38" s="783"/>
      <c r="J38" s="783"/>
      <c r="K38" s="783"/>
      <c r="L38" s="783"/>
      <c r="M38" s="624"/>
      <c r="N38" s="778" t="s">
        <v>1244</v>
      </c>
      <c r="O38" s="778"/>
      <c r="P38" s="778"/>
      <c r="Q38" s="778"/>
      <c r="R38" s="778"/>
      <c r="S38" s="778"/>
      <c r="T38" s="779"/>
    </row>
    <row r="39" spans="1:20" ht="15.75" customHeight="1" x14ac:dyDescent="0.25">
      <c r="A39" s="768"/>
      <c r="B39" t="s">
        <v>1181</v>
      </c>
      <c r="C39" s="713">
        <v>0.11</v>
      </c>
      <c r="D39" s="624"/>
      <c r="E39" t="s">
        <v>1180</v>
      </c>
      <c r="F39" s="714">
        <f>IF(F37&lt;=0,"0",-C39*F37)</f>
        <v>-57613218.960000001</v>
      </c>
      <c r="G39" s="624"/>
      <c r="H39" s="783"/>
      <c r="I39" s="783"/>
      <c r="J39" s="783"/>
      <c r="K39" s="783"/>
      <c r="L39" s="783"/>
      <c r="N39" s="778"/>
      <c r="O39" s="778"/>
      <c r="P39" s="778"/>
      <c r="Q39" s="778"/>
      <c r="R39" s="778"/>
      <c r="S39" s="778"/>
      <c r="T39" s="779"/>
    </row>
    <row r="40" spans="1:20" ht="15.75" customHeight="1" x14ac:dyDescent="0.25">
      <c r="A40" s="768"/>
      <c r="B40" s="777" t="s">
        <v>1183</v>
      </c>
      <c r="C40" s="777"/>
      <c r="D40" s="624"/>
      <c r="E40" s="630" t="s">
        <v>1182</v>
      </c>
      <c r="F40" s="631">
        <f>SUM(F37:F39)</f>
        <v>466143317.04000002</v>
      </c>
      <c r="G40" s="624"/>
      <c r="I40" s="730"/>
      <c r="J40" s="730"/>
      <c r="K40" s="730"/>
      <c r="L40" s="730"/>
      <c r="M40" s="715"/>
      <c r="N40" s="715"/>
      <c r="T40" s="686"/>
    </row>
    <row r="41" spans="1:20" ht="15.75" customHeight="1" x14ac:dyDescent="0.25">
      <c r="A41" s="768"/>
      <c r="B41" t="s">
        <v>171</v>
      </c>
      <c r="C41" s="716">
        <v>40000000</v>
      </c>
      <c r="D41" s="624"/>
      <c r="E41" s="624"/>
      <c r="F41" s="624"/>
      <c r="G41" s="624"/>
      <c r="T41" s="686"/>
    </row>
    <row r="42" spans="1:20" ht="16.5" customHeight="1" x14ac:dyDescent="0.25">
      <c r="A42" s="768"/>
      <c r="B42" t="s">
        <v>1184</v>
      </c>
      <c r="C42" s="716">
        <v>24000</v>
      </c>
      <c r="E42" s="624"/>
      <c r="F42" s="624"/>
      <c r="T42" s="686"/>
    </row>
    <row r="43" spans="1:20" ht="16.5" thickBot="1" x14ac:dyDescent="0.3">
      <c r="A43" s="769"/>
      <c r="B43" s="717" t="s">
        <v>1185</v>
      </c>
      <c r="C43" s="718">
        <v>39000</v>
      </c>
      <c r="D43" s="687"/>
      <c r="E43" s="719"/>
      <c r="F43" s="687"/>
      <c r="G43" s="687"/>
      <c r="H43" s="687"/>
      <c r="I43" s="687"/>
      <c r="J43" s="687"/>
      <c r="K43" s="687"/>
      <c r="L43" s="687"/>
      <c r="M43" s="687"/>
      <c r="N43" s="720"/>
      <c r="O43" s="687"/>
      <c r="P43" s="721"/>
      <c r="Q43" s="687"/>
      <c r="R43" s="687"/>
      <c r="S43" s="687"/>
      <c r="T43" s="688"/>
    </row>
    <row r="44" spans="1:20" ht="31.5" x14ac:dyDescent="0.25">
      <c r="A44" s="725"/>
      <c r="B44" s="624"/>
      <c r="C44" s="729"/>
      <c r="E44" s="726"/>
      <c r="N44" s="727"/>
      <c r="P44" s="728"/>
    </row>
    <row r="45" spans="1:20" ht="12" thickBot="1" x14ac:dyDescent="0.25"/>
    <row r="46" spans="1:20" x14ac:dyDescent="0.2">
      <c r="A46" s="780" t="s">
        <v>1233</v>
      </c>
      <c r="B46" s="707"/>
      <c r="C46" s="707"/>
      <c r="D46" s="707"/>
      <c r="E46" s="707"/>
      <c r="F46" s="707"/>
      <c r="G46" s="707"/>
      <c r="H46" s="707"/>
      <c r="I46" s="707"/>
      <c r="J46" s="707"/>
      <c r="K46" s="707"/>
      <c r="L46" s="707"/>
      <c r="M46" s="707"/>
      <c r="N46" s="707"/>
      <c r="O46" s="707"/>
      <c r="P46" s="707"/>
      <c r="Q46" s="707"/>
      <c r="R46" s="707"/>
      <c r="S46" s="707"/>
      <c r="T46" s="708"/>
    </row>
    <row r="47" spans="1:20" ht="12" thickBot="1" x14ac:dyDescent="0.25">
      <c r="A47" s="781"/>
      <c r="T47" s="686"/>
    </row>
    <row r="48" spans="1:20" ht="19.5" thickBot="1" x14ac:dyDescent="0.3">
      <c r="A48" s="781"/>
      <c r="B48" s="770" t="s">
        <v>1170</v>
      </c>
      <c r="C48" s="770"/>
      <c r="D48" s="770"/>
      <c r="E48" s="770"/>
      <c r="F48" s="770"/>
      <c r="H48" s="771" t="s">
        <v>1251</v>
      </c>
      <c r="I48" s="772"/>
      <c r="J48" s="772"/>
      <c r="K48" s="772"/>
      <c r="L48" s="772"/>
      <c r="M48" s="772"/>
      <c r="N48" s="772"/>
      <c r="O48" s="772"/>
      <c r="P48" s="772"/>
      <c r="Q48" s="772"/>
      <c r="R48" s="772"/>
      <c r="S48" s="773"/>
      <c r="T48" s="686"/>
    </row>
    <row r="49" spans="1:20" ht="19.5" thickBot="1" x14ac:dyDescent="0.35">
      <c r="A49" s="781"/>
      <c r="B49" s="624"/>
      <c r="C49" s="624"/>
      <c r="D49" s="624"/>
      <c r="E49" s="624"/>
      <c r="F49" s="624"/>
      <c r="H49" s="689" t="s">
        <v>1187</v>
      </c>
      <c r="I49" s="774" t="s">
        <v>1173</v>
      </c>
      <c r="J49" s="690">
        <f>F59</f>
        <v>614853844.24000001</v>
      </c>
      <c r="K49" s="691">
        <f>S49-48</f>
        <v>48</v>
      </c>
      <c r="L49" s="692">
        <f>S49-40</f>
        <v>56</v>
      </c>
      <c r="M49" s="692">
        <f>S49-38</f>
        <v>58</v>
      </c>
      <c r="N49" s="692">
        <f>S49-36</f>
        <v>60</v>
      </c>
      <c r="O49" s="692">
        <f>S49-32</f>
        <v>64</v>
      </c>
      <c r="P49" s="692">
        <f>S49-24</f>
        <v>72</v>
      </c>
      <c r="Q49" s="692">
        <f>S49-16</f>
        <v>80</v>
      </c>
      <c r="R49" s="692">
        <f>S49-8</f>
        <v>88</v>
      </c>
      <c r="S49" s="693">
        <v>96</v>
      </c>
      <c r="T49" s="686"/>
    </row>
    <row r="50" spans="1:20" ht="18.75" x14ac:dyDescent="0.3">
      <c r="A50" s="781"/>
      <c r="B50" s="770" t="s">
        <v>1171</v>
      </c>
      <c r="C50" s="770"/>
      <c r="D50" s="624"/>
      <c r="E50" s="770" t="s">
        <v>1172</v>
      </c>
      <c r="F50" s="770"/>
      <c r="H50" s="694">
        <v>2000</v>
      </c>
      <c r="I50" s="775"/>
      <c r="J50" s="695">
        <f>J52+1000000</f>
        <v>37000000</v>
      </c>
      <c r="K50" s="696">
        <f t="dataTable" ref="K50:S54" dt2D="1" dtr="1" r1="C51" r2="C52"/>
        <v>135746552.24000001</v>
      </c>
      <c r="L50" s="696">
        <v>229837767.5733332</v>
      </c>
      <c r="M50" s="696">
        <v>253360571.40666661</v>
      </c>
      <c r="N50" s="696">
        <v>276883375.24000001</v>
      </c>
      <c r="O50" s="697">
        <v>323928982.90666658</v>
      </c>
      <c r="P50" s="697">
        <v>418020198.24000001</v>
      </c>
      <c r="Q50" s="697">
        <v>512111413.5733332</v>
      </c>
      <c r="R50" s="697">
        <v>606202628.90666664</v>
      </c>
      <c r="S50" s="698">
        <v>700293844.24000001</v>
      </c>
      <c r="T50" s="686"/>
    </row>
    <row r="51" spans="1:20" ht="19.5" thickBot="1" x14ac:dyDescent="0.35">
      <c r="A51" s="781"/>
      <c r="B51" t="s">
        <v>1174</v>
      </c>
      <c r="C51" s="709">
        <v>96</v>
      </c>
      <c r="D51" s="624"/>
      <c r="E51" t="s">
        <v>692</v>
      </c>
      <c r="F51" s="710">
        <f>C51*C52</f>
        <v>3456000000</v>
      </c>
      <c r="H51" s="694">
        <v>1900</v>
      </c>
      <c r="I51" s="775"/>
      <c r="J51" s="699">
        <f>J52+500000</f>
        <v>36500000</v>
      </c>
      <c r="K51" s="696">
        <v>114386552.23999999</v>
      </c>
      <c r="L51" s="696">
        <v>204917767.5733332</v>
      </c>
      <c r="M51" s="696">
        <v>227550571.40666661</v>
      </c>
      <c r="N51" s="696">
        <v>250183375.24000001</v>
      </c>
      <c r="O51" s="696">
        <v>295448982.90666658</v>
      </c>
      <c r="P51" s="696">
        <v>385980198.24000001</v>
      </c>
      <c r="Q51" s="696">
        <v>476511413.5733332</v>
      </c>
      <c r="R51" s="696">
        <v>567042628.90666664</v>
      </c>
      <c r="S51" s="700">
        <v>657573844.24000001</v>
      </c>
      <c r="T51" s="686"/>
    </row>
    <row r="52" spans="1:20" ht="19.5" thickBot="1" x14ac:dyDescent="0.35">
      <c r="A52" s="781"/>
      <c r="B52" t="s">
        <v>1175</v>
      </c>
      <c r="C52" s="709">
        <v>36000000</v>
      </c>
      <c r="D52" s="711"/>
      <c r="E52" t="s">
        <v>606</v>
      </c>
      <c r="F52" s="710">
        <f>-C53</f>
        <v>-2283354400</v>
      </c>
      <c r="H52" s="694">
        <v>1800</v>
      </c>
      <c r="I52" s="775"/>
      <c r="J52" s="701">
        <v>36000000</v>
      </c>
      <c r="K52" s="738">
        <v>93026552.239999995</v>
      </c>
      <c r="L52" s="722">
        <v>179997767.5733332</v>
      </c>
      <c r="M52" s="722">
        <v>201740571.40666661</v>
      </c>
      <c r="N52" s="722">
        <v>223483375.24000001</v>
      </c>
      <c r="O52" s="696">
        <v>266968982.90666661</v>
      </c>
      <c r="P52" s="696">
        <v>353940198.24000001</v>
      </c>
      <c r="Q52" s="696">
        <v>440911413.5733332</v>
      </c>
      <c r="R52" s="696">
        <v>527882628.90666658</v>
      </c>
      <c r="S52" s="702">
        <v>614853844.24000001</v>
      </c>
      <c r="T52" s="686"/>
    </row>
    <row r="53" spans="1:20" ht="18.75" x14ac:dyDescent="0.3">
      <c r="A53" s="781"/>
      <c r="B53" t="s">
        <v>1176</v>
      </c>
      <c r="C53" s="709">
        <f>(C51*C55)+(C54*C51)</f>
        <v>2283354400</v>
      </c>
      <c r="D53" s="624"/>
      <c r="E53" s="627" t="s">
        <v>283</v>
      </c>
      <c r="F53" s="628">
        <f>SUM(F51:F52)</f>
        <v>1172645600</v>
      </c>
      <c r="H53" s="694">
        <v>1700</v>
      </c>
      <c r="I53" s="775"/>
      <c r="J53" s="699">
        <f>J52-500000</f>
        <v>35500000</v>
      </c>
      <c r="K53" s="696">
        <v>71666552.239999995</v>
      </c>
      <c r="L53" s="696">
        <v>155077767.5733332</v>
      </c>
      <c r="M53" s="696">
        <v>175930571.40666661</v>
      </c>
      <c r="N53" s="696">
        <v>196783375.24000001</v>
      </c>
      <c r="O53" s="696">
        <v>238488982.90666661</v>
      </c>
      <c r="P53" s="696">
        <v>321900198.24000001</v>
      </c>
      <c r="Q53" s="696">
        <v>405311413.5733332</v>
      </c>
      <c r="R53" s="696">
        <v>488722628.90666658</v>
      </c>
      <c r="S53" s="700">
        <v>572133844.24000001</v>
      </c>
      <c r="T53" s="686"/>
    </row>
    <row r="54" spans="1:20" ht="19.5" thickBot="1" x14ac:dyDescent="0.35">
      <c r="A54" s="781"/>
      <c r="B54" t="s">
        <v>1177</v>
      </c>
      <c r="C54" s="709">
        <v>7144841.666666667</v>
      </c>
      <c r="D54" s="711"/>
      <c r="E54" t="s">
        <v>1178</v>
      </c>
      <c r="F54" s="710">
        <f>-C56</f>
        <v>-275400000</v>
      </c>
      <c r="H54" s="703">
        <v>1600</v>
      </c>
      <c r="I54" s="776"/>
      <c r="J54" s="704">
        <f>J52-1000000</f>
        <v>35000000</v>
      </c>
      <c r="K54" s="705">
        <v>50306552.240000002</v>
      </c>
      <c r="L54" s="705">
        <v>130157767.57333319</v>
      </c>
      <c r="M54" s="705">
        <v>150120571.40666661</v>
      </c>
      <c r="N54" s="705">
        <v>170083375.24000001</v>
      </c>
      <c r="O54" s="705">
        <v>210008982.90666661</v>
      </c>
      <c r="P54" s="705">
        <v>289860198.24000001</v>
      </c>
      <c r="Q54" s="705">
        <v>369711413.5733332</v>
      </c>
      <c r="R54" s="705">
        <v>449562628.90666658</v>
      </c>
      <c r="S54" s="706">
        <v>529413844.24000001</v>
      </c>
      <c r="T54" s="686"/>
    </row>
    <row r="55" spans="1:20" ht="15.75" x14ac:dyDescent="0.25">
      <c r="A55" s="781"/>
      <c r="B55" t="s">
        <v>1179</v>
      </c>
      <c r="C55" s="709">
        <v>16640100</v>
      </c>
      <c r="D55" s="624"/>
      <c r="E55" t="s">
        <v>1186</v>
      </c>
      <c r="F55" s="710">
        <f>-C57</f>
        <v>-206398584</v>
      </c>
      <c r="H55" s="712"/>
      <c r="I55" s="625"/>
      <c r="J55" s="625"/>
      <c r="K55" s="625"/>
      <c r="L55" s="625"/>
      <c r="M55" s="625"/>
      <c r="N55" s="625"/>
      <c r="T55" s="686"/>
    </row>
    <row r="56" spans="1:20" ht="15.75" x14ac:dyDescent="0.25">
      <c r="A56" s="781"/>
      <c r="B56" t="s">
        <v>1178</v>
      </c>
      <c r="C56" s="709">
        <v>275400000</v>
      </c>
      <c r="D56" s="624"/>
      <c r="E56" s="627" t="s">
        <v>691</v>
      </c>
      <c r="F56" s="628">
        <f>SUM(F53:F55)</f>
        <v>690847016</v>
      </c>
      <c r="G56" s="624"/>
      <c r="H56" s="624"/>
      <c r="I56" s="624"/>
      <c r="J56" s="624"/>
      <c r="K56" s="624"/>
      <c r="L56" s="624"/>
      <c r="M56" s="624"/>
      <c r="N56" s="624"/>
      <c r="O56" s="626"/>
      <c r="P56" s="626"/>
      <c r="Q56" s="626"/>
      <c r="R56" s="626"/>
      <c r="S56" s="626"/>
      <c r="T56" s="686"/>
    </row>
    <row r="57" spans="1:20" ht="15.75" x14ac:dyDescent="0.25">
      <c r="A57" s="781"/>
      <c r="B57" t="s">
        <v>1186</v>
      </c>
      <c r="C57" s="709">
        <v>206398584</v>
      </c>
      <c r="D57" s="624"/>
      <c r="F57" s="629"/>
      <c r="G57" s="624"/>
      <c r="H57" s="624"/>
      <c r="I57" s="624"/>
      <c r="J57" s="624"/>
      <c r="K57" s="624"/>
      <c r="L57" s="624"/>
      <c r="M57" s="624"/>
      <c r="N57" s="624"/>
      <c r="O57" s="624"/>
      <c r="P57" s="624"/>
      <c r="Q57" s="624"/>
      <c r="R57" s="624"/>
      <c r="S57" s="624"/>
      <c r="T57" s="686"/>
    </row>
    <row r="58" spans="1:20" ht="15.75" x14ac:dyDescent="0.25">
      <c r="A58" s="781"/>
      <c r="B58" t="s">
        <v>1181</v>
      </c>
      <c r="C58" s="713">
        <v>0.11</v>
      </c>
      <c r="D58" s="624"/>
      <c r="E58" t="s">
        <v>1180</v>
      </c>
      <c r="F58" s="714">
        <f>IF(F56&lt;=0,"0",-C58*F56)</f>
        <v>-75993171.760000005</v>
      </c>
      <c r="G58" s="624"/>
      <c r="O58" s="624"/>
      <c r="P58" s="624"/>
      <c r="Q58" s="624"/>
      <c r="R58" s="624"/>
      <c r="S58" s="624"/>
      <c r="T58" s="686"/>
    </row>
    <row r="59" spans="1:20" ht="15.75" x14ac:dyDescent="0.25">
      <c r="A59" s="781"/>
      <c r="B59" s="777" t="s">
        <v>1183</v>
      </c>
      <c r="C59" s="777"/>
      <c r="D59" s="624"/>
      <c r="E59" s="630" t="s">
        <v>1182</v>
      </c>
      <c r="F59" s="631">
        <f>SUM(F56:F58)</f>
        <v>614853844.24000001</v>
      </c>
      <c r="G59" s="624"/>
      <c r="I59" s="715"/>
      <c r="J59" s="715"/>
      <c r="K59" s="715"/>
      <c r="L59" s="715"/>
      <c r="M59" s="715"/>
      <c r="N59" s="715"/>
      <c r="T59" s="686"/>
    </row>
    <row r="60" spans="1:20" ht="15.75" x14ac:dyDescent="0.25">
      <c r="A60" s="781"/>
      <c r="B60" t="s">
        <v>171</v>
      </c>
      <c r="C60" s="716">
        <v>40000000</v>
      </c>
      <c r="D60" s="624"/>
      <c r="E60" s="624"/>
      <c r="F60" s="624"/>
      <c r="G60" s="624"/>
      <c r="T60" s="686"/>
    </row>
    <row r="61" spans="1:20" ht="15.75" x14ac:dyDescent="0.25">
      <c r="A61" s="781"/>
      <c r="B61" t="s">
        <v>1184</v>
      </c>
      <c r="C61" s="716">
        <v>24000</v>
      </c>
      <c r="E61" s="624"/>
      <c r="F61" s="624"/>
      <c r="T61" s="686"/>
    </row>
    <row r="62" spans="1:20" ht="16.5" thickBot="1" x14ac:dyDescent="0.3">
      <c r="A62" s="782"/>
      <c r="B62" s="717" t="s">
        <v>1185</v>
      </c>
      <c r="C62" s="718">
        <v>39000</v>
      </c>
      <c r="D62" s="687"/>
      <c r="E62" s="719"/>
      <c r="F62" s="687"/>
      <c r="G62" s="687"/>
      <c r="H62" s="687"/>
      <c r="I62" s="687"/>
      <c r="J62" s="687"/>
      <c r="K62" s="687"/>
      <c r="L62" s="687"/>
      <c r="M62" s="687"/>
      <c r="N62" s="720"/>
      <c r="O62" s="687"/>
      <c r="P62" s="721"/>
      <c r="Q62" s="687"/>
      <c r="R62" s="687"/>
      <c r="S62" s="687"/>
      <c r="T62" s="688"/>
    </row>
    <row r="65" spans="1:20" ht="12" thickBot="1" x14ac:dyDescent="0.25"/>
    <row r="66" spans="1:20" x14ac:dyDescent="0.2">
      <c r="A66" s="780" t="s">
        <v>1234</v>
      </c>
      <c r="B66" s="707"/>
      <c r="C66" s="707"/>
      <c r="D66" s="707"/>
      <c r="E66" s="707"/>
      <c r="F66" s="707"/>
      <c r="G66" s="707"/>
      <c r="H66" s="707"/>
      <c r="I66" s="707"/>
      <c r="J66" s="707"/>
      <c r="K66" s="707"/>
      <c r="L66" s="707"/>
      <c r="M66" s="707"/>
      <c r="N66" s="707"/>
      <c r="O66" s="707"/>
      <c r="P66" s="707"/>
      <c r="Q66" s="707"/>
      <c r="R66" s="707"/>
      <c r="S66" s="707"/>
      <c r="T66" s="708"/>
    </row>
    <row r="67" spans="1:20" ht="12" thickBot="1" x14ac:dyDescent="0.25">
      <c r="A67" s="781"/>
      <c r="T67" s="686"/>
    </row>
    <row r="68" spans="1:20" ht="19.5" thickBot="1" x14ac:dyDescent="0.3">
      <c r="A68" s="781"/>
      <c r="B68" s="770" t="s">
        <v>1170</v>
      </c>
      <c r="C68" s="770"/>
      <c r="D68" s="770"/>
      <c r="E68" s="770"/>
      <c r="F68" s="770"/>
      <c r="H68" s="771" t="s">
        <v>1251</v>
      </c>
      <c r="I68" s="772"/>
      <c r="J68" s="772"/>
      <c r="K68" s="772"/>
      <c r="L68" s="772"/>
      <c r="M68" s="772"/>
      <c r="N68" s="772"/>
      <c r="O68" s="772"/>
      <c r="P68" s="772"/>
      <c r="Q68" s="772"/>
      <c r="R68" s="772"/>
      <c r="S68" s="773"/>
      <c r="T68" s="686"/>
    </row>
    <row r="69" spans="1:20" ht="19.5" thickBot="1" x14ac:dyDescent="0.35">
      <c r="A69" s="781"/>
      <c r="B69" s="624"/>
      <c r="C69" s="624"/>
      <c r="D69" s="624"/>
      <c r="E69" s="624"/>
      <c r="F69" s="624"/>
      <c r="H69" s="689" t="s">
        <v>1187</v>
      </c>
      <c r="I69" s="774" t="s">
        <v>1173</v>
      </c>
      <c r="J69" s="690">
        <f>F79</f>
        <v>603698797.84000003</v>
      </c>
      <c r="K69" s="691">
        <f>S69-48</f>
        <v>48</v>
      </c>
      <c r="L69" s="692">
        <f>S69-40</f>
        <v>56</v>
      </c>
      <c r="M69" s="692">
        <f>S69-38</f>
        <v>58</v>
      </c>
      <c r="N69" s="692">
        <f>S69-36</f>
        <v>60</v>
      </c>
      <c r="O69" s="692">
        <f>S69-32</f>
        <v>64</v>
      </c>
      <c r="P69" s="692">
        <f>S69-24</f>
        <v>72</v>
      </c>
      <c r="Q69" s="692">
        <f>S69-16</f>
        <v>80</v>
      </c>
      <c r="R69" s="692">
        <f>S69-8</f>
        <v>88</v>
      </c>
      <c r="S69" s="693">
        <v>96</v>
      </c>
      <c r="T69" s="686"/>
    </row>
    <row r="70" spans="1:20" ht="18.75" x14ac:dyDescent="0.3">
      <c r="A70" s="781"/>
      <c r="B70" s="770" t="s">
        <v>1171</v>
      </c>
      <c r="C70" s="770"/>
      <c r="D70" s="624"/>
      <c r="E70" s="770" t="s">
        <v>1172</v>
      </c>
      <c r="F70" s="770"/>
      <c r="H70" s="694">
        <v>2000</v>
      </c>
      <c r="I70" s="775"/>
      <c r="J70" s="695">
        <f>J72+1000000</f>
        <v>37000000</v>
      </c>
      <c r="K70" s="696">
        <f t="dataTable" ref="K70:S74" dt2D="1" dtr="1" r1="C71" r2="C72"/>
        <v>127717969.03999999</v>
      </c>
      <c r="L70" s="696">
        <v>221288107.1733332</v>
      </c>
      <c r="M70" s="696">
        <v>244680641.70666659</v>
      </c>
      <c r="N70" s="696">
        <v>268073176.24000001</v>
      </c>
      <c r="O70" s="697">
        <v>314858245.30666661</v>
      </c>
      <c r="P70" s="697">
        <v>408428383.44</v>
      </c>
      <c r="Q70" s="697">
        <v>501998521.5733332</v>
      </c>
      <c r="R70" s="697">
        <v>595568659.70666659</v>
      </c>
      <c r="S70" s="698">
        <v>689138797.84000003</v>
      </c>
      <c r="T70" s="686"/>
    </row>
    <row r="71" spans="1:20" ht="19.5" thickBot="1" x14ac:dyDescent="0.35">
      <c r="A71" s="781"/>
      <c r="B71" t="s">
        <v>1174</v>
      </c>
      <c r="C71" s="709">
        <v>96</v>
      </c>
      <c r="D71" s="624"/>
      <c r="E71" t="s">
        <v>692</v>
      </c>
      <c r="F71" s="710">
        <f>C71*C72</f>
        <v>3456000000</v>
      </c>
      <c r="H71" s="694">
        <v>1900</v>
      </c>
      <c r="I71" s="775"/>
      <c r="J71" s="699">
        <f>J72+500000</f>
        <v>36500000</v>
      </c>
      <c r="K71" s="696">
        <v>106357969.03999999</v>
      </c>
      <c r="L71" s="696">
        <v>196368107.1733332</v>
      </c>
      <c r="M71" s="696">
        <v>218870641.70666659</v>
      </c>
      <c r="N71" s="696">
        <v>241373176.24000001</v>
      </c>
      <c r="O71" s="696">
        <v>286378245.30666661</v>
      </c>
      <c r="P71" s="696">
        <v>376388383.44</v>
      </c>
      <c r="Q71" s="696">
        <v>466398521.5733332</v>
      </c>
      <c r="R71" s="696">
        <v>556408659.70666659</v>
      </c>
      <c r="S71" s="700">
        <v>646418797.84000003</v>
      </c>
      <c r="T71" s="686"/>
    </row>
    <row r="72" spans="1:20" ht="19.5" thickBot="1" x14ac:dyDescent="0.35">
      <c r="A72" s="781"/>
      <c r="B72" t="s">
        <v>1175</v>
      </c>
      <c r="C72" s="709">
        <v>36000000</v>
      </c>
      <c r="D72" s="711"/>
      <c r="E72" t="s">
        <v>606</v>
      </c>
      <c r="F72" s="710">
        <f>-C73</f>
        <v>-2290380160</v>
      </c>
      <c r="H72" s="694">
        <v>1800</v>
      </c>
      <c r="I72" s="775"/>
      <c r="J72" s="701">
        <v>36000000</v>
      </c>
      <c r="K72" s="722">
        <v>84997969.039999992</v>
      </c>
      <c r="L72" s="722">
        <v>171448107.1733332</v>
      </c>
      <c r="M72" s="722">
        <v>193060641.70666659</v>
      </c>
      <c r="N72" s="738">
        <v>214673176.24000001</v>
      </c>
      <c r="O72" s="696">
        <v>257898245.30666658</v>
      </c>
      <c r="P72" s="696">
        <v>344348383.44</v>
      </c>
      <c r="Q72" s="696">
        <v>430798521.5733332</v>
      </c>
      <c r="R72" s="696">
        <v>517248659.70666659</v>
      </c>
      <c r="S72" s="702">
        <v>603698797.84000003</v>
      </c>
      <c r="T72" s="686"/>
    </row>
    <row r="73" spans="1:20" ht="18.75" x14ac:dyDescent="0.3">
      <c r="A73" s="781"/>
      <c r="B73" t="s">
        <v>1176</v>
      </c>
      <c r="C73" s="709">
        <f>(C71*C75)+(C74*C71)</f>
        <v>2290380160</v>
      </c>
      <c r="D73" s="624"/>
      <c r="E73" s="627" t="s">
        <v>283</v>
      </c>
      <c r="F73" s="628">
        <f>SUM(F71:F72)</f>
        <v>1165619840</v>
      </c>
      <c r="H73" s="694">
        <v>1700</v>
      </c>
      <c r="I73" s="775"/>
      <c r="J73" s="699">
        <f>J72-500000</f>
        <v>35500000</v>
      </c>
      <c r="K73" s="696">
        <v>63637969.039999999</v>
      </c>
      <c r="L73" s="696">
        <v>146528107.1733332</v>
      </c>
      <c r="M73" s="696">
        <v>167250641.70666659</v>
      </c>
      <c r="N73" s="696">
        <v>187973176.24000001</v>
      </c>
      <c r="O73" s="696">
        <v>229418245.30666658</v>
      </c>
      <c r="P73" s="696">
        <v>312308383.44</v>
      </c>
      <c r="Q73" s="696">
        <v>395198521.5733332</v>
      </c>
      <c r="R73" s="696">
        <v>478088659.70666659</v>
      </c>
      <c r="S73" s="700">
        <v>560978797.84000003</v>
      </c>
      <c r="T73" s="686"/>
    </row>
    <row r="74" spans="1:20" ht="19.5" thickBot="1" x14ac:dyDescent="0.35">
      <c r="A74" s="781"/>
      <c r="B74" t="s">
        <v>1177</v>
      </c>
      <c r="C74" s="709">
        <v>7218026.666666667</v>
      </c>
      <c r="D74" s="711"/>
      <c r="E74" t="s">
        <v>1178</v>
      </c>
      <c r="F74" s="710">
        <f>-C76</f>
        <v>-280908000</v>
      </c>
      <c r="H74" s="703">
        <v>1600</v>
      </c>
      <c r="I74" s="776"/>
      <c r="J74" s="704">
        <f>J72-1000000</f>
        <v>35000000</v>
      </c>
      <c r="K74" s="705">
        <v>42277969.039999999</v>
      </c>
      <c r="L74" s="705">
        <v>121608107.1733332</v>
      </c>
      <c r="M74" s="705">
        <v>141440641.70666659</v>
      </c>
      <c r="N74" s="705">
        <v>161273176.24000001</v>
      </c>
      <c r="O74" s="705">
        <v>200938245.30666658</v>
      </c>
      <c r="P74" s="705">
        <v>280268383.44</v>
      </c>
      <c r="Q74" s="705">
        <v>359598521.5733332</v>
      </c>
      <c r="R74" s="705">
        <v>438928659.70666659</v>
      </c>
      <c r="S74" s="706">
        <v>518258797.83999997</v>
      </c>
      <c r="T74" s="686"/>
    </row>
    <row r="75" spans="1:20" ht="15.75" x14ac:dyDescent="0.25">
      <c r="A75" s="781"/>
      <c r="B75" t="s">
        <v>1179</v>
      </c>
      <c r="C75" s="709">
        <v>16640100</v>
      </c>
      <c r="D75" s="624"/>
      <c r="E75" t="s">
        <v>1186</v>
      </c>
      <c r="F75" s="710">
        <f>-C77</f>
        <v>-206398584</v>
      </c>
      <c r="H75" s="712"/>
      <c r="I75" s="625"/>
      <c r="J75" s="625"/>
      <c r="K75" s="625"/>
      <c r="L75" s="625"/>
      <c r="M75" s="625"/>
      <c r="N75" s="625"/>
      <c r="T75" s="686"/>
    </row>
    <row r="76" spans="1:20" ht="15.75" x14ac:dyDescent="0.25">
      <c r="A76" s="781"/>
      <c r="B76" t="s">
        <v>1178</v>
      </c>
      <c r="C76" s="709">
        <v>280908000</v>
      </c>
      <c r="D76" s="624"/>
      <c r="E76" s="627" t="s">
        <v>691</v>
      </c>
      <c r="F76" s="628">
        <f>SUM(F73:F75)</f>
        <v>678313256</v>
      </c>
      <c r="G76" s="624"/>
      <c r="H76" s="624"/>
      <c r="I76" s="624"/>
      <c r="J76" s="624"/>
      <c r="K76" s="624"/>
      <c r="L76" s="624"/>
      <c r="M76" s="624"/>
      <c r="N76" s="624"/>
      <c r="O76" s="626"/>
      <c r="P76" s="626"/>
      <c r="Q76" s="626"/>
      <c r="R76" s="626"/>
      <c r="S76" s="626"/>
      <c r="T76" s="686"/>
    </row>
    <row r="77" spans="1:20" ht="15.75" x14ac:dyDescent="0.25">
      <c r="A77" s="781"/>
      <c r="B77" t="s">
        <v>1186</v>
      </c>
      <c r="C77" s="709">
        <v>206398584</v>
      </c>
      <c r="D77" s="624"/>
      <c r="F77" s="629"/>
      <c r="G77" s="624"/>
      <c r="H77" s="624"/>
      <c r="I77" s="624"/>
      <c r="J77" s="624"/>
      <c r="K77" s="624"/>
      <c r="L77" s="624"/>
      <c r="M77" s="624"/>
      <c r="N77" s="624"/>
      <c r="O77" s="624"/>
      <c r="P77" s="624"/>
      <c r="Q77" s="624"/>
      <c r="R77" s="624"/>
      <c r="S77" s="624"/>
      <c r="T77" s="686"/>
    </row>
    <row r="78" spans="1:20" ht="15.75" x14ac:dyDescent="0.25">
      <c r="A78" s="781"/>
      <c r="B78" t="s">
        <v>1181</v>
      </c>
      <c r="C78" s="713">
        <v>0.11</v>
      </c>
      <c r="D78" s="624"/>
      <c r="E78" t="s">
        <v>1180</v>
      </c>
      <c r="F78" s="714">
        <f>IF(F76&lt;=0,"0",-C78*F76)</f>
        <v>-74614458.159999996</v>
      </c>
      <c r="G78" s="624"/>
      <c r="O78" s="624"/>
      <c r="P78" s="624"/>
      <c r="Q78" s="624"/>
      <c r="R78" s="624"/>
      <c r="S78" s="624"/>
      <c r="T78" s="686"/>
    </row>
    <row r="79" spans="1:20" ht="15.75" x14ac:dyDescent="0.25">
      <c r="A79" s="781"/>
      <c r="B79" s="777" t="s">
        <v>1183</v>
      </c>
      <c r="C79" s="777"/>
      <c r="D79" s="624"/>
      <c r="E79" s="630" t="s">
        <v>1182</v>
      </c>
      <c r="F79" s="631">
        <f>SUM(F76:F78)</f>
        <v>603698797.84000003</v>
      </c>
      <c r="G79" s="624"/>
      <c r="I79" s="715"/>
      <c r="J79" s="715"/>
      <c r="K79" s="715"/>
      <c r="L79" s="715"/>
      <c r="M79" s="715"/>
      <c r="N79" s="715"/>
      <c r="T79" s="686"/>
    </row>
    <row r="80" spans="1:20" ht="15.75" x14ac:dyDescent="0.25">
      <c r="A80" s="781"/>
      <c r="B80" t="s">
        <v>171</v>
      </c>
      <c r="C80" s="716">
        <v>40000000</v>
      </c>
      <c r="D80" s="624"/>
      <c r="E80" s="624"/>
      <c r="F80" s="624"/>
      <c r="G80" s="624"/>
      <c r="T80" s="686"/>
    </row>
    <row r="81" spans="1:20" ht="15.75" x14ac:dyDescent="0.25">
      <c r="A81" s="781"/>
      <c r="B81" t="s">
        <v>1184</v>
      </c>
      <c r="C81" s="716">
        <v>24000</v>
      </c>
      <c r="E81" s="624"/>
      <c r="F81" s="624"/>
      <c r="T81" s="686"/>
    </row>
    <row r="82" spans="1:20" ht="16.5" thickBot="1" x14ac:dyDescent="0.3">
      <c r="A82" s="782"/>
      <c r="B82" s="717" t="s">
        <v>1185</v>
      </c>
      <c r="C82" s="718">
        <v>39000</v>
      </c>
      <c r="D82" s="687"/>
      <c r="E82" s="719"/>
      <c r="F82" s="687"/>
      <c r="G82" s="687"/>
      <c r="H82" s="687"/>
      <c r="I82" s="687"/>
      <c r="J82" s="687"/>
      <c r="K82" s="687"/>
      <c r="L82" s="687"/>
      <c r="M82" s="687"/>
      <c r="N82" s="720"/>
      <c r="O82" s="687"/>
      <c r="P82" s="721"/>
      <c r="Q82" s="687"/>
      <c r="R82" s="687"/>
      <c r="S82" s="687"/>
      <c r="T82" s="688"/>
    </row>
    <row r="85" spans="1:20" ht="12" thickBot="1" x14ac:dyDescent="0.25"/>
    <row r="86" spans="1:20" x14ac:dyDescent="0.2">
      <c r="A86" s="780" t="s">
        <v>1235</v>
      </c>
      <c r="B86" s="707"/>
      <c r="C86" s="707"/>
      <c r="D86" s="707"/>
      <c r="E86" s="707"/>
      <c r="F86" s="707"/>
      <c r="G86" s="707"/>
      <c r="H86" s="707"/>
      <c r="I86" s="707"/>
      <c r="J86" s="707"/>
      <c r="K86" s="707"/>
      <c r="L86" s="707"/>
      <c r="M86" s="707"/>
      <c r="N86" s="707"/>
      <c r="O86" s="707"/>
      <c r="P86" s="707"/>
      <c r="Q86" s="707"/>
      <c r="R86" s="707"/>
      <c r="S86" s="707"/>
      <c r="T86" s="708"/>
    </row>
    <row r="87" spans="1:20" ht="12" thickBot="1" x14ac:dyDescent="0.25">
      <c r="A87" s="781"/>
      <c r="T87" s="686"/>
    </row>
    <row r="88" spans="1:20" ht="19.5" thickBot="1" x14ac:dyDescent="0.3">
      <c r="A88" s="781"/>
      <c r="B88" s="770" t="s">
        <v>1170</v>
      </c>
      <c r="C88" s="770"/>
      <c r="D88" s="770"/>
      <c r="E88" s="770"/>
      <c r="F88" s="770"/>
      <c r="H88" s="771" t="s">
        <v>1251</v>
      </c>
      <c r="I88" s="772"/>
      <c r="J88" s="772"/>
      <c r="K88" s="772"/>
      <c r="L88" s="772"/>
      <c r="M88" s="772"/>
      <c r="N88" s="772"/>
      <c r="O88" s="772"/>
      <c r="P88" s="772"/>
      <c r="Q88" s="772"/>
      <c r="R88" s="772"/>
      <c r="S88" s="773"/>
      <c r="T88" s="686"/>
    </row>
    <row r="89" spans="1:20" ht="19.5" thickBot="1" x14ac:dyDescent="0.35">
      <c r="A89" s="781"/>
      <c r="B89" s="624"/>
      <c r="C89" s="624"/>
      <c r="D89" s="624"/>
      <c r="E89" s="624"/>
      <c r="F89" s="624"/>
      <c r="H89" s="689" t="s">
        <v>1187</v>
      </c>
      <c r="I89" s="774" t="s">
        <v>1173</v>
      </c>
      <c r="J89" s="690">
        <f>F99</f>
        <v>592320650.51199973</v>
      </c>
      <c r="K89" s="691">
        <f>S89-48</f>
        <v>48</v>
      </c>
      <c r="L89" s="692">
        <f>S89-40</f>
        <v>56</v>
      </c>
      <c r="M89" s="692">
        <f>S89-38</f>
        <v>58</v>
      </c>
      <c r="N89" s="692">
        <f>S89-36</f>
        <v>60</v>
      </c>
      <c r="O89" s="692">
        <f>S89-32</f>
        <v>64</v>
      </c>
      <c r="P89" s="692">
        <f>S89-24</f>
        <v>72</v>
      </c>
      <c r="Q89" s="692">
        <f>S89-16</f>
        <v>80</v>
      </c>
      <c r="R89" s="692">
        <f>S89-8</f>
        <v>88</v>
      </c>
      <c r="S89" s="693">
        <v>96</v>
      </c>
      <c r="T89" s="686"/>
    </row>
    <row r="90" spans="1:20" ht="18.75" x14ac:dyDescent="0.3">
      <c r="A90" s="781"/>
      <c r="B90" s="770" t="s">
        <v>1171</v>
      </c>
      <c r="C90" s="770"/>
      <c r="D90" s="624"/>
      <c r="E90" s="770" t="s">
        <v>1172</v>
      </c>
      <c r="F90" s="770"/>
      <c r="H90" s="694">
        <v>2000</v>
      </c>
      <c r="I90" s="775"/>
      <c r="J90" s="695">
        <f>J92+1000000</f>
        <v>37000000</v>
      </c>
      <c r="K90" s="696">
        <f t="dataTable" ref="K90:S94" dt2D="1" dtr="1" r1="C91" r2="C92"/>
        <v>119528814.17599988</v>
      </c>
      <c r="L90" s="696">
        <v>212567453.56533316</v>
      </c>
      <c r="M90" s="696">
        <v>235827113.41266647</v>
      </c>
      <c r="N90" s="696">
        <v>259086773.25999978</v>
      </c>
      <c r="O90" s="697">
        <v>305606092.95466644</v>
      </c>
      <c r="P90" s="697">
        <v>398644732.34399992</v>
      </c>
      <c r="Q90" s="697">
        <v>491683371.73333317</v>
      </c>
      <c r="R90" s="697">
        <v>584722011.12266648</v>
      </c>
      <c r="S90" s="698">
        <v>677760650.51199973</v>
      </c>
      <c r="T90" s="686"/>
    </row>
    <row r="91" spans="1:20" ht="19.5" thickBot="1" x14ac:dyDescent="0.35">
      <c r="A91" s="781"/>
      <c r="B91" t="s">
        <v>1174</v>
      </c>
      <c r="C91" s="709">
        <v>96</v>
      </c>
      <c r="D91" s="624"/>
      <c r="E91" t="s">
        <v>692</v>
      </c>
      <c r="F91" s="710">
        <f>C91*C92</f>
        <v>3456000000</v>
      </c>
      <c r="H91" s="694">
        <v>1900</v>
      </c>
      <c r="I91" s="775"/>
      <c r="J91" s="699">
        <f>J92+500000</f>
        <v>36500000</v>
      </c>
      <c r="K91" s="696">
        <v>98168814.17599988</v>
      </c>
      <c r="L91" s="696">
        <v>187647453.56533316</v>
      </c>
      <c r="M91" s="696">
        <v>210017113.41266647</v>
      </c>
      <c r="N91" s="696">
        <v>232386773.25999978</v>
      </c>
      <c r="O91" s="696">
        <v>277126092.95466644</v>
      </c>
      <c r="P91" s="696">
        <v>366604732.34399992</v>
      </c>
      <c r="Q91" s="696">
        <v>456083371.73333317</v>
      </c>
      <c r="R91" s="696">
        <v>545562011.12266648</v>
      </c>
      <c r="S91" s="700">
        <v>635040650.51199973</v>
      </c>
      <c r="T91" s="686"/>
    </row>
    <row r="92" spans="1:20" ht="19.5" thickBot="1" x14ac:dyDescent="0.35">
      <c r="A92" s="781"/>
      <c r="B92" t="s">
        <v>1175</v>
      </c>
      <c r="C92" s="709">
        <v>36000000</v>
      </c>
      <c r="D92" s="711"/>
      <c r="E92" t="s">
        <v>606</v>
      </c>
      <c r="F92" s="710">
        <f>-C93</f>
        <v>-2297546435.2000003</v>
      </c>
      <c r="H92" s="694">
        <v>1800</v>
      </c>
      <c r="I92" s="775"/>
      <c r="J92" s="701">
        <v>36000000</v>
      </c>
      <c r="K92" s="722">
        <v>76808814.17599988</v>
      </c>
      <c r="L92" s="722">
        <v>162727453.56533316</v>
      </c>
      <c r="M92" s="722">
        <v>184207113.41266647</v>
      </c>
      <c r="N92" s="738">
        <v>205686773.25999978</v>
      </c>
      <c r="O92" s="696">
        <v>248646092.95466644</v>
      </c>
      <c r="P92" s="696">
        <v>334564732.34399992</v>
      </c>
      <c r="Q92" s="696">
        <v>420483371.73333317</v>
      </c>
      <c r="R92" s="696">
        <v>506402011.12266648</v>
      </c>
      <c r="S92" s="702">
        <v>592320650.51199973</v>
      </c>
      <c r="T92" s="686"/>
    </row>
    <row r="93" spans="1:20" ht="18.75" x14ac:dyDescent="0.3">
      <c r="A93" s="781"/>
      <c r="B93" t="s">
        <v>1176</v>
      </c>
      <c r="C93" s="709">
        <f>(C91*C95)+(C94*C91)</f>
        <v>2297546435.2000003</v>
      </c>
      <c r="D93" s="624"/>
      <c r="E93" s="627" t="s">
        <v>283</v>
      </c>
      <c r="F93" s="628">
        <f>SUM(F91:F92)</f>
        <v>1158453564.7999997</v>
      </c>
      <c r="H93" s="694">
        <v>1700</v>
      </c>
      <c r="I93" s="775"/>
      <c r="J93" s="699">
        <f>J92-500000</f>
        <v>35500000</v>
      </c>
      <c r="K93" s="696">
        <v>55448814.175999872</v>
      </c>
      <c r="L93" s="696">
        <v>137807453.56533316</v>
      </c>
      <c r="M93" s="696">
        <v>158397113.41266647</v>
      </c>
      <c r="N93" s="696">
        <v>178986773.25999978</v>
      </c>
      <c r="O93" s="696">
        <v>220166092.95466644</v>
      </c>
      <c r="P93" s="696">
        <v>302524732.34399992</v>
      </c>
      <c r="Q93" s="696">
        <v>384883371.73333317</v>
      </c>
      <c r="R93" s="696">
        <v>467242011.12266648</v>
      </c>
      <c r="S93" s="700">
        <v>549600650.51199973</v>
      </c>
      <c r="T93" s="686"/>
    </row>
    <row r="94" spans="1:20" ht="19.5" thickBot="1" x14ac:dyDescent="0.35">
      <c r="A94" s="781"/>
      <c r="B94" t="s">
        <v>1177</v>
      </c>
      <c r="C94" s="709">
        <v>7292675.36666667</v>
      </c>
      <c r="D94" s="711"/>
      <c r="E94" t="s">
        <v>1178</v>
      </c>
      <c r="F94" s="710">
        <f>-C96</f>
        <v>-286526160</v>
      </c>
      <c r="H94" s="703">
        <v>1600</v>
      </c>
      <c r="I94" s="776"/>
      <c r="J94" s="704">
        <f>J92-1000000</f>
        <v>35000000</v>
      </c>
      <c r="K94" s="705">
        <v>34088814.175999872</v>
      </c>
      <c r="L94" s="705">
        <v>112887453.56533314</v>
      </c>
      <c r="M94" s="705">
        <v>132587113.41266647</v>
      </c>
      <c r="N94" s="705">
        <v>152286773.25999978</v>
      </c>
      <c r="O94" s="705">
        <v>191686092.95466644</v>
      </c>
      <c r="P94" s="705">
        <v>270484732.34399992</v>
      </c>
      <c r="Q94" s="705">
        <v>349283371.73333317</v>
      </c>
      <c r="R94" s="705">
        <v>428082011.12266648</v>
      </c>
      <c r="S94" s="706">
        <v>506880650.51199973</v>
      </c>
      <c r="T94" s="686"/>
    </row>
    <row r="95" spans="1:20" ht="15.75" x14ac:dyDescent="0.25">
      <c r="A95" s="781"/>
      <c r="B95" t="s">
        <v>1179</v>
      </c>
      <c r="C95" s="709">
        <v>16640100</v>
      </c>
      <c r="D95" s="624"/>
      <c r="E95" t="s">
        <v>1186</v>
      </c>
      <c r="F95" s="710">
        <f>-C97</f>
        <v>-206398584</v>
      </c>
      <c r="H95" s="712"/>
      <c r="I95" s="625"/>
      <c r="J95" s="625"/>
      <c r="K95" s="625"/>
      <c r="L95" s="625"/>
      <c r="M95" s="625"/>
      <c r="N95" s="625"/>
      <c r="T95" s="686"/>
    </row>
    <row r="96" spans="1:20" ht="15.75" x14ac:dyDescent="0.25">
      <c r="A96" s="781"/>
      <c r="B96" t="s">
        <v>1178</v>
      </c>
      <c r="C96" s="709">
        <v>286526160</v>
      </c>
      <c r="D96" s="624"/>
      <c r="E96" s="627" t="s">
        <v>691</v>
      </c>
      <c r="F96" s="628">
        <f>SUM(F93:F95)</f>
        <v>665528820.79999971</v>
      </c>
      <c r="G96" s="624"/>
      <c r="H96" s="624"/>
      <c r="I96" s="624"/>
      <c r="J96" s="624"/>
      <c r="K96" s="624"/>
      <c r="L96" s="624"/>
      <c r="M96" s="624"/>
      <c r="N96" s="624"/>
      <c r="O96" s="626"/>
      <c r="P96" s="626"/>
      <c r="Q96" s="626"/>
      <c r="R96" s="626"/>
      <c r="S96" s="626"/>
      <c r="T96" s="686"/>
    </row>
    <row r="97" spans="1:20" ht="15.75" x14ac:dyDescent="0.25">
      <c r="A97" s="781"/>
      <c r="B97" t="s">
        <v>1186</v>
      </c>
      <c r="C97" s="709">
        <v>206398584</v>
      </c>
      <c r="D97" s="624"/>
      <c r="F97" s="629"/>
      <c r="G97" s="624"/>
      <c r="H97" s="624"/>
      <c r="I97" s="624"/>
      <c r="J97" s="624"/>
      <c r="K97" s="624"/>
      <c r="L97" s="624"/>
      <c r="M97" s="624"/>
      <c r="N97" s="624"/>
      <c r="O97" s="624"/>
      <c r="P97" s="624"/>
      <c r="Q97" s="624"/>
      <c r="R97" s="624"/>
      <c r="S97" s="624"/>
      <c r="T97" s="686"/>
    </row>
    <row r="98" spans="1:20" ht="15.75" x14ac:dyDescent="0.25">
      <c r="A98" s="781"/>
      <c r="B98" t="s">
        <v>1181</v>
      </c>
      <c r="C98" s="713">
        <v>0.11</v>
      </c>
      <c r="D98" s="624"/>
      <c r="E98" t="s">
        <v>1180</v>
      </c>
      <c r="F98" s="714">
        <f>IF(F96&lt;=0,"0",-C98*F96)</f>
        <v>-73208170.287999973</v>
      </c>
      <c r="G98" s="624"/>
      <c r="O98" s="624"/>
      <c r="P98" s="624"/>
      <c r="Q98" s="624"/>
      <c r="R98" s="624"/>
      <c r="S98" s="624"/>
      <c r="T98" s="686"/>
    </row>
    <row r="99" spans="1:20" ht="15.75" x14ac:dyDescent="0.25">
      <c r="A99" s="781"/>
      <c r="B99" s="777" t="s">
        <v>1183</v>
      </c>
      <c r="C99" s="777"/>
      <c r="D99" s="624"/>
      <c r="E99" s="630" t="s">
        <v>1182</v>
      </c>
      <c r="F99" s="631">
        <f>SUM(F96:F98)</f>
        <v>592320650.51199973</v>
      </c>
      <c r="G99" s="624"/>
      <c r="I99" s="715"/>
      <c r="J99" s="715"/>
      <c r="K99" s="715"/>
      <c r="L99" s="715"/>
      <c r="M99" s="715"/>
      <c r="N99" s="715"/>
      <c r="T99" s="686"/>
    </row>
    <row r="100" spans="1:20" ht="15.75" x14ac:dyDescent="0.25">
      <c r="A100" s="781"/>
      <c r="B100" t="s">
        <v>171</v>
      </c>
      <c r="C100" s="716">
        <v>40000000</v>
      </c>
      <c r="D100" s="624"/>
      <c r="E100" s="624"/>
      <c r="F100" s="624"/>
      <c r="G100" s="624"/>
      <c r="T100" s="686"/>
    </row>
    <row r="101" spans="1:20" ht="15.75" x14ac:dyDescent="0.25">
      <c r="A101" s="781"/>
      <c r="B101" t="s">
        <v>1184</v>
      </c>
      <c r="C101" s="716">
        <v>24000</v>
      </c>
      <c r="E101" s="624"/>
      <c r="F101" s="624"/>
      <c r="T101" s="686"/>
    </row>
    <row r="102" spans="1:20" ht="16.5" thickBot="1" x14ac:dyDescent="0.3">
      <c r="A102" s="782"/>
      <c r="B102" s="717" t="s">
        <v>1185</v>
      </c>
      <c r="C102" s="718">
        <v>39000</v>
      </c>
      <c r="D102" s="687"/>
      <c r="E102" s="719"/>
      <c r="F102" s="687"/>
      <c r="G102" s="687"/>
      <c r="H102" s="687"/>
      <c r="I102" s="687"/>
      <c r="J102" s="687"/>
      <c r="K102" s="687"/>
      <c r="L102" s="687"/>
      <c r="M102" s="687"/>
      <c r="N102" s="720"/>
      <c r="O102" s="687"/>
      <c r="P102" s="721"/>
      <c r="Q102" s="687"/>
      <c r="R102" s="687"/>
      <c r="S102" s="687"/>
      <c r="T102" s="688"/>
    </row>
    <row r="105" spans="1:20" ht="12" thickBot="1" x14ac:dyDescent="0.25"/>
    <row r="106" spans="1:20" x14ac:dyDescent="0.2">
      <c r="A106" s="780" t="s">
        <v>1236</v>
      </c>
      <c r="B106" s="707"/>
      <c r="C106" s="707"/>
      <c r="D106" s="707"/>
      <c r="E106" s="707"/>
      <c r="F106" s="707"/>
      <c r="G106" s="707"/>
      <c r="H106" s="707"/>
      <c r="I106" s="707"/>
      <c r="J106" s="707"/>
      <c r="K106" s="707"/>
      <c r="L106" s="707"/>
      <c r="M106" s="707"/>
      <c r="N106" s="707"/>
      <c r="O106" s="707"/>
      <c r="P106" s="707"/>
      <c r="Q106" s="707"/>
      <c r="R106" s="707"/>
      <c r="S106" s="707"/>
      <c r="T106" s="708"/>
    </row>
    <row r="107" spans="1:20" ht="12" thickBot="1" x14ac:dyDescent="0.25">
      <c r="A107" s="781"/>
      <c r="T107" s="686"/>
    </row>
    <row r="108" spans="1:20" ht="19.5" thickBot="1" x14ac:dyDescent="0.3">
      <c r="A108" s="781"/>
      <c r="B108" s="770" t="s">
        <v>1170</v>
      </c>
      <c r="C108" s="770"/>
      <c r="D108" s="770"/>
      <c r="E108" s="770"/>
      <c r="F108" s="770"/>
      <c r="H108" s="771" t="s">
        <v>1251</v>
      </c>
      <c r="I108" s="772"/>
      <c r="J108" s="772"/>
      <c r="K108" s="772"/>
      <c r="L108" s="772"/>
      <c r="M108" s="772"/>
      <c r="N108" s="772"/>
      <c r="O108" s="772"/>
      <c r="P108" s="772"/>
      <c r="Q108" s="772"/>
      <c r="R108" s="772"/>
      <c r="S108" s="773"/>
      <c r="T108" s="686"/>
    </row>
    <row r="109" spans="1:20" ht="19.5" thickBot="1" x14ac:dyDescent="0.35">
      <c r="A109" s="781"/>
      <c r="B109" s="624"/>
      <c r="C109" s="624"/>
      <c r="D109" s="624"/>
      <c r="E109" s="624"/>
      <c r="F109" s="624"/>
      <c r="H109" s="689" t="s">
        <v>1187</v>
      </c>
      <c r="I109" s="774" t="s">
        <v>1173</v>
      </c>
      <c r="J109" s="690">
        <f>F119</f>
        <v>580714940.23743975</v>
      </c>
      <c r="K109" s="691">
        <f>S109-48</f>
        <v>48</v>
      </c>
      <c r="L109" s="692">
        <f>S109-40</f>
        <v>56</v>
      </c>
      <c r="M109" s="692">
        <f>S109-38</f>
        <v>58</v>
      </c>
      <c r="N109" s="692">
        <f>S109-36</f>
        <v>60</v>
      </c>
      <c r="O109" s="692">
        <f>S109-32</f>
        <v>64</v>
      </c>
      <c r="P109" s="692">
        <f>S109-24</f>
        <v>72</v>
      </c>
      <c r="Q109" s="692">
        <f>S109-16</f>
        <v>80</v>
      </c>
      <c r="R109" s="692">
        <f>S109-8</f>
        <v>88</v>
      </c>
      <c r="S109" s="693">
        <v>96</v>
      </c>
      <c r="T109" s="686"/>
    </row>
    <row r="110" spans="1:20" ht="18.75" x14ac:dyDescent="0.3">
      <c r="A110" s="781"/>
      <c r="B110" s="770" t="s">
        <v>1171</v>
      </c>
      <c r="C110" s="770"/>
      <c r="D110" s="624"/>
      <c r="E110" s="770" t="s">
        <v>1172</v>
      </c>
      <c r="F110" s="770"/>
      <c r="H110" s="694">
        <v>2000</v>
      </c>
      <c r="I110" s="775"/>
      <c r="J110" s="695">
        <f>J112+1000000</f>
        <v>37000000</v>
      </c>
      <c r="K110" s="696">
        <f t="dataTable" ref="K110:S114" dt2D="1" dtr="1" r1="C111" r2="C112"/>
        <v>111175876.21471983</v>
      </c>
      <c r="L110" s="696">
        <v>203672386.88517335</v>
      </c>
      <c r="M110" s="696">
        <v>226796514.55278662</v>
      </c>
      <c r="N110" s="696">
        <v>249920642.22039992</v>
      </c>
      <c r="O110" s="697">
        <v>296168897.55562669</v>
      </c>
      <c r="P110" s="697">
        <v>388665408.22608</v>
      </c>
      <c r="Q110" s="697">
        <v>481161918.89653331</v>
      </c>
      <c r="R110" s="697">
        <v>573658429.56698656</v>
      </c>
      <c r="S110" s="698">
        <v>666154940.23743975</v>
      </c>
      <c r="T110" s="686"/>
    </row>
    <row r="111" spans="1:20" ht="19.5" thickBot="1" x14ac:dyDescent="0.35">
      <c r="A111" s="781"/>
      <c r="B111" t="s">
        <v>1174</v>
      </c>
      <c r="C111" s="709">
        <v>96</v>
      </c>
      <c r="D111" s="624"/>
      <c r="E111" t="s">
        <v>692</v>
      </c>
      <c r="F111" s="710">
        <f>C111*C112</f>
        <v>3456000000</v>
      </c>
      <c r="H111" s="694">
        <v>1900</v>
      </c>
      <c r="I111" s="775"/>
      <c r="J111" s="699">
        <f>J112+500000</f>
        <v>36500000</v>
      </c>
      <c r="K111" s="696">
        <v>89815876.214719832</v>
      </c>
      <c r="L111" s="696">
        <v>178752386.88517335</v>
      </c>
      <c r="M111" s="696">
        <v>200986514.55278662</v>
      </c>
      <c r="N111" s="696">
        <v>223220642.22039992</v>
      </c>
      <c r="O111" s="696">
        <v>267688897.55562666</v>
      </c>
      <c r="P111" s="696">
        <v>356625408.22608</v>
      </c>
      <c r="Q111" s="696">
        <v>445561918.89653331</v>
      </c>
      <c r="R111" s="696">
        <v>534498429.56698662</v>
      </c>
      <c r="S111" s="700">
        <v>623434940.23743975</v>
      </c>
      <c r="T111" s="686"/>
    </row>
    <row r="112" spans="1:20" ht="19.5" thickBot="1" x14ac:dyDescent="0.35">
      <c r="A112" s="781"/>
      <c r="B112" t="s">
        <v>1175</v>
      </c>
      <c r="C112" s="709">
        <v>36000000</v>
      </c>
      <c r="D112" s="711"/>
      <c r="E112" t="s">
        <v>606</v>
      </c>
      <c r="F112" s="710">
        <f>-C113</f>
        <v>-2304856035.9040003</v>
      </c>
      <c r="H112" s="694">
        <v>1800</v>
      </c>
      <c r="I112" s="775"/>
      <c r="J112" s="701">
        <v>36000000</v>
      </c>
      <c r="K112" s="722">
        <v>68455876.214719832</v>
      </c>
      <c r="L112" s="722">
        <v>153832386.88517335</v>
      </c>
      <c r="M112" s="722">
        <v>175176514.55278662</v>
      </c>
      <c r="N112" s="738">
        <v>196520642.22039992</v>
      </c>
      <c r="O112" s="696">
        <v>239208897.55562666</v>
      </c>
      <c r="P112" s="696">
        <v>324585408.22608</v>
      </c>
      <c r="Q112" s="696">
        <v>409961918.89653331</v>
      </c>
      <c r="R112" s="696">
        <v>495338429.56698662</v>
      </c>
      <c r="S112" s="702">
        <v>580714940.23743975</v>
      </c>
      <c r="T112" s="686"/>
    </row>
    <row r="113" spans="1:20" ht="18.75" x14ac:dyDescent="0.3">
      <c r="A113" s="781"/>
      <c r="B113" t="s">
        <v>1176</v>
      </c>
      <c r="C113" s="709">
        <f>(C111*C115)+(C114*C111)</f>
        <v>2304856035.9040003</v>
      </c>
      <c r="D113" s="624"/>
      <c r="E113" s="627" t="s">
        <v>283</v>
      </c>
      <c r="F113" s="628">
        <f>SUM(F111:F112)</f>
        <v>1151143964.0959997</v>
      </c>
      <c r="H113" s="694">
        <v>1700</v>
      </c>
      <c r="I113" s="775"/>
      <c r="J113" s="699">
        <f>J112-500000</f>
        <v>35500000</v>
      </c>
      <c r="K113" s="696">
        <v>47095876.214719832</v>
      </c>
      <c r="L113" s="696">
        <v>128912386.88517335</v>
      </c>
      <c r="M113" s="696">
        <v>149366514.55278662</v>
      </c>
      <c r="N113" s="696">
        <v>169820642.22039992</v>
      </c>
      <c r="O113" s="696">
        <v>210728897.55562666</v>
      </c>
      <c r="P113" s="696">
        <v>292545408.22608</v>
      </c>
      <c r="Q113" s="696">
        <v>374361918.89653331</v>
      </c>
      <c r="R113" s="696">
        <v>456178429.56698662</v>
      </c>
      <c r="S113" s="700">
        <v>537994940.23743975</v>
      </c>
      <c r="T113" s="686"/>
    </row>
    <row r="114" spans="1:20" ht="19.5" thickBot="1" x14ac:dyDescent="0.35">
      <c r="A114" s="781"/>
      <c r="B114" t="s">
        <v>1177</v>
      </c>
      <c r="C114" s="709">
        <v>7368817.0406666668</v>
      </c>
      <c r="D114" s="711"/>
      <c r="E114" t="s">
        <v>1178</v>
      </c>
      <c r="F114" s="710">
        <f>-C116</f>
        <v>-292256683.20000005</v>
      </c>
      <c r="H114" s="703">
        <v>1600</v>
      </c>
      <c r="I114" s="776"/>
      <c r="J114" s="704">
        <f>J112-1000000</f>
        <v>35000000</v>
      </c>
      <c r="K114" s="705">
        <v>25735876.214719832</v>
      </c>
      <c r="L114" s="705">
        <v>103992386.88517335</v>
      </c>
      <c r="M114" s="705">
        <v>123556514.55278663</v>
      </c>
      <c r="N114" s="705">
        <v>143120642.22039992</v>
      </c>
      <c r="O114" s="705">
        <v>182248897.55562666</v>
      </c>
      <c r="P114" s="705">
        <v>260505408.22607997</v>
      </c>
      <c r="Q114" s="705">
        <v>338761918.89653331</v>
      </c>
      <c r="R114" s="705">
        <v>417018429.56698662</v>
      </c>
      <c r="S114" s="706">
        <v>495274940.23743969</v>
      </c>
      <c r="T114" s="686"/>
    </row>
    <row r="115" spans="1:20" ht="15.75" x14ac:dyDescent="0.25">
      <c r="A115" s="781"/>
      <c r="B115" t="s">
        <v>1179</v>
      </c>
      <c r="C115" s="709">
        <v>16640100</v>
      </c>
      <c r="D115" s="624"/>
      <c r="E115" t="s">
        <v>1186</v>
      </c>
      <c r="F115" s="710">
        <f>-C117</f>
        <v>-206398584</v>
      </c>
      <c r="H115" s="712"/>
      <c r="I115" s="625"/>
      <c r="J115" s="625"/>
      <c r="K115" s="625"/>
      <c r="L115" s="625"/>
      <c r="M115" s="625"/>
      <c r="N115" s="625"/>
      <c r="T115" s="686"/>
    </row>
    <row r="116" spans="1:20" ht="15.75" x14ac:dyDescent="0.25">
      <c r="A116" s="781"/>
      <c r="B116" t="s">
        <v>1178</v>
      </c>
      <c r="C116" s="709">
        <v>292256683.20000005</v>
      </c>
      <c r="D116" s="624"/>
      <c r="E116" s="627" t="s">
        <v>691</v>
      </c>
      <c r="F116" s="628">
        <f>SUM(F113:F115)</f>
        <v>652488696.89599967</v>
      </c>
      <c r="G116" s="624"/>
      <c r="H116" s="624"/>
      <c r="I116" s="624"/>
      <c r="J116" s="624"/>
      <c r="K116" s="624"/>
      <c r="L116" s="624"/>
      <c r="M116" s="624"/>
      <c r="N116" s="624"/>
      <c r="O116" s="626"/>
      <c r="P116" s="626"/>
      <c r="Q116" s="626"/>
      <c r="R116" s="626"/>
      <c r="S116" s="626"/>
      <c r="T116" s="686"/>
    </row>
    <row r="117" spans="1:20" ht="15.75" x14ac:dyDescent="0.25">
      <c r="A117" s="781"/>
      <c r="B117" t="s">
        <v>1186</v>
      </c>
      <c r="C117" s="709">
        <v>206398584</v>
      </c>
      <c r="D117" s="624"/>
      <c r="F117" s="629"/>
      <c r="G117" s="624"/>
      <c r="H117" s="624"/>
      <c r="I117" s="624"/>
      <c r="J117" s="624"/>
      <c r="K117" s="624"/>
      <c r="L117" s="624"/>
      <c r="M117" s="624"/>
      <c r="N117" s="624"/>
      <c r="O117" s="624"/>
      <c r="P117" s="624"/>
      <c r="Q117" s="624"/>
      <c r="R117" s="624"/>
      <c r="S117" s="624"/>
      <c r="T117" s="686"/>
    </row>
    <row r="118" spans="1:20" ht="15.75" x14ac:dyDescent="0.25">
      <c r="A118" s="781"/>
      <c r="B118" t="s">
        <v>1181</v>
      </c>
      <c r="C118" s="713">
        <v>0.11</v>
      </c>
      <c r="D118" s="624"/>
      <c r="E118" t="s">
        <v>1180</v>
      </c>
      <c r="F118" s="714">
        <f>IF(F116&lt;=0,"0",-C118*F116)</f>
        <v>-71773756.658559963</v>
      </c>
      <c r="G118" s="624"/>
      <c r="O118" s="624"/>
      <c r="P118" s="624"/>
      <c r="Q118" s="624"/>
      <c r="R118" s="624"/>
      <c r="S118" s="624"/>
      <c r="T118" s="686"/>
    </row>
    <row r="119" spans="1:20" ht="15.75" x14ac:dyDescent="0.25">
      <c r="A119" s="781"/>
      <c r="B119" s="777" t="s">
        <v>1183</v>
      </c>
      <c r="C119" s="777"/>
      <c r="D119" s="624"/>
      <c r="E119" s="630" t="s">
        <v>1182</v>
      </c>
      <c r="F119" s="631">
        <f>SUM(F116:F118)</f>
        <v>580714940.23743975</v>
      </c>
      <c r="G119" s="624"/>
      <c r="I119" s="715"/>
      <c r="J119" s="715"/>
      <c r="K119" s="715"/>
      <c r="L119" s="715"/>
      <c r="M119" s="715"/>
      <c r="N119" s="715"/>
      <c r="T119" s="686"/>
    </row>
    <row r="120" spans="1:20" ht="15.75" x14ac:dyDescent="0.25">
      <c r="A120" s="781"/>
      <c r="B120" t="s">
        <v>171</v>
      </c>
      <c r="C120" s="716">
        <v>40000000</v>
      </c>
      <c r="D120" s="624"/>
      <c r="E120" s="624"/>
      <c r="F120" s="624"/>
      <c r="G120" s="624"/>
      <c r="T120" s="686"/>
    </row>
    <row r="121" spans="1:20" ht="15.75" x14ac:dyDescent="0.25">
      <c r="A121" s="781"/>
      <c r="B121" t="s">
        <v>1184</v>
      </c>
      <c r="C121" s="716">
        <v>24000</v>
      </c>
      <c r="E121" s="624"/>
      <c r="F121" s="624"/>
      <c r="T121" s="686"/>
    </row>
    <row r="122" spans="1:20" ht="16.5" thickBot="1" x14ac:dyDescent="0.3">
      <c r="A122" s="782"/>
      <c r="B122" s="717" t="s">
        <v>1185</v>
      </c>
      <c r="C122" s="718">
        <v>39000</v>
      </c>
      <c r="D122" s="687"/>
      <c r="E122" s="719"/>
      <c r="F122" s="687"/>
      <c r="G122" s="687"/>
      <c r="H122" s="687"/>
      <c r="I122" s="687"/>
      <c r="J122" s="687"/>
      <c r="K122" s="687"/>
      <c r="L122" s="687"/>
      <c r="M122" s="687"/>
      <c r="N122" s="720"/>
      <c r="O122" s="687"/>
      <c r="P122" s="721"/>
      <c r="Q122" s="687"/>
      <c r="R122" s="687"/>
      <c r="S122" s="687"/>
      <c r="T122" s="688"/>
    </row>
  </sheetData>
  <mergeCells count="45">
    <mergeCell ref="A106:A122"/>
    <mergeCell ref="B108:F108"/>
    <mergeCell ref="H108:S108"/>
    <mergeCell ref="I109:I114"/>
    <mergeCell ref="B110:C110"/>
    <mergeCell ref="E110:F110"/>
    <mergeCell ref="B119:C119"/>
    <mergeCell ref="A86:A102"/>
    <mergeCell ref="B88:F88"/>
    <mergeCell ref="H88:S88"/>
    <mergeCell ref="I89:I94"/>
    <mergeCell ref="B90:C90"/>
    <mergeCell ref="E90:F90"/>
    <mergeCell ref="B99:C99"/>
    <mergeCell ref="A66:A82"/>
    <mergeCell ref="B68:F68"/>
    <mergeCell ref="H68:S68"/>
    <mergeCell ref="I69:I74"/>
    <mergeCell ref="B70:C70"/>
    <mergeCell ref="E70:F70"/>
    <mergeCell ref="B79:C79"/>
    <mergeCell ref="B59:C59"/>
    <mergeCell ref="A46:A62"/>
    <mergeCell ref="I9:I14"/>
    <mergeCell ref="H8:S8"/>
    <mergeCell ref="A5:A22"/>
    <mergeCell ref="B19:C19"/>
    <mergeCell ref="B8:F8"/>
    <mergeCell ref="B10:C10"/>
    <mergeCell ref="E10:F10"/>
    <mergeCell ref="B48:F48"/>
    <mergeCell ref="H48:S48"/>
    <mergeCell ref="I49:I54"/>
    <mergeCell ref="B50:C50"/>
    <mergeCell ref="E50:F50"/>
    <mergeCell ref="N17:T18"/>
    <mergeCell ref="H38:L39"/>
    <mergeCell ref="A26:A43"/>
    <mergeCell ref="B29:F29"/>
    <mergeCell ref="H29:S29"/>
    <mergeCell ref="I30:I35"/>
    <mergeCell ref="B31:C31"/>
    <mergeCell ref="E31:F31"/>
    <mergeCell ref="B40:C40"/>
    <mergeCell ref="N38:T39"/>
  </mergeCells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78"/>
  <sheetViews>
    <sheetView showGridLines="0" zoomScale="85" zoomScaleNormal="85" workbookViewId="0">
      <pane xSplit="5" ySplit="7" topLeftCell="H8" activePane="bottomRight" state="frozen"/>
      <selection pane="topRight" activeCell="F1" sqref="F1"/>
      <selection pane="bottomLeft" activeCell="A9" sqref="A9"/>
      <selection pane="bottomRight" activeCell="A6" sqref="A6:E15"/>
    </sheetView>
  </sheetViews>
  <sheetFormatPr defaultColWidth="9" defaultRowHeight="11.25" x14ac:dyDescent="0.25"/>
  <cols>
    <col min="1" max="1" width="2.75" style="266" customWidth="1"/>
    <col min="2" max="2" width="12.75" style="266" customWidth="1"/>
    <col min="3" max="3" width="8" style="266" customWidth="1"/>
    <col min="4" max="4" width="10.25" style="266" bestFit="1" customWidth="1"/>
    <col min="5" max="5" width="26" style="266" customWidth="1"/>
    <col min="6" max="6" width="9" style="266"/>
    <col min="7" max="7" width="8.75" style="266" customWidth="1"/>
    <col min="8" max="8" width="11.375" style="266" bestFit="1" customWidth="1"/>
    <col min="9" max="9" width="10.75" style="266" customWidth="1"/>
    <col min="10" max="10" width="10.125" style="266" bestFit="1" customWidth="1"/>
    <col min="11" max="11" width="13" style="266" bestFit="1" customWidth="1"/>
    <col min="12" max="12" width="13.375" style="266" bestFit="1" customWidth="1"/>
    <col min="13" max="13" width="15.875" style="266" bestFit="1" customWidth="1"/>
    <col min="14" max="14" width="5.625" style="266" customWidth="1"/>
    <col min="15" max="15" width="10.25" style="266" bestFit="1" customWidth="1"/>
    <col min="16" max="16" width="9.5" style="266" bestFit="1" customWidth="1"/>
    <col min="17" max="17" width="10.375" style="266" bestFit="1" customWidth="1"/>
    <col min="18" max="19" width="11" style="266" bestFit="1" customWidth="1"/>
    <col min="20" max="20" width="9.75" style="266" bestFit="1" customWidth="1"/>
    <col min="21" max="21" width="9" style="266"/>
    <col min="22" max="22" width="9.5" style="266" bestFit="1" customWidth="1"/>
    <col min="23" max="16384" width="9" style="266"/>
  </cols>
  <sheetData>
    <row r="1" spans="1:23" x14ac:dyDescent="0.2">
      <c r="A1" s="269" t="str">
        <f>Assumption!A1</f>
        <v>Bisnis Truk Thermoking</v>
      </c>
      <c r="I1" s="272"/>
      <c r="J1" s="272"/>
      <c r="K1" s="272"/>
    </row>
    <row r="2" spans="1:23" x14ac:dyDescent="0.2">
      <c r="A2" s="269" t="str">
        <f>Assumption!A2</f>
        <v>Financial Pre-Feasibility Study</v>
      </c>
      <c r="H2" s="307"/>
      <c r="I2" s="272"/>
      <c r="J2" s="272"/>
      <c r="K2" s="272"/>
      <c r="L2" s="307"/>
    </row>
    <row r="3" spans="1:23" x14ac:dyDescent="0.25">
      <c r="A3" s="271" t="s">
        <v>591</v>
      </c>
    </row>
    <row r="5" spans="1:23" x14ac:dyDescent="0.25">
      <c r="G5" s="272"/>
      <c r="H5" s="272"/>
      <c r="I5" s="277" t="s">
        <v>1247</v>
      </c>
      <c r="J5" s="320"/>
      <c r="K5" s="277"/>
      <c r="L5" s="321"/>
      <c r="M5" s="165" t="s">
        <v>586</v>
      </c>
    </row>
    <row r="6" spans="1:23" ht="43.5" customHeight="1" x14ac:dyDescent="0.25">
      <c r="A6" s="258" t="s">
        <v>68</v>
      </c>
      <c r="B6" s="259"/>
      <c r="C6" s="259"/>
      <c r="D6" s="259"/>
      <c r="E6" s="259"/>
      <c r="G6" s="265" t="s">
        <v>521</v>
      </c>
      <c r="H6" s="784" t="s">
        <v>597</v>
      </c>
      <c r="I6" s="265" t="s">
        <v>1208</v>
      </c>
      <c r="J6" s="265" t="s">
        <v>598</v>
      </c>
      <c r="K6" s="265" t="s">
        <v>599</v>
      </c>
      <c r="L6" s="265" t="s">
        <v>600</v>
      </c>
      <c r="M6" s="265" t="s">
        <v>601</v>
      </c>
      <c r="O6" s="265"/>
      <c r="P6" s="784"/>
      <c r="Q6" s="265"/>
      <c r="R6" s="265"/>
      <c r="S6" s="265"/>
      <c r="T6" s="265"/>
      <c r="U6" s="265"/>
      <c r="V6" s="265"/>
    </row>
    <row r="7" spans="1:23" ht="11.25" customHeight="1" x14ac:dyDescent="0.25">
      <c r="A7" s="258"/>
      <c r="B7" s="259"/>
      <c r="C7" s="259"/>
      <c r="D7" s="259"/>
      <c r="E7" s="259"/>
      <c r="G7" s="265"/>
      <c r="H7" s="784"/>
      <c r="I7" s="265"/>
      <c r="J7" s="265"/>
      <c r="K7" s="265"/>
      <c r="L7" s="265"/>
      <c r="M7" s="265"/>
      <c r="O7" s="265"/>
      <c r="P7" s="784"/>
      <c r="Q7" s="265"/>
      <c r="R7" s="265"/>
      <c r="S7" s="265"/>
      <c r="T7" s="265"/>
      <c r="U7" s="265"/>
      <c r="V7" s="265"/>
    </row>
    <row r="8" spans="1:23" x14ac:dyDescent="0.25">
      <c r="A8" s="266" t="s">
        <v>150</v>
      </c>
      <c r="B8" s="266" t="s">
        <v>592</v>
      </c>
      <c r="G8" s="277">
        <v>1</v>
      </c>
      <c r="H8" s="164">
        <f>D9</f>
        <v>2293317600</v>
      </c>
      <c r="I8" s="164">
        <f>H8</f>
        <v>2293317600</v>
      </c>
      <c r="J8" s="165">
        <f>'Loan Flat'!$D$14</f>
        <v>458663520</v>
      </c>
      <c r="K8" s="164">
        <f>I8-J8</f>
        <v>1834654080</v>
      </c>
      <c r="L8" s="164">
        <f>'Loan Flat'!$C$14</f>
        <v>206398584</v>
      </c>
      <c r="M8" s="661">
        <f>L8</f>
        <v>206398584</v>
      </c>
      <c r="O8" s="290" t="s">
        <v>579</v>
      </c>
      <c r="P8" s="291" t="s">
        <v>1227</v>
      </c>
      <c r="Q8" s="291" t="s">
        <v>1206</v>
      </c>
      <c r="R8" s="658" t="s">
        <v>1228</v>
      </c>
      <c r="S8" s="291" t="s">
        <v>1231</v>
      </c>
      <c r="T8" s="291" t="s">
        <v>237</v>
      </c>
      <c r="U8" s="659"/>
      <c r="V8" s="285"/>
    </row>
    <row r="9" spans="1:23" x14ac:dyDescent="0.25">
      <c r="B9" s="266" t="s">
        <v>510</v>
      </c>
      <c r="C9" s="266" t="s">
        <v>370</v>
      </c>
      <c r="D9" s="322">
        <f>CapitalInvestment!C11</f>
        <v>2293317600</v>
      </c>
      <c r="E9" s="266" t="s">
        <v>512</v>
      </c>
      <c r="G9" s="277">
        <v>2</v>
      </c>
      <c r="H9" s="165"/>
      <c r="I9" s="164">
        <f>K8+L8-M8</f>
        <v>1834654080</v>
      </c>
      <c r="J9" s="165">
        <f>'Loan Flat'!$D$14</f>
        <v>458663520</v>
      </c>
      <c r="K9" s="164">
        <f>I9-J9</f>
        <v>1375990560</v>
      </c>
      <c r="L9" s="164">
        <f>'Loan Flat'!$C$14</f>
        <v>206398584</v>
      </c>
      <c r="M9" s="323">
        <f>L9</f>
        <v>206398584</v>
      </c>
      <c r="O9" s="290">
        <v>1</v>
      </c>
      <c r="P9" s="291">
        <v>2293317600</v>
      </c>
      <c r="Q9" s="291">
        <v>18155431</v>
      </c>
      <c r="R9" s="658">
        <v>30008507.174329627</v>
      </c>
      <c r="S9" s="291">
        <v>48163938.174329624</v>
      </c>
      <c r="T9" s="291">
        <v>2263309092.8256702</v>
      </c>
      <c r="U9" s="659"/>
      <c r="V9" s="285"/>
    </row>
    <row r="10" spans="1:23" x14ac:dyDescent="0.25">
      <c r="A10" s="263" t="s">
        <v>151</v>
      </c>
      <c r="B10" s="266" t="s">
        <v>160</v>
      </c>
      <c r="G10" s="277">
        <f>G9+1</f>
        <v>3</v>
      </c>
      <c r="H10" s="165"/>
      <c r="I10" s="164">
        <f>K9+L9-M9+H10</f>
        <v>1375990560</v>
      </c>
      <c r="J10" s="165">
        <f>'Loan Flat'!$D$14</f>
        <v>458663520</v>
      </c>
      <c r="K10" s="164">
        <f t="shared" ref="K10:K11" si="0">I10-J10</f>
        <v>917327040</v>
      </c>
      <c r="L10" s="164">
        <f>'Loan Flat'!$C$14</f>
        <v>206398584</v>
      </c>
      <c r="M10" s="323">
        <f>L10</f>
        <v>206398584</v>
      </c>
      <c r="O10" s="290">
        <v>2</v>
      </c>
      <c r="P10" s="291">
        <v>2263309092.8256702</v>
      </c>
      <c r="Q10" s="291">
        <v>17917863.651536558</v>
      </c>
      <c r="R10" s="658">
        <v>30246074.522793069</v>
      </c>
      <c r="S10" s="291">
        <v>48163938.174329624</v>
      </c>
      <c r="T10" s="291">
        <v>2233063018.3028769</v>
      </c>
      <c r="U10" s="659"/>
      <c r="V10" s="285"/>
      <c r="W10" s="660"/>
    </row>
    <row r="11" spans="1:23" x14ac:dyDescent="0.25">
      <c r="B11" s="266" t="s">
        <v>1246</v>
      </c>
      <c r="D11" s="324">
        <f>Assumption!E32</f>
        <v>9</v>
      </c>
      <c r="E11" s="266" t="s">
        <v>62</v>
      </c>
      <c r="G11" s="277">
        <f t="shared" ref="G11:G17" si="1">G10+1</f>
        <v>4</v>
      </c>
      <c r="H11" s="165"/>
      <c r="I11" s="164">
        <f>K10+L10-M10+H11</f>
        <v>917327040</v>
      </c>
      <c r="J11" s="165">
        <f>'Loan Flat'!$D$14</f>
        <v>458663520</v>
      </c>
      <c r="K11" s="164">
        <f t="shared" si="0"/>
        <v>458663520</v>
      </c>
      <c r="L11" s="164">
        <f>'Loan Flat'!$C$14</f>
        <v>206398584</v>
      </c>
      <c r="M11" s="323">
        <f>L11</f>
        <v>206398584</v>
      </c>
      <c r="O11" s="290">
        <v>3</v>
      </c>
      <c r="P11" s="291">
        <v>2233063018.3028769</v>
      </c>
      <c r="Q11" s="291">
        <v>17678415.561564445</v>
      </c>
      <c r="R11" s="658">
        <v>30485522.612765178</v>
      </c>
      <c r="S11" s="291">
        <v>48163938.174329624</v>
      </c>
      <c r="T11" s="291">
        <v>2202577495.6901116</v>
      </c>
      <c r="U11" s="659"/>
      <c r="V11" s="285"/>
      <c r="W11" s="660"/>
    </row>
    <row r="12" spans="1:23" x14ac:dyDescent="0.25">
      <c r="B12" s="266" t="s">
        <v>593</v>
      </c>
      <c r="D12" s="324">
        <f>Assumption!E33</f>
        <v>5</v>
      </c>
      <c r="E12" s="266" t="s">
        <v>551</v>
      </c>
      <c r="G12" s="277">
        <f t="shared" si="1"/>
        <v>5</v>
      </c>
      <c r="H12" s="165"/>
      <c r="I12" s="164">
        <f>K11+L11-M11</f>
        <v>458663520</v>
      </c>
      <c r="J12" s="165">
        <f>'Loan Flat'!$D$14</f>
        <v>458663520</v>
      </c>
      <c r="K12" s="164">
        <f>I12-J12</f>
        <v>0</v>
      </c>
      <c r="L12" s="164">
        <f>'Loan Flat'!$C$14</f>
        <v>206398584</v>
      </c>
      <c r="M12" s="323">
        <f>L12</f>
        <v>206398584</v>
      </c>
      <c r="O12" s="290">
        <v>4</v>
      </c>
      <c r="P12" s="291">
        <v>2202577495.6901116</v>
      </c>
      <c r="Q12" s="291">
        <v>17437071.840880051</v>
      </c>
      <c r="R12" s="658">
        <v>30726866.333449569</v>
      </c>
      <c r="S12" s="291">
        <v>48163938.174329624</v>
      </c>
      <c r="T12" s="291">
        <v>2171850629.3566623</v>
      </c>
      <c r="U12" s="659"/>
      <c r="V12" s="285"/>
    </row>
    <row r="13" spans="1:23" x14ac:dyDescent="0.25">
      <c r="B13" s="266" t="s">
        <v>594</v>
      </c>
      <c r="D13" s="325">
        <f>Assumption!E34</f>
        <v>0</v>
      </c>
      <c r="E13" s="266" t="s">
        <v>551</v>
      </c>
      <c r="G13" s="277">
        <f t="shared" si="1"/>
        <v>6</v>
      </c>
      <c r="H13" s="165"/>
      <c r="I13" s="164">
        <f>K12+L12-M12+H13</f>
        <v>0</v>
      </c>
      <c r="J13" s="164">
        <v>0</v>
      </c>
      <c r="K13" s="164">
        <f>I13-J13</f>
        <v>0</v>
      </c>
      <c r="L13" s="164">
        <f t="shared" ref="L13" si="2">((I13+K13)/2)*$D$11%</f>
        <v>0</v>
      </c>
      <c r="M13" s="323">
        <f t="shared" ref="M13" si="3">L13</f>
        <v>0</v>
      </c>
      <c r="O13" s="290">
        <v>5</v>
      </c>
      <c r="P13" s="291">
        <v>2171850629.3566623</v>
      </c>
      <c r="Q13" s="291">
        <v>17193817.482406911</v>
      </c>
      <c r="R13" s="658">
        <v>30970120.691922713</v>
      </c>
      <c r="S13" s="291">
        <v>48163938.174329624</v>
      </c>
      <c r="T13" s="291">
        <v>2140880508.6647396</v>
      </c>
      <c r="U13" s="659"/>
      <c r="V13" s="285"/>
    </row>
    <row r="14" spans="1:23" x14ac:dyDescent="0.25">
      <c r="B14" s="266" t="s">
        <v>595</v>
      </c>
      <c r="D14" s="326">
        <f>Assumption!E20</f>
        <v>15000</v>
      </c>
      <c r="E14" s="266" t="s">
        <v>61</v>
      </c>
      <c r="G14" s="277">
        <f t="shared" si="1"/>
        <v>7</v>
      </c>
      <c r="H14" s="165"/>
      <c r="I14" s="164">
        <v>0</v>
      </c>
      <c r="J14" s="164">
        <v>0</v>
      </c>
      <c r="K14" s="164">
        <f t="shared" ref="K14:K17" si="4">I14-J14</f>
        <v>0</v>
      </c>
      <c r="L14" s="164">
        <f t="shared" ref="L14:L17" si="5">((I14+K14)/2)*$D$11%</f>
        <v>0</v>
      </c>
      <c r="M14" s="323">
        <f t="shared" ref="M14:M18" si="6">L14</f>
        <v>0</v>
      </c>
      <c r="O14" s="290">
        <v>6</v>
      </c>
      <c r="P14" s="291">
        <v>2140880508.6647396</v>
      </c>
      <c r="Q14" s="291">
        <v>16948637.360262524</v>
      </c>
      <c r="R14" s="658">
        <v>31215300.814067099</v>
      </c>
      <c r="S14" s="291">
        <v>48163938.174329624</v>
      </c>
      <c r="T14" s="291">
        <v>2109665207.8506725</v>
      </c>
      <c r="U14" s="659"/>
      <c r="V14" s="285"/>
    </row>
    <row r="15" spans="1:23" x14ac:dyDescent="0.25">
      <c r="A15" s="263" t="s">
        <v>152</v>
      </c>
      <c r="B15" s="266" t="s">
        <v>161</v>
      </c>
      <c r="D15" s="305"/>
      <c r="G15" s="277">
        <f t="shared" si="1"/>
        <v>8</v>
      </c>
      <c r="H15" s="165"/>
      <c r="I15" s="164">
        <v>0</v>
      </c>
      <c r="J15" s="164">
        <f>J14</f>
        <v>0</v>
      </c>
      <c r="K15" s="164">
        <f t="shared" si="4"/>
        <v>0</v>
      </c>
      <c r="L15" s="164">
        <f t="shared" si="5"/>
        <v>0</v>
      </c>
      <c r="M15" s="323">
        <f t="shared" si="6"/>
        <v>0</v>
      </c>
      <c r="O15" s="290">
        <v>7</v>
      </c>
      <c r="P15" s="291">
        <v>2109665207.8506725</v>
      </c>
      <c r="Q15" s="291">
        <v>16701516.228817826</v>
      </c>
      <c r="R15" s="658">
        <v>31462421.945511796</v>
      </c>
      <c r="S15" s="291">
        <v>48163938.174329624</v>
      </c>
      <c r="T15" s="291">
        <v>2078202785.9051607</v>
      </c>
      <c r="U15" s="659"/>
      <c r="V15" s="285"/>
    </row>
    <row r="16" spans="1:23" x14ac:dyDescent="0.25">
      <c r="A16" s="263" t="s">
        <v>153</v>
      </c>
      <c r="B16" s="266" t="s">
        <v>508</v>
      </c>
      <c r="G16" s="277">
        <f t="shared" si="1"/>
        <v>9</v>
      </c>
      <c r="H16" s="165"/>
      <c r="I16" s="164">
        <v>0</v>
      </c>
      <c r="J16" s="164">
        <f t="shared" ref="J16:J17" si="7">J15</f>
        <v>0</v>
      </c>
      <c r="K16" s="164">
        <f t="shared" si="4"/>
        <v>0</v>
      </c>
      <c r="L16" s="164">
        <f t="shared" si="5"/>
        <v>0</v>
      </c>
      <c r="M16" s="323">
        <f t="shared" si="6"/>
        <v>0</v>
      </c>
      <c r="O16" s="290">
        <v>8</v>
      </c>
      <c r="P16" s="291">
        <v>2078202785.9051607</v>
      </c>
      <c r="Q16" s="291">
        <v>16452438.72174919</v>
      </c>
      <c r="R16" s="658">
        <v>31711499.452580433</v>
      </c>
      <c r="S16" s="291">
        <v>48163938.174329624</v>
      </c>
      <c r="T16" s="291">
        <v>2046491286.4525802</v>
      </c>
      <c r="U16" s="659"/>
      <c r="V16" s="285"/>
    </row>
    <row r="17" spans="1:22" x14ac:dyDescent="0.25">
      <c r="B17" s="266" t="s">
        <v>362</v>
      </c>
      <c r="G17" s="277">
        <f t="shared" si="1"/>
        <v>10</v>
      </c>
      <c r="H17" s="165"/>
      <c r="I17" s="164">
        <v>0</v>
      </c>
      <c r="J17" s="164">
        <f t="shared" si="7"/>
        <v>0</v>
      </c>
      <c r="K17" s="164">
        <f t="shared" si="4"/>
        <v>0</v>
      </c>
      <c r="L17" s="164">
        <f t="shared" si="5"/>
        <v>0</v>
      </c>
      <c r="M17" s="323">
        <f t="shared" si="6"/>
        <v>0</v>
      </c>
      <c r="O17" s="290">
        <v>9</v>
      </c>
      <c r="P17" s="291">
        <v>2046491286.4525802</v>
      </c>
      <c r="Q17" s="291">
        <v>16201389.351082928</v>
      </c>
      <c r="R17" s="658">
        <v>31962548.823246695</v>
      </c>
      <c r="S17" s="291">
        <v>48163938.174329624</v>
      </c>
      <c r="T17" s="291">
        <v>2014528737.6293335</v>
      </c>
      <c r="U17" s="659"/>
      <c r="V17" s="285"/>
    </row>
    <row r="18" spans="1:22" x14ac:dyDescent="0.25">
      <c r="A18" s="263" t="s">
        <v>154</v>
      </c>
      <c r="B18" s="266" t="s">
        <v>162</v>
      </c>
      <c r="G18" s="279"/>
      <c r="H18" s="279"/>
      <c r="I18" s="279"/>
      <c r="J18" s="279"/>
      <c r="K18" s="279"/>
      <c r="L18" s="284">
        <f>SUM(L8:L17)</f>
        <v>1031992920</v>
      </c>
      <c r="M18" s="284">
        <f t="shared" si="6"/>
        <v>1031992920</v>
      </c>
      <c r="O18" s="290">
        <v>10</v>
      </c>
      <c r="P18" s="291">
        <v>2014528737.6293335</v>
      </c>
      <c r="Q18" s="291">
        <v>15948352.506232224</v>
      </c>
      <c r="R18" s="658">
        <v>32215585.668097403</v>
      </c>
      <c r="S18" s="291">
        <v>48163938.174329624</v>
      </c>
      <c r="T18" s="291">
        <v>1982313151.961236</v>
      </c>
      <c r="U18" s="659"/>
      <c r="V18" s="285"/>
    </row>
    <row r="19" spans="1:22" x14ac:dyDescent="0.25">
      <c r="A19" s="263" t="s">
        <v>155</v>
      </c>
      <c r="B19" s="266" t="s">
        <v>596</v>
      </c>
      <c r="O19" s="290">
        <v>11</v>
      </c>
      <c r="P19" s="291">
        <v>1982313151.961236</v>
      </c>
      <c r="Q19" s="291">
        <v>15693312.453026453</v>
      </c>
      <c r="R19" s="658">
        <v>32470625.721303172</v>
      </c>
      <c r="S19" s="291">
        <v>48163938.174329624</v>
      </c>
      <c r="T19" s="291">
        <v>1949842526.2399328</v>
      </c>
      <c r="U19" s="659"/>
      <c r="V19" s="285"/>
    </row>
    <row r="20" spans="1:22" x14ac:dyDescent="0.25">
      <c r="B20" s="266" t="s">
        <v>496</v>
      </c>
      <c r="D20" s="322"/>
      <c r="E20" s="266" t="s">
        <v>383</v>
      </c>
      <c r="H20" s="327">
        <f>I9</f>
        <v>1834654080</v>
      </c>
      <c r="J20" s="327">
        <f>SUM(J9:J17)</f>
        <v>1834654080</v>
      </c>
      <c r="K20" s="328" t="s">
        <v>363</v>
      </c>
      <c r="L20" s="270"/>
      <c r="O20" s="290">
        <v>12</v>
      </c>
      <c r="P20" s="291">
        <v>1949842526.2399328</v>
      </c>
      <c r="Q20" s="291">
        <v>15436253.332732802</v>
      </c>
      <c r="R20" s="685">
        <v>32727684.841596819</v>
      </c>
      <c r="S20" s="685">
        <v>48163938.174329624</v>
      </c>
      <c r="T20" s="685">
        <v>1917114841.3983359</v>
      </c>
      <c r="U20" s="659"/>
      <c r="V20" s="285"/>
    </row>
    <row r="21" spans="1:22" s="272" customFormat="1" x14ac:dyDescent="0.25">
      <c r="L21" s="735">
        <f>D9+M18</f>
        <v>3325310520</v>
      </c>
      <c r="M21" s="272">
        <f>L8/12</f>
        <v>17199882</v>
      </c>
      <c r="O21" s="414"/>
      <c r="P21" s="300"/>
      <c r="Q21" s="731">
        <v>201764499.49029189</v>
      </c>
      <c r="R21" s="685">
        <v>376202758.60166401</v>
      </c>
      <c r="S21" s="731">
        <v>577967258.09195542</v>
      </c>
      <c r="T21" s="731"/>
      <c r="U21" s="732"/>
      <c r="V21" s="300"/>
    </row>
    <row r="22" spans="1:22" x14ac:dyDescent="0.25">
      <c r="L22" s="307">
        <f>(L18/D9)*100</f>
        <v>45</v>
      </c>
      <c r="O22" s="290">
        <v>13</v>
      </c>
      <c r="P22" s="285">
        <v>1917114841.3983359</v>
      </c>
      <c r="Q22" s="291">
        <v>15177159.161070161</v>
      </c>
      <c r="R22" s="658">
        <v>32986779.013259463</v>
      </c>
      <c r="S22" s="291">
        <v>48163938.174329624</v>
      </c>
      <c r="T22" s="291">
        <v>1884128062.3850765</v>
      </c>
      <c r="U22" s="659"/>
      <c r="V22" s="285"/>
    </row>
    <row r="23" spans="1:22" x14ac:dyDescent="0.25">
      <c r="J23" s="307">
        <f>I9-K23</f>
        <v>229331760</v>
      </c>
      <c r="K23" s="633">
        <f>(I9+K9)/2</f>
        <v>1605322320</v>
      </c>
      <c r="O23" s="290">
        <v>14</v>
      </c>
      <c r="P23" s="285">
        <v>1884128062.3850765</v>
      </c>
      <c r="Q23" s="291">
        <v>14916013.827215191</v>
      </c>
      <c r="R23" s="658">
        <v>33247924.347114433</v>
      </c>
      <c r="S23" s="291">
        <v>48163938.174329624</v>
      </c>
      <c r="T23" s="291">
        <v>1850880138.0379622</v>
      </c>
      <c r="U23" s="659"/>
      <c r="V23" s="285"/>
    </row>
    <row r="24" spans="1:22" x14ac:dyDescent="0.25">
      <c r="O24" s="290">
        <v>15</v>
      </c>
      <c r="P24" s="285">
        <v>1850880138.0379622</v>
      </c>
      <c r="Q24" s="291">
        <v>14652801.092800535</v>
      </c>
      <c r="R24" s="658">
        <v>33511137.081529088</v>
      </c>
      <c r="S24" s="291">
        <v>48163938.174329624</v>
      </c>
      <c r="T24" s="291">
        <v>1817369000.9564331</v>
      </c>
      <c r="U24" s="659"/>
      <c r="V24" s="285"/>
    </row>
    <row r="25" spans="1:22" x14ac:dyDescent="0.25">
      <c r="I25" s="283"/>
      <c r="K25" s="328"/>
      <c r="O25" s="290">
        <v>16</v>
      </c>
      <c r="P25" s="285">
        <v>1817369000.9564331</v>
      </c>
      <c r="Q25" s="291">
        <v>14387504.590905096</v>
      </c>
      <c r="R25" s="658">
        <v>33776433.583424523</v>
      </c>
      <c r="S25" s="291">
        <v>48163938.174329624</v>
      </c>
      <c r="T25" s="291">
        <v>1783592567.3730085</v>
      </c>
      <c r="U25" s="659"/>
      <c r="V25" s="285"/>
    </row>
    <row r="26" spans="1:22" x14ac:dyDescent="0.25">
      <c r="O26" s="290">
        <v>17</v>
      </c>
      <c r="P26" s="285">
        <v>1783592567.3730085</v>
      </c>
      <c r="Q26" s="291">
        <v>14120107.825036319</v>
      </c>
      <c r="R26" s="658">
        <v>34043830.349293306</v>
      </c>
      <c r="S26" s="291">
        <v>48163938.174329624</v>
      </c>
      <c r="T26" s="291">
        <v>1749548737.0237153</v>
      </c>
      <c r="U26" s="659"/>
      <c r="V26" s="285"/>
    </row>
    <row r="27" spans="1:22" x14ac:dyDescent="0.25">
      <c r="O27" s="290">
        <v>18</v>
      </c>
      <c r="P27" s="285">
        <v>1749548737.0237153</v>
      </c>
      <c r="Q27" s="291">
        <v>13850594.168104414</v>
      </c>
      <c r="R27" s="658">
        <v>34313344.006225213</v>
      </c>
      <c r="S27" s="291">
        <v>48163938.174329624</v>
      </c>
      <c r="T27" s="291">
        <v>1715235393.0174901</v>
      </c>
      <c r="U27" s="659"/>
      <c r="V27" s="285">
        <v>2300000000</v>
      </c>
    </row>
    <row r="28" spans="1:22" x14ac:dyDescent="0.25">
      <c r="H28" s="651">
        <f>K8*D11%</f>
        <v>165118867.19999999</v>
      </c>
      <c r="K28" s="633">
        <v>1444217400</v>
      </c>
      <c r="L28" s="307">
        <f>K28/60</f>
        <v>24070290</v>
      </c>
      <c r="O28" s="290">
        <v>19</v>
      </c>
      <c r="P28" s="285">
        <v>1715235393.0174901</v>
      </c>
      <c r="Q28" s="291">
        <v>13578946.861388465</v>
      </c>
      <c r="R28" s="658">
        <v>34584991.312941156</v>
      </c>
      <c r="S28" s="291">
        <v>48163938.174329624</v>
      </c>
      <c r="T28" s="291">
        <v>1680650401.7045491</v>
      </c>
      <c r="U28" s="659"/>
      <c r="V28" s="285"/>
    </row>
    <row r="29" spans="1:22" x14ac:dyDescent="0.25">
      <c r="H29" s="651">
        <f>H28*3</f>
        <v>495356601.59999996</v>
      </c>
      <c r="K29" s="633">
        <v>1419317100</v>
      </c>
      <c r="L29" s="307">
        <f>K29/60</f>
        <v>23655285</v>
      </c>
      <c r="O29" s="290">
        <v>20</v>
      </c>
      <c r="P29" s="285">
        <v>1680650401.7045491</v>
      </c>
      <c r="Q29" s="291">
        <v>13305149.013494348</v>
      </c>
      <c r="R29" s="658">
        <v>34858789.160835281</v>
      </c>
      <c r="S29" s="291">
        <v>48163938.174329631</v>
      </c>
      <c r="T29" s="291">
        <v>1645791612.5437138</v>
      </c>
      <c r="U29" s="659"/>
      <c r="V29" s="285"/>
    </row>
    <row r="30" spans="1:22" x14ac:dyDescent="0.25">
      <c r="K30" s="633">
        <v>1519210000</v>
      </c>
      <c r="L30" s="307">
        <f t="shared" ref="L30:L31" si="8">K30/60</f>
        <v>25320166.666666668</v>
      </c>
      <c r="O30" s="290">
        <v>21</v>
      </c>
      <c r="P30" s="285">
        <v>1645791612.5437138</v>
      </c>
      <c r="Q30" s="291">
        <v>13029183.599304402</v>
      </c>
      <c r="R30" s="658">
        <v>35134754.575025223</v>
      </c>
      <c r="S30" s="291">
        <v>48163938.174329624</v>
      </c>
      <c r="T30" s="291">
        <v>1610656857.9686885</v>
      </c>
      <c r="U30" s="659"/>
      <c r="V30" s="285"/>
    </row>
    <row r="31" spans="1:22" x14ac:dyDescent="0.25">
      <c r="K31" s="633">
        <v>303842000</v>
      </c>
      <c r="L31" s="307">
        <f t="shared" si="8"/>
        <v>5064033.333333333</v>
      </c>
      <c r="O31" s="290">
        <v>22</v>
      </c>
      <c r="P31" s="285">
        <v>1610656857.9686885</v>
      </c>
      <c r="Q31" s="291">
        <v>12751033.458918786</v>
      </c>
      <c r="R31" s="658">
        <v>35412904.715410843</v>
      </c>
      <c r="S31" s="291">
        <v>48163938.174329631</v>
      </c>
      <c r="T31" s="291">
        <v>1575243953.2532775</v>
      </c>
      <c r="U31" s="659"/>
      <c r="V31" s="285"/>
    </row>
    <row r="32" spans="1:22" x14ac:dyDescent="0.25">
      <c r="H32" s="266">
        <v>1378046250</v>
      </c>
      <c r="K32" s="633">
        <f>K30-K31</f>
        <v>1215368000</v>
      </c>
      <c r="L32" s="307">
        <f>K32/60</f>
        <v>20256133.333333332</v>
      </c>
      <c r="O32" s="290">
        <v>23</v>
      </c>
      <c r="P32" s="291">
        <v>1575243953.2532775</v>
      </c>
      <c r="Q32" s="291">
        <v>12470681.296588449</v>
      </c>
      <c r="R32" s="658">
        <v>35693256.877741173</v>
      </c>
      <c r="S32" s="291">
        <v>48163938.174329624</v>
      </c>
      <c r="T32" s="291">
        <v>1539550696.3755364</v>
      </c>
      <c r="U32" s="659"/>
      <c r="V32" s="285"/>
    </row>
    <row r="33" spans="8:22" x14ac:dyDescent="0.25">
      <c r="H33" s="651">
        <f>H32-H29</f>
        <v>882689648.4000001</v>
      </c>
      <c r="K33" s="633"/>
      <c r="O33" s="290">
        <v>24</v>
      </c>
      <c r="P33" s="291">
        <v>1539550696.3755364</v>
      </c>
      <c r="Q33" s="291">
        <v>12188109.679639665</v>
      </c>
      <c r="R33" s="658">
        <v>35975828.494689956</v>
      </c>
      <c r="S33" s="658">
        <v>48163938.174329624</v>
      </c>
      <c r="T33" s="685">
        <v>1503574867.8808465</v>
      </c>
      <c r="U33" s="659"/>
      <c r="V33" s="285"/>
    </row>
    <row r="34" spans="8:22" s="272" customFormat="1" x14ac:dyDescent="0.25">
      <c r="K34" s="733"/>
      <c r="O34" s="414"/>
      <c r="P34" s="300"/>
      <c r="Q34" s="731">
        <v>164427284.57446584</v>
      </c>
      <c r="R34" s="685">
        <v>413539973.51748961</v>
      </c>
      <c r="S34" s="731">
        <v>577967258.09195542</v>
      </c>
      <c r="T34" s="731"/>
      <c r="U34" s="732"/>
      <c r="V34" s="300"/>
    </row>
    <row r="35" spans="8:22" x14ac:dyDescent="0.25">
      <c r="K35" s="633">
        <v>24900300</v>
      </c>
      <c r="O35" s="290">
        <v>25</v>
      </c>
      <c r="P35" s="285">
        <v>1503574867.8808465</v>
      </c>
      <c r="Q35" s="291">
        <v>11903301.037390037</v>
      </c>
      <c r="R35" s="658">
        <v>36260637.136939593</v>
      </c>
      <c r="S35" s="291">
        <v>48163938.174329631</v>
      </c>
      <c r="T35" s="291">
        <v>1467314230.743907</v>
      </c>
      <c r="U35" s="659"/>
      <c r="V35" s="285"/>
    </row>
    <row r="36" spans="8:22" x14ac:dyDescent="0.25">
      <c r="O36" s="290">
        <v>26</v>
      </c>
      <c r="P36" s="285">
        <v>1467314230.743907</v>
      </c>
      <c r="Q36" s="291">
        <v>11616237.660055932</v>
      </c>
      <c r="R36" s="658">
        <v>36547700.514273696</v>
      </c>
      <c r="S36" s="291">
        <v>48163938.174329624</v>
      </c>
      <c r="T36" s="291">
        <v>1430766530.2296333</v>
      </c>
      <c r="U36" s="659"/>
      <c r="V36" s="285"/>
    </row>
    <row r="37" spans="8:22" x14ac:dyDescent="0.25">
      <c r="O37" s="290">
        <v>27</v>
      </c>
      <c r="P37" s="285">
        <v>1430766530.2296333</v>
      </c>
      <c r="Q37" s="291">
        <v>11326901.697651265</v>
      </c>
      <c r="R37" s="658">
        <v>36837036.476678357</v>
      </c>
      <c r="S37" s="291">
        <v>48163938.174329624</v>
      </c>
      <c r="T37" s="291">
        <v>1393929493.752955</v>
      </c>
      <c r="U37" s="659"/>
      <c r="V37" s="285"/>
    </row>
    <row r="38" spans="8:22" x14ac:dyDescent="0.25">
      <c r="O38" s="290">
        <v>28</v>
      </c>
      <c r="P38" s="285">
        <v>1393929493.752955</v>
      </c>
      <c r="Q38" s="291">
        <v>11035275.158877561</v>
      </c>
      <c r="R38" s="658">
        <v>37128663.015452065</v>
      </c>
      <c r="S38" s="291">
        <v>48163938.174329624</v>
      </c>
      <c r="T38" s="291">
        <v>1356800830.7375028</v>
      </c>
      <c r="U38" s="659"/>
      <c r="V38" s="285"/>
    </row>
    <row r="39" spans="8:22" x14ac:dyDescent="0.25">
      <c r="L39" s="164">
        <f>T20+T33+T46+T59+T72</f>
        <v>5018974748.2776661</v>
      </c>
      <c r="O39" s="290">
        <v>29</v>
      </c>
      <c r="P39" s="285">
        <v>1356800830.7375028</v>
      </c>
      <c r="Q39" s="291">
        <v>10741339.910005232</v>
      </c>
      <c r="R39" s="658">
        <v>37422598.264324397</v>
      </c>
      <c r="S39" s="291">
        <v>48163938.174329631</v>
      </c>
      <c r="T39" s="291">
        <v>1319378232.4731784</v>
      </c>
      <c r="U39" s="659"/>
      <c r="V39" s="285"/>
    </row>
    <row r="40" spans="8:22" x14ac:dyDescent="0.25">
      <c r="O40" s="290">
        <v>30</v>
      </c>
      <c r="P40" s="285">
        <v>1319378232.4731784</v>
      </c>
      <c r="Q40" s="291">
        <v>10445077.673745997</v>
      </c>
      <c r="R40" s="658">
        <v>37718860.500583626</v>
      </c>
      <c r="S40" s="291">
        <v>48163938.174329624</v>
      </c>
      <c r="T40" s="291">
        <v>1281659371.9725947</v>
      </c>
      <c r="U40" s="659"/>
      <c r="V40" s="285"/>
    </row>
    <row r="41" spans="8:22" x14ac:dyDescent="0.25">
      <c r="O41" s="290">
        <v>31</v>
      </c>
      <c r="P41" s="285">
        <v>1281659371.9725947</v>
      </c>
      <c r="Q41" s="291">
        <v>10146470.028116375</v>
      </c>
      <c r="R41" s="658">
        <v>38017468.146213241</v>
      </c>
      <c r="S41" s="291">
        <v>48163938.174329616</v>
      </c>
      <c r="T41" s="291">
        <v>1243641903.8263814</v>
      </c>
      <c r="U41" s="659"/>
      <c r="V41" s="285"/>
    </row>
    <row r="42" spans="8:22" x14ac:dyDescent="0.25">
      <c r="O42" s="290">
        <v>32</v>
      </c>
      <c r="P42" s="285">
        <v>1243641903.8263814</v>
      </c>
      <c r="Q42" s="291">
        <v>9845498.4052921869</v>
      </c>
      <c r="R42" s="658">
        <v>38318439.769037433</v>
      </c>
      <c r="S42" s="291">
        <v>48163938.174329624</v>
      </c>
      <c r="T42" s="291">
        <v>1205323464.057344</v>
      </c>
      <c r="U42" s="659"/>
      <c r="V42" s="285"/>
    </row>
    <row r="43" spans="8:22" x14ac:dyDescent="0.25">
      <c r="O43" s="290">
        <v>33</v>
      </c>
      <c r="P43" s="285">
        <v>1205323464.057344</v>
      </c>
      <c r="Q43" s="291">
        <v>9542144.090453973</v>
      </c>
      <c r="R43" s="658">
        <v>38621794.083875649</v>
      </c>
      <c r="S43" s="291">
        <v>48163938.174329624</v>
      </c>
      <c r="T43" s="291">
        <v>1166701669.9734683</v>
      </c>
      <c r="U43" s="659"/>
      <c r="V43" s="285"/>
    </row>
    <row r="44" spans="8:22" x14ac:dyDescent="0.25">
      <c r="O44" s="290">
        <v>34</v>
      </c>
      <c r="P44" s="285">
        <v>1166701669.9734683</v>
      </c>
      <c r="Q44" s="291">
        <v>9236388.220623292</v>
      </c>
      <c r="R44" s="658">
        <v>38927549.953706339</v>
      </c>
      <c r="S44" s="291">
        <v>48163938.174329631</v>
      </c>
      <c r="T44" s="291">
        <v>1127774120.019762</v>
      </c>
      <c r="U44" s="659"/>
      <c r="V44" s="285"/>
    </row>
    <row r="45" spans="8:22" x14ac:dyDescent="0.25">
      <c r="O45" s="290">
        <v>35</v>
      </c>
      <c r="P45" s="291">
        <v>1127774120.019762</v>
      </c>
      <c r="Q45" s="291">
        <v>8928211.7834897842</v>
      </c>
      <c r="R45" s="658">
        <v>39235726.390839837</v>
      </c>
      <c r="S45" s="291">
        <v>48163938.174329624</v>
      </c>
      <c r="T45" s="291">
        <v>1088538393.6289222</v>
      </c>
      <c r="U45" s="659"/>
      <c r="V45" s="285"/>
    </row>
    <row r="46" spans="8:22" x14ac:dyDescent="0.25">
      <c r="O46" s="290">
        <v>36</v>
      </c>
      <c r="P46" s="291">
        <v>1088538393.6289222</v>
      </c>
      <c r="Q46" s="291">
        <v>8617595.6162289679</v>
      </c>
      <c r="R46" s="658">
        <v>39546342.558100656</v>
      </c>
      <c r="S46" s="658">
        <v>48163938.174329624</v>
      </c>
      <c r="T46" s="658">
        <v>1048992051.0708215</v>
      </c>
      <c r="U46" s="659"/>
      <c r="V46" s="285"/>
    </row>
    <row r="47" spans="8:22" s="272" customFormat="1" x14ac:dyDescent="0.25">
      <c r="O47" s="414"/>
      <c r="P47" s="300"/>
      <c r="Q47" s="731">
        <v>123384441.28193058</v>
      </c>
      <c r="R47" s="685">
        <v>454582816.81002486</v>
      </c>
      <c r="S47" s="731">
        <v>577967258.09195542</v>
      </c>
      <c r="T47" s="731"/>
      <c r="U47" s="732"/>
      <c r="V47" s="300"/>
    </row>
    <row r="48" spans="8:22" x14ac:dyDescent="0.25">
      <c r="O48" s="290">
        <v>37</v>
      </c>
      <c r="P48" s="285">
        <v>1048992051.0708215</v>
      </c>
      <c r="Q48" s="291">
        <v>8304520.4043106707</v>
      </c>
      <c r="R48" s="658">
        <v>39859417.77001895</v>
      </c>
      <c r="S48" s="291">
        <v>48163938.174329624</v>
      </c>
      <c r="T48" s="291">
        <v>1009132633.3008026</v>
      </c>
      <c r="U48" s="659"/>
      <c r="V48" s="285"/>
    </row>
    <row r="49" spans="15:22" x14ac:dyDescent="0.25">
      <c r="O49" s="290">
        <v>38</v>
      </c>
      <c r="P49" s="285">
        <v>1009132633.3008026</v>
      </c>
      <c r="Q49" s="291">
        <v>7988966.6802980211</v>
      </c>
      <c r="R49" s="658">
        <v>40174971.494031608</v>
      </c>
      <c r="S49" s="291">
        <v>48163938.174329631</v>
      </c>
      <c r="T49" s="291">
        <v>968957661.80677104</v>
      </c>
      <c r="U49" s="659"/>
      <c r="V49" s="285"/>
    </row>
    <row r="50" spans="15:22" x14ac:dyDescent="0.25">
      <c r="O50" s="290">
        <v>39</v>
      </c>
      <c r="P50" s="285">
        <v>968957661.80677104</v>
      </c>
      <c r="Q50" s="291">
        <v>7670914.8226369377</v>
      </c>
      <c r="R50" s="658">
        <v>40493023.351692684</v>
      </c>
      <c r="S50" s="291">
        <v>48163938.174329624</v>
      </c>
      <c r="T50" s="291">
        <v>928464638.45507836</v>
      </c>
      <c r="U50" s="659"/>
      <c r="V50" s="285"/>
    </row>
    <row r="51" spans="15:22" x14ac:dyDescent="0.25">
      <c r="O51" s="290">
        <v>40</v>
      </c>
      <c r="P51" s="285">
        <v>928464638.45507836</v>
      </c>
      <c r="Q51" s="291">
        <v>7350345.0544360373</v>
      </c>
      <c r="R51" s="658">
        <v>40813593.119893581</v>
      </c>
      <c r="S51" s="291">
        <v>48163938.174329616</v>
      </c>
      <c r="T51" s="291">
        <v>887651045.33518481</v>
      </c>
      <c r="U51" s="659"/>
      <c r="V51" s="285"/>
    </row>
    <row r="52" spans="15:22" x14ac:dyDescent="0.25">
      <c r="O52" s="290">
        <v>41</v>
      </c>
      <c r="P52" s="285">
        <v>887651045.33518481</v>
      </c>
      <c r="Q52" s="291">
        <v>7027237.4422368808</v>
      </c>
      <c r="R52" s="658">
        <v>41136700.732092753</v>
      </c>
      <c r="S52" s="291">
        <v>48163938.174329631</v>
      </c>
      <c r="T52" s="291">
        <v>846514344.60309207</v>
      </c>
      <c r="U52" s="659"/>
      <c r="V52" s="285"/>
    </row>
    <row r="53" spans="15:22" x14ac:dyDescent="0.25">
      <c r="O53" s="290">
        <v>42</v>
      </c>
      <c r="P53" s="285">
        <v>846514344.60309207</v>
      </c>
      <c r="Q53" s="291">
        <v>6701571.8947744798</v>
      </c>
      <c r="R53" s="658">
        <v>41462366.279555142</v>
      </c>
      <c r="S53" s="291">
        <v>48163938.174329624</v>
      </c>
      <c r="T53" s="291">
        <v>805051978.32353687</v>
      </c>
      <c r="U53" s="659"/>
      <c r="V53" s="285"/>
    </row>
    <row r="54" spans="15:22" x14ac:dyDescent="0.25">
      <c r="O54" s="290">
        <v>43</v>
      </c>
      <c r="P54" s="285">
        <v>805051978.32353687</v>
      </c>
      <c r="Q54" s="291">
        <v>6373328.1617280012</v>
      </c>
      <c r="R54" s="658">
        <v>41790610.012601621</v>
      </c>
      <c r="S54" s="291">
        <v>48163938.174329624</v>
      </c>
      <c r="T54" s="291">
        <v>763261368.31093526</v>
      </c>
      <c r="U54" s="659"/>
      <c r="V54" s="285"/>
    </row>
    <row r="55" spans="15:22" x14ac:dyDescent="0.25">
      <c r="O55" s="290">
        <v>44</v>
      </c>
      <c r="P55" s="285">
        <v>763261368.31093526</v>
      </c>
      <c r="Q55" s="291">
        <v>6042485.8324615713</v>
      </c>
      <c r="R55" s="658">
        <v>42121452.341868058</v>
      </c>
      <c r="S55" s="291">
        <v>48163938.174329631</v>
      </c>
      <c r="T55" s="291">
        <v>721139915.96906722</v>
      </c>
      <c r="U55" s="659"/>
      <c r="V55" s="285"/>
    </row>
    <row r="56" spans="15:22" x14ac:dyDescent="0.25">
      <c r="O56" s="290">
        <v>45</v>
      </c>
      <c r="P56" s="285">
        <v>721139915.96906722</v>
      </c>
      <c r="Q56" s="291">
        <v>5709024.3347551161</v>
      </c>
      <c r="R56" s="658">
        <v>42454913.839574516</v>
      </c>
      <c r="S56" s="291">
        <v>48163938.174329631</v>
      </c>
      <c r="T56" s="291">
        <v>678685002.12949276</v>
      </c>
      <c r="U56" s="659"/>
      <c r="V56" s="285"/>
    </row>
    <row r="57" spans="15:22" x14ac:dyDescent="0.25">
      <c r="O57" s="290">
        <v>46</v>
      </c>
      <c r="P57" s="285">
        <v>678685002.12949276</v>
      </c>
      <c r="Q57" s="291">
        <v>5372922.9335251516</v>
      </c>
      <c r="R57" s="658">
        <v>42791015.240804471</v>
      </c>
      <c r="S57" s="291">
        <v>48163938.174329624</v>
      </c>
      <c r="T57" s="291">
        <v>635893986.88868833</v>
      </c>
      <c r="U57" s="659"/>
      <c r="V57" s="285"/>
    </row>
    <row r="58" spans="15:22" x14ac:dyDescent="0.25">
      <c r="O58" s="290">
        <v>47</v>
      </c>
      <c r="P58" s="291">
        <v>635893986.88868833</v>
      </c>
      <c r="Q58" s="291">
        <v>5034160.7295354493</v>
      </c>
      <c r="R58" s="658">
        <v>43129777.444794178</v>
      </c>
      <c r="S58" s="291">
        <v>48163938.174329624</v>
      </c>
      <c r="T58" s="291">
        <v>592764209.44389415</v>
      </c>
      <c r="U58" s="659"/>
      <c r="V58" s="285"/>
    </row>
    <row r="59" spans="15:22" x14ac:dyDescent="0.25">
      <c r="O59" s="290">
        <v>48</v>
      </c>
      <c r="P59" s="291">
        <v>592764209.44389415</v>
      </c>
      <c r="Q59" s="291">
        <v>4692716.6580974953</v>
      </c>
      <c r="R59" s="658">
        <v>43471221.516232125</v>
      </c>
      <c r="S59" s="658">
        <v>48163938.174329624</v>
      </c>
      <c r="T59" s="658">
        <v>549292987.92766201</v>
      </c>
      <c r="U59" s="659"/>
      <c r="V59" s="285"/>
    </row>
    <row r="60" spans="15:22" s="272" customFormat="1" x14ac:dyDescent="0.25">
      <c r="O60" s="414"/>
      <c r="P60" s="300"/>
      <c r="Q60" s="731">
        <v>78268194.948795795</v>
      </c>
      <c r="R60" s="685">
        <v>499699063.14315969</v>
      </c>
      <c r="S60" s="731">
        <v>577967258.09195542</v>
      </c>
      <c r="T60" s="731"/>
      <c r="U60" s="732"/>
      <c r="V60" s="300"/>
    </row>
    <row r="61" spans="15:22" x14ac:dyDescent="0.25">
      <c r="O61" s="290">
        <v>49</v>
      </c>
      <c r="P61" s="285">
        <v>549292987.92766201</v>
      </c>
      <c r="Q61" s="291">
        <v>4348569.4877606584</v>
      </c>
      <c r="R61" s="658">
        <v>43815368.686568968</v>
      </c>
      <c r="S61" s="291">
        <v>48163938.174329624</v>
      </c>
      <c r="T61" s="291">
        <v>505477619.24109304</v>
      </c>
      <c r="U61" s="659"/>
      <c r="V61" s="285"/>
    </row>
    <row r="62" spans="15:22" x14ac:dyDescent="0.25">
      <c r="O62" s="290">
        <v>50</v>
      </c>
      <c r="P62" s="285">
        <v>505477619.24109304</v>
      </c>
      <c r="Q62" s="291">
        <v>4001697.818991987</v>
      </c>
      <c r="R62" s="658">
        <v>44162240.355337642</v>
      </c>
      <c r="S62" s="291">
        <v>48163938.174329631</v>
      </c>
      <c r="T62" s="291">
        <v>461315378.88575542</v>
      </c>
      <c r="U62" s="659"/>
      <c r="V62" s="285"/>
    </row>
    <row r="63" spans="15:22" x14ac:dyDescent="0.25">
      <c r="O63" s="290">
        <v>51</v>
      </c>
      <c r="P63" s="285">
        <v>461315378.88575542</v>
      </c>
      <c r="Q63" s="291">
        <v>3652080.082845564</v>
      </c>
      <c r="R63" s="658">
        <v>44511858.091484062</v>
      </c>
      <c r="S63" s="291">
        <v>48163938.174329624</v>
      </c>
      <c r="T63" s="291">
        <v>416803520.79427135</v>
      </c>
      <c r="U63" s="659"/>
      <c r="V63" s="285"/>
    </row>
    <row r="64" spans="15:22" x14ac:dyDescent="0.25">
      <c r="O64" s="290">
        <v>52</v>
      </c>
      <c r="P64" s="285">
        <v>416803520.79427135</v>
      </c>
      <c r="Q64" s="291">
        <v>3299694.539621315</v>
      </c>
      <c r="R64" s="658">
        <v>44864243.634708315</v>
      </c>
      <c r="S64" s="291">
        <v>48163938.174329631</v>
      </c>
      <c r="T64" s="291">
        <v>371939277.15956306</v>
      </c>
      <c r="U64" s="659"/>
      <c r="V64" s="285"/>
    </row>
    <row r="65" spans="15:22" x14ac:dyDescent="0.25">
      <c r="O65" s="290">
        <v>53</v>
      </c>
      <c r="P65" s="285">
        <v>371939277.15956306</v>
      </c>
      <c r="Q65" s="291">
        <v>2944519.2775132079</v>
      </c>
      <c r="R65" s="658">
        <v>45219418.896816418</v>
      </c>
      <c r="S65" s="291">
        <v>48163938.174329624</v>
      </c>
      <c r="T65" s="291">
        <v>326719858.26274663</v>
      </c>
      <c r="U65" s="659"/>
      <c r="V65" s="285"/>
    </row>
    <row r="66" spans="15:22" x14ac:dyDescent="0.25">
      <c r="O66" s="290">
        <v>54</v>
      </c>
      <c r="P66" s="285">
        <v>326719858.26274663</v>
      </c>
      <c r="Q66" s="291">
        <v>2586532.2112467443</v>
      </c>
      <c r="R66" s="658">
        <v>45577405.96308288</v>
      </c>
      <c r="S66" s="291">
        <v>48163938.174329624</v>
      </c>
      <c r="T66" s="291">
        <v>281142452.29966378</v>
      </c>
      <c r="U66" s="659"/>
      <c r="V66" s="285"/>
    </row>
    <row r="67" spans="15:22" x14ac:dyDescent="0.25">
      <c r="O67" s="290">
        <v>55</v>
      </c>
      <c r="P67" s="285">
        <v>281142452.29966378</v>
      </c>
      <c r="Q67" s="291">
        <v>2225711.0807056716</v>
      </c>
      <c r="R67" s="658">
        <v>45938227.093623951</v>
      </c>
      <c r="S67" s="291">
        <v>48163938.174329624</v>
      </c>
      <c r="T67" s="291">
        <v>235204225.20603985</v>
      </c>
      <c r="U67" s="659"/>
      <c r="V67" s="285"/>
    </row>
    <row r="68" spans="15:22" x14ac:dyDescent="0.25">
      <c r="O68" s="290">
        <v>56</v>
      </c>
      <c r="P68" s="285">
        <v>235204225.20603985</v>
      </c>
      <c r="Q68" s="291">
        <v>1862033.4495478156</v>
      </c>
      <c r="R68" s="658">
        <v>46301904.724781811</v>
      </c>
      <c r="S68" s="291">
        <v>48163938.174329624</v>
      </c>
      <c r="T68" s="291">
        <v>188902320.48125803</v>
      </c>
      <c r="U68" s="659"/>
      <c r="V68" s="285"/>
    </row>
    <row r="69" spans="15:22" x14ac:dyDescent="0.25">
      <c r="O69" s="290">
        <v>57</v>
      </c>
      <c r="P69" s="285">
        <v>188902320.48125803</v>
      </c>
      <c r="Q69" s="291">
        <v>1495476.7038099596</v>
      </c>
      <c r="R69" s="658">
        <v>46668461.470519669</v>
      </c>
      <c r="S69" s="291">
        <v>48163938.174329631</v>
      </c>
      <c r="T69" s="291">
        <v>142233859.01073837</v>
      </c>
      <c r="U69" s="659"/>
      <c r="V69" s="285"/>
    </row>
    <row r="70" spans="15:22" x14ac:dyDescent="0.25">
      <c r="O70" s="290">
        <v>58</v>
      </c>
      <c r="P70" s="285">
        <v>142233859.01073837</v>
      </c>
      <c r="Q70" s="291">
        <v>1126018.0505016788</v>
      </c>
      <c r="R70" s="658">
        <v>47037920.123827942</v>
      </c>
      <c r="S70" s="291">
        <v>48163938.174329624</v>
      </c>
      <c r="T70" s="291">
        <v>95195938.886910439</v>
      </c>
      <c r="U70" s="659"/>
      <c r="V70" s="285"/>
    </row>
    <row r="71" spans="15:22" x14ac:dyDescent="0.25">
      <c r="O71" s="290">
        <v>59</v>
      </c>
      <c r="P71" s="291">
        <v>95195938.886910439</v>
      </c>
      <c r="Q71" s="291">
        <v>753634.51618804107</v>
      </c>
      <c r="R71" s="658">
        <v>47410303.658141583</v>
      </c>
      <c r="S71" s="291">
        <v>48163938.174329624</v>
      </c>
      <c r="T71" s="291">
        <v>47785635.228768855</v>
      </c>
      <c r="U71" s="659"/>
      <c r="V71" s="285"/>
    </row>
    <row r="72" spans="15:22" x14ac:dyDescent="0.25">
      <c r="O72" s="290">
        <v>60</v>
      </c>
      <c r="P72" s="291">
        <v>47785635.228768855</v>
      </c>
      <c r="Q72" s="291">
        <v>378302.94556108682</v>
      </c>
      <c r="R72" s="658">
        <v>47785635.228768542</v>
      </c>
      <c r="S72" s="658">
        <v>48163938.174329631</v>
      </c>
      <c r="T72" s="658">
        <v>3.1292438507080078E-7</v>
      </c>
      <c r="U72" s="659"/>
      <c r="V72" s="285"/>
    </row>
    <row r="73" spans="15:22" x14ac:dyDescent="0.25">
      <c r="O73" s="277"/>
      <c r="Q73" s="734">
        <v>28674270.164293732</v>
      </c>
      <c r="R73" s="734">
        <v>549292987.92766178</v>
      </c>
      <c r="S73" s="734">
        <v>577967258.09195554</v>
      </c>
    </row>
    <row r="74" spans="15:22" x14ac:dyDescent="0.25">
      <c r="O74" s="277"/>
    </row>
    <row r="75" spans="15:22" x14ac:dyDescent="0.25">
      <c r="O75" s="277"/>
    </row>
    <row r="76" spans="15:22" x14ac:dyDescent="0.25">
      <c r="O76" s="277"/>
    </row>
    <row r="77" spans="15:22" x14ac:dyDescent="0.25">
      <c r="O77" s="277"/>
    </row>
    <row r="78" spans="15:22" x14ac:dyDescent="0.25">
      <c r="O78" s="277"/>
    </row>
  </sheetData>
  <mergeCells count="2">
    <mergeCell ref="H6:H7"/>
    <mergeCell ref="P6:P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4" max="1048575" man="1"/>
  </colBreaks>
  <ignoredErrors>
    <ignoredError sqref="I12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9279-42CE-473F-B3A7-2CA6B7F2E093}">
  <dimension ref="A1:R75"/>
  <sheetViews>
    <sheetView view="pageBreakPreview" zoomScale="85" zoomScaleNormal="90" zoomScaleSheetLayoutView="85" workbookViewId="0">
      <selection activeCell="I2" sqref="I2"/>
    </sheetView>
  </sheetViews>
  <sheetFormatPr defaultRowHeight="15.75" x14ac:dyDescent="0.25"/>
  <cols>
    <col min="1" max="1" width="6.25" bestFit="1" customWidth="1"/>
    <col min="2" max="2" width="17.125" bestFit="1" customWidth="1"/>
    <col min="3" max="3" width="22.75" bestFit="1" customWidth="1"/>
    <col min="4" max="5" width="15.5" customWidth="1"/>
    <col min="6" max="6" width="17.125" bestFit="1" customWidth="1"/>
    <col min="8" max="8" width="14.625" bestFit="1" customWidth="1"/>
    <col min="9" max="9" width="16.125" customWidth="1"/>
    <col min="11" max="12" width="13.5" bestFit="1" customWidth="1"/>
    <col min="15" max="15" width="12.125" customWidth="1"/>
    <col min="16" max="16" width="14" bestFit="1" customWidth="1"/>
    <col min="18" max="18" width="18.375" bestFit="1" customWidth="1"/>
  </cols>
  <sheetData>
    <row r="1" spans="1:16" x14ac:dyDescent="0.25">
      <c r="A1" s="9" t="s">
        <v>579</v>
      </c>
      <c r="B1" s="9" t="s">
        <v>1227</v>
      </c>
      <c r="C1" s="9" t="s">
        <v>1206</v>
      </c>
      <c r="D1" s="9" t="s">
        <v>1228</v>
      </c>
      <c r="E1" s="9" t="s">
        <v>1231</v>
      </c>
      <c r="F1" s="9" t="s">
        <v>237</v>
      </c>
      <c r="G1" s="9" t="s">
        <v>1229</v>
      </c>
      <c r="H1" s="678" t="s">
        <v>1230</v>
      </c>
      <c r="I1" s="679">
        <v>0.09</v>
      </c>
      <c r="K1">
        <v>12</v>
      </c>
    </row>
    <row r="2" spans="1:16" x14ac:dyDescent="0.25">
      <c r="A2">
        <v>1</v>
      </c>
      <c r="B2" s="2">
        <f>I2</f>
        <v>2293317600</v>
      </c>
      <c r="C2" s="2">
        <f t="shared" ref="C2:C13" si="0">B2*($I$1/12)</f>
        <v>17199882</v>
      </c>
      <c r="D2" s="11">
        <f>PPMT($I$1/12,1,5*12,B2)*-1</f>
        <v>30405619.387649626</v>
      </c>
      <c r="E2" s="2">
        <f t="shared" ref="E2:E33" si="1">C2+D2</f>
        <v>47605501.387649626</v>
      </c>
      <c r="F2" s="2">
        <f t="shared" ref="F2:F13" si="2">B2-D2</f>
        <v>2262911980.6123505</v>
      </c>
      <c r="H2" s="680" t="s">
        <v>1227</v>
      </c>
      <c r="I2" s="681">
        <f>LoanInterest!D9</f>
        <v>2293317600</v>
      </c>
    </row>
    <row r="3" spans="1:16" x14ac:dyDescent="0.25">
      <c r="A3">
        <v>2</v>
      </c>
      <c r="B3" s="2">
        <f>F2</f>
        <v>2262911980.6123505</v>
      </c>
      <c r="C3" s="2">
        <f t="shared" si="0"/>
        <v>16971839.854592629</v>
      </c>
      <c r="D3" s="11">
        <f>PPMT($I$1/12,A3,5*12,B2)*-1</f>
        <v>30633661.533057</v>
      </c>
      <c r="E3" s="2">
        <f t="shared" si="1"/>
        <v>47605501.387649626</v>
      </c>
      <c r="F3" s="2">
        <f t="shared" si="2"/>
        <v>2232278319.0792933</v>
      </c>
      <c r="O3" s="11"/>
      <c r="P3" s="11"/>
    </row>
    <row r="4" spans="1:16" x14ac:dyDescent="0.25">
      <c r="A4">
        <v>3</v>
      </c>
      <c r="B4" s="2">
        <f t="shared" ref="B4:B65" si="3">F3</f>
        <v>2232278319.0792933</v>
      </c>
      <c r="C4" s="2">
        <f t="shared" si="0"/>
        <v>16742087.393094698</v>
      </c>
      <c r="D4" s="11">
        <f t="shared" ref="D4:D13" si="4">PPMT($I$1/12,A4,5*12,$B$2)*-1</f>
        <v>30863413.994554929</v>
      </c>
      <c r="E4" s="2">
        <f t="shared" si="1"/>
        <v>47605501.387649626</v>
      </c>
      <c r="F4" s="2">
        <f t="shared" si="2"/>
        <v>2201414905.0847383</v>
      </c>
      <c r="O4" s="11"/>
      <c r="P4" s="11"/>
    </row>
    <row r="5" spans="1:16" x14ac:dyDescent="0.25">
      <c r="A5">
        <v>4</v>
      </c>
      <c r="B5" s="2">
        <f t="shared" si="3"/>
        <v>2201414905.0847383</v>
      </c>
      <c r="C5" s="2">
        <f t="shared" si="0"/>
        <v>16510611.788135536</v>
      </c>
      <c r="D5" s="11">
        <f t="shared" si="4"/>
        <v>31094889.599514093</v>
      </c>
      <c r="E5" s="2">
        <f t="shared" si="1"/>
        <v>47605501.387649626</v>
      </c>
      <c r="F5" s="2">
        <f t="shared" si="2"/>
        <v>2170320015.4852242</v>
      </c>
      <c r="O5" s="11"/>
    </row>
    <row r="6" spans="1:16" x14ac:dyDescent="0.25">
      <c r="A6">
        <v>5</v>
      </c>
      <c r="B6" s="2">
        <f t="shared" si="3"/>
        <v>2170320015.4852242</v>
      </c>
      <c r="C6" s="2">
        <f t="shared" si="0"/>
        <v>16277400.116139181</v>
      </c>
      <c r="D6" s="11">
        <f t="shared" si="4"/>
        <v>31328101.271510445</v>
      </c>
      <c r="E6" s="2">
        <f t="shared" si="1"/>
        <v>47605501.387649626</v>
      </c>
      <c r="F6" s="2">
        <f t="shared" si="2"/>
        <v>2138991914.2137139</v>
      </c>
      <c r="O6" s="11"/>
    </row>
    <row r="7" spans="1:16" x14ac:dyDescent="0.25">
      <c r="A7">
        <v>6</v>
      </c>
      <c r="B7" s="2">
        <f t="shared" si="3"/>
        <v>2138991914.2137139</v>
      </c>
      <c r="C7" s="2">
        <f t="shared" si="0"/>
        <v>16042439.356602853</v>
      </c>
      <c r="D7" s="11">
        <f t="shared" si="4"/>
        <v>31563062.031046778</v>
      </c>
      <c r="E7" s="2">
        <f t="shared" si="1"/>
        <v>47605501.387649633</v>
      </c>
      <c r="F7" s="2">
        <f t="shared" si="2"/>
        <v>2107428852.182667</v>
      </c>
      <c r="O7" s="11"/>
    </row>
    <row r="8" spans="1:16" x14ac:dyDescent="0.25">
      <c r="A8">
        <v>7</v>
      </c>
      <c r="B8" s="2">
        <f t="shared" si="3"/>
        <v>2107428852.182667</v>
      </c>
      <c r="C8" s="2">
        <f t="shared" si="0"/>
        <v>15805716.391370002</v>
      </c>
      <c r="D8" s="11">
        <f t="shared" si="4"/>
        <v>31799784.996279627</v>
      </c>
      <c r="E8" s="2">
        <f t="shared" si="1"/>
        <v>47605501.387649626</v>
      </c>
      <c r="F8" s="2">
        <f t="shared" si="2"/>
        <v>2075629067.1863873</v>
      </c>
      <c r="O8" s="11"/>
    </row>
    <row r="9" spans="1:16" x14ac:dyDescent="0.25">
      <c r="A9">
        <v>8</v>
      </c>
      <c r="B9" s="2">
        <f t="shared" si="3"/>
        <v>2075629067.1863873</v>
      </c>
      <c r="C9" s="2">
        <f t="shared" si="0"/>
        <v>15567218.003897903</v>
      </c>
      <c r="D9" s="11">
        <f t="shared" si="4"/>
        <v>32038283.38375172</v>
      </c>
      <c r="E9" s="2">
        <f t="shared" si="1"/>
        <v>47605501.387649626</v>
      </c>
      <c r="F9" s="2">
        <f t="shared" si="2"/>
        <v>2043590783.8026357</v>
      </c>
      <c r="O9" s="11"/>
    </row>
    <row r="10" spans="1:16" x14ac:dyDescent="0.25">
      <c r="A10">
        <v>9</v>
      </c>
      <c r="B10" s="2">
        <f t="shared" si="3"/>
        <v>2043590783.8026357</v>
      </c>
      <c r="C10" s="2">
        <f t="shared" si="0"/>
        <v>15326930.878519766</v>
      </c>
      <c r="D10" s="11">
        <f t="shared" si="4"/>
        <v>32278570.50912986</v>
      </c>
      <c r="E10" s="2">
        <f t="shared" si="1"/>
        <v>47605501.387649626</v>
      </c>
      <c r="F10" s="2">
        <f t="shared" si="2"/>
        <v>2011312213.2935059</v>
      </c>
      <c r="O10" s="11"/>
    </row>
    <row r="11" spans="1:16" x14ac:dyDescent="0.25">
      <c r="A11">
        <v>10</v>
      </c>
      <c r="B11" s="2">
        <f t="shared" si="3"/>
        <v>2011312213.2935059</v>
      </c>
      <c r="C11" s="2">
        <f t="shared" si="0"/>
        <v>15084841.599701295</v>
      </c>
      <c r="D11" s="11">
        <f t="shared" si="4"/>
        <v>32520659.787948336</v>
      </c>
      <c r="E11" s="2">
        <f t="shared" si="1"/>
        <v>47605501.387649633</v>
      </c>
      <c r="F11" s="2">
        <f t="shared" si="2"/>
        <v>1978791553.5055575</v>
      </c>
      <c r="O11" s="11"/>
    </row>
    <row r="12" spans="1:16" x14ac:dyDescent="0.25">
      <c r="A12">
        <v>11</v>
      </c>
      <c r="B12" s="2">
        <f t="shared" si="3"/>
        <v>1978791553.5055575</v>
      </c>
      <c r="C12" s="2">
        <f t="shared" si="0"/>
        <v>14840936.651291681</v>
      </c>
      <c r="D12" s="11">
        <f t="shared" si="4"/>
        <v>32764564.736357953</v>
      </c>
      <c r="E12" s="2">
        <f t="shared" si="1"/>
        <v>47605501.387649633</v>
      </c>
      <c r="F12" s="2">
        <f t="shared" si="2"/>
        <v>1946026988.7691996</v>
      </c>
      <c r="O12" s="11"/>
    </row>
    <row r="13" spans="1:16" x14ac:dyDescent="0.25">
      <c r="A13">
        <v>12</v>
      </c>
      <c r="B13" s="2">
        <f t="shared" si="3"/>
        <v>1946026988.7691996</v>
      </c>
      <c r="C13" s="2">
        <f t="shared" si="0"/>
        <v>14595202.415768996</v>
      </c>
      <c r="D13" s="11">
        <f t="shared" si="4"/>
        <v>33010298.971880633</v>
      </c>
      <c r="E13" s="2">
        <f t="shared" si="1"/>
        <v>47605501.387649626</v>
      </c>
      <c r="F13" s="2">
        <f t="shared" si="2"/>
        <v>1913016689.7973189</v>
      </c>
      <c r="O13" s="11"/>
    </row>
    <row r="14" spans="1:16" x14ac:dyDescent="0.25">
      <c r="B14" s="2"/>
      <c r="C14" s="682">
        <f>SUM(C2:C13)</f>
        <v>190965106.4491145</v>
      </c>
      <c r="D14" s="682">
        <f>SUM(D2:D13)</f>
        <v>380300910.20268095</v>
      </c>
      <c r="E14" s="682">
        <f t="shared" si="1"/>
        <v>571266016.65179539</v>
      </c>
      <c r="F14" s="2"/>
      <c r="O14" s="11"/>
    </row>
    <row r="15" spans="1:16" x14ac:dyDescent="0.25">
      <c r="A15">
        <v>13</v>
      </c>
      <c r="B15" s="2">
        <f>F13</f>
        <v>1913016689.7973189</v>
      </c>
      <c r="C15" s="2">
        <f t="shared" ref="C15:C26" si="5">B15*($I$1/12)</f>
        <v>14347625.173479892</v>
      </c>
      <c r="D15" s="11">
        <f t="shared" ref="D15:D26" si="6">PPMT($I$1/12,A15,5*12,$B$2)*-1</f>
        <v>33257876.214169733</v>
      </c>
      <c r="E15" s="2">
        <f t="shared" si="1"/>
        <v>47605501.387649626</v>
      </c>
      <c r="F15" s="2">
        <f t="shared" ref="F15:F26" si="7">B15-D15</f>
        <v>1879758813.5831492</v>
      </c>
      <c r="O15" s="11"/>
    </row>
    <row r="16" spans="1:16" x14ac:dyDescent="0.25">
      <c r="A16">
        <v>14</v>
      </c>
      <c r="B16" s="2">
        <f t="shared" si="3"/>
        <v>1879758813.5831492</v>
      </c>
      <c r="C16" s="2">
        <f t="shared" si="5"/>
        <v>14098191.101873618</v>
      </c>
      <c r="D16" s="11">
        <f t="shared" si="6"/>
        <v>33507310.285776012</v>
      </c>
      <c r="E16" s="2">
        <f t="shared" si="1"/>
        <v>47605501.387649626</v>
      </c>
      <c r="F16" s="2">
        <f t="shared" si="7"/>
        <v>1846251503.2973733</v>
      </c>
    </row>
    <row r="17" spans="1:18" x14ac:dyDescent="0.25">
      <c r="A17">
        <v>15</v>
      </c>
      <c r="B17" s="2">
        <f t="shared" si="3"/>
        <v>1846251503.2973733</v>
      </c>
      <c r="C17" s="2">
        <f t="shared" si="5"/>
        <v>13846886.274730299</v>
      </c>
      <c r="D17" s="11">
        <f t="shared" si="6"/>
        <v>33758615.112919331</v>
      </c>
      <c r="E17" s="2">
        <f t="shared" si="1"/>
        <v>47605501.387649626</v>
      </c>
      <c r="F17" s="2">
        <f t="shared" si="7"/>
        <v>1812492888.184454</v>
      </c>
    </row>
    <row r="18" spans="1:18" x14ac:dyDescent="0.25">
      <c r="A18">
        <v>16</v>
      </c>
      <c r="B18" s="2">
        <f t="shared" si="3"/>
        <v>1812492888.184454</v>
      </c>
      <c r="C18" s="2">
        <f t="shared" si="5"/>
        <v>13593696.661383403</v>
      </c>
      <c r="D18" s="11">
        <f>PPMT($I$1/12,A18,5*12,$B$2)*-1</f>
        <v>34011804.726266228</v>
      </c>
      <c r="E18" s="2">
        <f t="shared" si="1"/>
        <v>47605501.387649633</v>
      </c>
      <c r="F18" s="2">
        <f t="shared" si="7"/>
        <v>1778481083.4581878</v>
      </c>
    </row>
    <row r="19" spans="1:18" x14ac:dyDescent="0.25">
      <c r="A19">
        <v>17</v>
      </c>
      <c r="B19" s="2">
        <f t="shared" si="3"/>
        <v>1778481083.4581878</v>
      </c>
      <c r="C19" s="2">
        <f t="shared" si="5"/>
        <v>13338608.125936408</v>
      </c>
      <c r="D19" s="11">
        <f t="shared" si="6"/>
        <v>34266893.261713229</v>
      </c>
      <c r="E19" s="2">
        <f t="shared" si="1"/>
        <v>47605501.38764964</v>
      </c>
      <c r="F19" s="2">
        <f t="shared" si="7"/>
        <v>1744214190.1964746</v>
      </c>
    </row>
    <row r="20" spans="1:18" x14ac:dyDescent="0.25">
      <c r="A20">
        <v>18</v>
      </c>
      <c r="B20" s="2">
        <f t="shared" si="3"/>
        <v>1744214190.1964746</v>
      </c>
      <c r="C20" s="2">
        <f t="shared" si="5"/>
        <v>13081606.426473558</v>
      </c>
      <c r="D20" s="11">
        <f t="shared" si="6"/>
        <v>34523894.961176068</v>
      </c>
      <c r="E20" s="2">
        <f t="shared" si="1"/>
        <v>47605501.387649626</v>
      </c>
      <c r="F20" s="2">
        <f t="shared" si="7"/>
        <v>1709690295.2352984</v>
      </c>
    </row>
    <row r="21" spans="1:18" x14ac:dyDescent="0.25">
      <c r="A21">
        <v>19</v>
      </c>
      <c r="B21" s="2">
        <f t="shared" si="3"/>
        <v>1709690295.2352984</v>
      </c>
      <c r="C21" s="2">
        <f t="shared" si="5"/>
        <v>12822677.214264737</v>
      </c>
      <c r="D21" s="11">
        <f t="shared" si="6"/>
        <v>34782824.173384897</v>
      </c>
      <c r="E21" s="2">
        <f t="shared" si="1"/>
        <v>47605501.387649633</v>
      </c>
      <c r="F21" s="2">
        <f t="shared" si="7"/>
        <v>1674907471.0619135</v>
      </c>
      <c r="P21" s="11"/>
      <c r="R21" s="2"/>
    </row>
    <row r="22" spans="1:18" x14ac:dyDescent="0.25">
      <c r="A22">
        <v>20</v>
      </c>
      <c r="B22" s="2">
        <f t="shared" si="3"/>
        <v>1674907471.0619135</v>
      </c>
      <c r="C22" s="2">
        <f t="shared" si="5"/>
        <v>12561806.032964351</v>
      </c>
      <c r="D22" s="11">
        <f t="shared" si="6"/>
        <v>35043695.354685277</v>
      </c>
      <c r="E22" s="2">
        <f t="shared" si="1"/>
        <v>47605501.387649626</v>
      </c>
      <c r="F22" s="2">
        <f t="shared" si="7"/>
        <v>1639863775.7072282</v>
      </c>
      <c r="P22" s="11"/>
    </row>
    <row r="23" spans="1:18" x14ac:dyDescent="0.25">
      <c r="A23">
        <v>21</v>
      </c>
      <c r="B23" s="2">
        <f t="shared" si="3"/>
        <v>1639863775.7072282</v>
      </c>
      <c r="C23" s="2">
        <f t="shared" si="5"/>
        <v>12298978.317804212</v>
      </c>
      <c r="D23" s="11">
        <f t="shared" si="6"/>
        <v>35306523.069845416</v>
      </c>
      <c r="E23" s="2">
        <f t="shared" si="1"/>
        <v>47605501.387649626</v>
      </c>
      <c r="F23" s="2">
        <f t="shared" si="7"/>
        <v>1604557252.6373827</v>
      </c>
      <c r="P23" s="11"/>
    </row>
    <row r="24" spans="1:18" x14ac:dyDescent="0.25">
      <c r="A24">
        <v>22</v>
      </c>
      <c r="B24" s="2">
        <f t="shared" si="3"/>
        <v>1604557252.6373827</v>
      </c>
      <c r="C24" s="2">
        <f t="shared" si="5"/>
        <v>12034179.394780369</v>
      </c>
      <c r="D24" s="11">
        <f t="shared" si="6"/>
        <v>35571321.992869258</v>
      </c>
      <c r="E24" s="2">
        <f t="shared" si="1"/>
        <v>47605501.387649626</v>
      </c>
      <c r="F24" s="2">
        <f t="shared" si="7"/>
        <v>1568985930.6445136</v>
      </c>
    </row>
    <row r="25" spans="1:18" x14ac:dyDescent="0.25">
      <c r="A25">
        <v>23</v>
      </c>
      <c r="B25" s="2">
        <f t="shared" si="3"/>
        <v>1568985930.6445136</v>
      </c>
      <c r="C25" s="2">
        <f t="shared" si="5"/>
        <v>11767394.479833852</v>
      </c>
      <c r="D25" s="11">
        <f t="shared" si="6"/>
        <v>35838106.907815784</v>
      </c>
      <c r="E25" s="2">
        <f t="shared" si="1"/>
        <v>47605501.38764964</v>
      </c>
      <c r="F25" s="2">
        <f t="shared" si="7"/>
        <v>1533147823.7366979</v>
      </c>
    </row>
    <row r="26" spans="1:18" x14ac:dyDescent="0.25">
      <c r="A26">
        <v>24</v>
      </c>
      <c r="B26" s="2">
        <f t="shared" si="3"/>
        <v>1533147823.7366979</v>
      </c>
      <c r="C26" s="2">
        <f t="shared" si="5"/>
        <v>11498608.678025234</v>
      </c>
      <c r="D26" s="11">
        <f t="shared" si="6"/>
        <v>36106892.709624402</v>
      </c>
      <c r="E26" s="2">
        <f t="shared" si="1"/>
        <v>47605501.38764964</v>
      </c>
      <c r="F26" s="2">
        <f t="shared" si="7"/>
        <v>1497040931.0270736</v>
      </c>
    </row>
    <row r="27" spans="1:18" x14ac:dyDescent="0.25">
      <c r="B27" s="2"/>
      <c r="C27" s="682">
        <f>SUM(C15:C26)</f>
        <v>155290257.88154995</v>
      </c>
      <c r="D27" s="682">
        <f>SUM(D15:D26)</f>
        <v>415975758.77024567</v>
      </c>
      <c r="E27" s="682">
        <f t="shared" si="1"/>
        <v>571266016.65179563</v>
      </c>
      <c r="F27" s="2"/>
    </row>
    <row r="28" spans="1:18" x14ac:dyDescent="0.25">
      <c r="A28">
        <v>25</v>
      </c>
      <c r="B28" s="2">
        <f>F26</f>
        <v>1497040931.0270736</v>
      </c>
      <c r="C28" s="2">
        <f t="shared" ref="C28:C39" si="8">B28*($I$1/12)</f>
        <v>11227806.982703052</v>
      </c>
      <c r="D28" s="11">
        <f t="shared" ref="D28:D39" si="9">PPMT($I$1/12,A28,5*12,$B$2)*-1</f>
        <v>36377694.404946581</v>
      </c>
      <c r="E28" s="2">
        <f t="shared" si="1"/>
        <v>47605501.387649633</v>
      </c>
      <c r="F28" s="2">
        <f t="shared" ref="F28:F39" si="10">B28-D28</f>
        <v>1460663236.6221271</v>
      </c>
    </row>
    <row r="29" spans="1:18" x14ac:dyDescent="0.25">
      <c r="A29">
        <v>26</v>
      </c>
      <c r="B29" s="2">
        <f t="shared" si="3"/>
        <v>1460663236.6221271</v>
      </c>
      <c r="C29" s="2">
        <f t="shared" si="8"/>
        <v>10954974.274665952</v>
      </c>
      <c r="D29" s="11">
        <f t="shared" si="9"/>
        <v>36650527.112983681</v>
      </c>
      <c r="E29" s="2">
        <f t="shared" si="1"/>
        <v>47605501.387649633</v>
      </c>
      <c r="F29" s="2">
        <f t="shared" si="10"/>
        <v>1424012709.5091434</v>
      </c>
    </row>
    <row r="30" spans="1:18" x14ac:dyDescent="0.25">
      <c r="A30">
        <v>27</v>
      </c>
      <c r="B30" s="2">
        <f t="shared" si="3"/>
        <v>1424012709.5091434</v>
      </c>
      <c r="C30" s="2">
        <f t="shared" si="8"/>
        <v>10680095.321318574</v>
      </c>
      <c r="D30" s="11">
        <f t="shared" si="9"/>
        <v>36925406.066331059</v>
      </c>
      <c r="E30" s="2">
        <f t="shared" si="1"/>
        <v>47605501.387649633</v>
      </c>
      <c r="F30" s="2">
        <f t="shared" si="10"/>
        <v>1387087303.4428122</v>
      </c>
    </row>
    <row r="31" spans="1:18" x14ac:dyDescent="0.25">
      <c r="A31">
        <v>28</v>
      </c>
      <c r="B31" s="2">
        <f t="shared" si="3"/>
        <v>1387087303.4428122</v>
      </c>
      <c r="C31" s="2">
        <f t="shared" si="8"/>
        <v>10403154.775821092</v>
      </c>
      <c r="D31" s="11">
        <f t="shared" si="9"/>
        <v>37202346.611828543</v>
      </c>
      <c r="E31" s="2">
        <f t="shared" si="1"/>
        <v>47605501.387649633</v>
      </c>
      <c r="F31" s="2">
        <f t="shared" si="10"/>
        <v>1349884956.8309836</v>
      </c>
    </row>
    <row r="32" spans="1:18" x14ac:dyDescent="0.25">
      <c r="A32">
        <v>29</v>
      </c>
      <c r="B32" s="2">
        <f t="shared" si="3"/>
        <v>1349884956.8309836</v>
      </c>
      <c r="C32" s="2">
        <f t="shared" si="8"/>
        <v>10124137.176232377</v>
      </c>
      <c r="D32" s="11">
        <f t="shared" si="9"/>
        <v>37481364.211417258</v>
      </c>
      <c r="E32" s="2">
        <f t="shared" si="1"/>
        <v>47605501.387649633</v>
      </c>
      <c r="F32" s="2">
        <f t="shared" si="10"/>
        <v>1312403592.6195664</v>
      </c>
    </row>
    <row r="33" spans="1:6" x14ac:dyDescent="0.25">
      <c r="A33">
        <v>30</v>
      </c>
      <c r="B33" s="2">
        <f t="shared" si="3"/>
        <v>1312403592.6195664</v>
      </c>
      <c r="C33" s="2">
        <f t="shared" si="8"/>
        <v>9843026.9446467478</v>
      </c>
      <c r="D33" s="11">
        <f t="shared" si="9"/>
        <v>37762474.443002887</v>
      </c>
      <c r="E33" s="2">
        <f t="shared" si="1"/>
        <v>47605501.387649633</v>
      </c>
      <c r="F33" s="2">
        <f t="shared" si="10"/>
        <v>1274641118.1765635</v>
      </c>
    </row>
    <row r="34" spans="1:6" x14ac:dyDescent="0.25">
      <c r="A34">
        <v>31</v>
      </c>
      <c r="B34" s="2">
        <f t="shared" si="3"/>
        <v>1274641118.1765635</v>
      </c>
      <c r="C34" s="2">
        <f t="shared" si="8"/>
        <v>9559808.386324225</v>
      </c>
      <c r="D34" s="11">
        <f t="shared" si="9"/>
        <v>38045693.001325406</v>
      </c>
      <c r="E34" s="2">
        <f t="shared" ref="E34:E65" si="11">C34+D34</f>
        <v>47605501.387649633</v>
      </c>
      <c r="F34" s="2">
        <f t="shared" si="10"/>
        <v>1236595425.1752381</v>
      </c>
    </row>
    <row r="35" spans="1:6" x14ac:dyDescent="0.25">
      <c r="A35">
        <v>32</v>
      </c>
      <c r="B35" s="2">
        <f t="shared" si="3"/>
        <v>1236595425.1752381</v>
      </c>
      <c r="C35" s="2">
        <f t="shared" si="8"/>
        <v>9274465.6888142861</v>
      </c>
      <c r="D35" s="11">
        <f t="shared" si="9"/>
        <v>38331035.698835351</v>
      </c>
      <c r="E35" s="2">
        <f t="shared" si="11"/>
        <v>47605501.38764964</v>
      </c>
      <c r="F35" s="2">
        <f t="shared" si="10"/>
        <v>1198264389.4764028</v>
      </c>
    </row>
    <row r="36" spans="1:6" x14ac:dyDescent="0.25">
      <c r="A36">
        <v>33</v>
      </c>
      <c r="B36" s="2">
        <f t="shared" si="3"/>
        <v>1198264389.4764028</v>
      </c>
      <c r="C36" s="2">
        <f t="shared" si="8"/>
        <v>8986982.9210730195</v>
      </c>
      <c r="D36" s="11">
        <f t="shared" si="9"/>
        <v>38618518.466576613</v>
      </c>
      <c r="E36" s="2">
        <f t="shared" si="11"/>
        <v>47605501.387649633</v>
      </c>
      <c r="F36" s="2">
        <f t="shared" si="10"/>
        <v>1159645871.0098262</v>
      </c>
    </row>
    <row r="37" spans="1:6" x14ac:dyDescent="0.25">
      <c r="A37">
        <v>34</v>
      </c>
      <c r="B37" s="2">
        <f t="shared" si="3"/>
        <v>1159645871.0098262</v>
      </c>
      <c r="C37" s="2">
        <f t="shared" si="8"/>
        <v>8697344.0325736962</v>
      </c>
      <c r="D37" s="11">
        <f t="shared" si="9"/>
        <v>38908157.35507594</v>
      </c>
      <c r="E37" s="2">
        <f t="shared" si="11"/>
        <v>47605501.38764964</v>
      </c>
      <c r="F37" s="2">
        <f t="shared" si="10"/>
        <v>1120737713.6547503</v>
      </c>
    </row>
    <row r="38" spans="1:6" x14ac:dyDescent="0.25">
      <c r="A38">
        <v>35</v>
      </c>
      <c r="B38" s="2">
        <f t="shared" si="3"/>
        <v>1120737713.6547503</v>
      </c>
      <c r="C38" s="2">
        <f t="shared" si="8"/>
        <v>8405532.8524106275</v>
      </c>
      <c r="D38" s="11">
        <f t="shared" si="9"/>
        <v>39199968.535239004</v>
      </c>
      <c r="E38" s="2">
        <f t="shared" si="11"/>
        <v>47605501.387649633</v>
      </c>
      <c r="F38" s="2">
        <f t="shared" si="10"/>
        <v>1081537745.1195114</v>
      </c>
    </row>
    <row r="39" spans="1:6" x14ac:dyDescent="0.25">
      <c r="A39">
        <v>36</v>
      </c>
      <c r="B39" s="2">
        <f t="shared" si="3"/>
        <v>1081537745.1195114</v>
      </c>
      <c r="C39" s="2">
        <f t="shared" si="8"/>
        <v>8111533.088396335</v>
      </c>
      <c r="D39" s="11">
        <f t="shared" si="9"/>
        <v>39493968.299253292</v>
      </c>
      <c r="E39" s="2">
        <f t="shared" si="11"/>
        <v>47605501.387649626</v>
      </c>
      <c r="F39" s="2">
        <f t="shared" si="10"/>
        <v>1042043776.820258</v>
      </c>
    </row>
    <row r="40" spans="1:6" x14ac:dyDescent="0.25">
      <c r="B40" s="2"/>
      <c r="C40" s="682">
        <f t="shared" ref="C40:D40" si="12">SUM(C28:C39)</f>
        <v>116268862.44497998</v>
      </c>
      <c r="D40" s="682">
        <f t="shared" si="12"/>
        <v>454997154.2068156</v>
      </c>
      <c r="E40" s="682">
        <f t="shared" si="11"/>
        <v>571266016.65179563</v>
      </c>
      <c r="F40" s="2"/>
    </row>
    <row r="41" spans="1:6" x14ac:dyDescent="0.25">
      <c r="A41">
        <v>37</v>
      </c>
      <c r="B41" s="2">
        <f>F39</f>
        <v>1042043776.820258</v>
      </c>
      <c r="C41" s="2">
        <f t="shared" ref="C41:C52" si="13">B41*($I$1/12)</f>
        <v>7815328.3261519345</v>
      </c>
      <c r="D41" s="11">
        <f t="shared" ref="D41:D52" si="14">PPMT($I$1/12,A41,5*12,$B$2)*-1</f>
        <v>39790173.061497696</v>
      </c>
      <c r="E41" s="2">
        <f t="shared" si="11"/>
        <v>47605501.387649633</v>
      </c>
      <c r="F41" s="2">
        <f t="shared" ref="F41:F52" si="15">B41-D41</f>
        <v>1002253603.7587603</v>
      </c>
    </row>
    <row r="42" spans="1:6" x14ac:dyDescent="0.25">
      <c r="A42">
        <v>38</v>
      </c>
      <c r="B42" s="2">
        <f t="shared" si="3"/>
        <v>1002253603.7587603</v>
      </c>
      <c r="C42" s="2">
        <f t="shared" si="13"/>
        <v>7516902.0281907022</v>
      </c>
      <c r="D42" s="11">
        <f t="shared" si="14"/>
        <v>40088599.359458923</v>
      </c>
      <c r="E42" s="2">
        <f t="shared" si="11"/>
        <v>47605501.387649626</v>
      </c>
      <c r="F42" s="2">
        <f t="shared" si="15"/>
        <v>962165004.39930141</v>
      </c>
    </row>
    <row r="43" spans="1:6" x14ac:dyDescent="0.25">
      <c r="A43">
        <v>39</v>
      </c>
      <c r="B43" s="2">
        <f t="shared" si="3"/>
        <v>962165004.39930141</v>
      </c>
      <c r="C43" s="2">
        <f t="shared" si="13"/>
        <v>7216237.5329947602</v>
      </c>
      <c r="D43" s="11">
        <f t="shared" si="14"/>
        <v>40389263.854654871</v>
      </c>
      <c r="E43" s="2">
        <f t="shared" si="11"/>
        <v>47605501.387649633</v>
      </c>
      <c r="F43" s="2">
        <f t="shared" si="15"/>
        <v>921775740.5446465</v>
      </c>
    </row>
    <row r="44" spans="1:6" x14ac:dyDescent="0.25">
      <c r="A44">
        <v>40</v>
      </c>
      <c r="B44" s="2">
        <f t="shared" si="3"/>
        <v>921775740.5446465</v>
      </c>
      <c r="C44" s="2">
        <f t="shared" si="13"/>
        <v>6913318.0540848486</v>
      </c>
      <c r="D44" s="11">
        <f t="shared" si="14"/>
        <v>40692183.333564781</v>
      </c>
      <c r="E44" s="2">
        <f t="shared" si="11"/>
        <v>47605501.387649626</v>
      </c>
      <c r="F44" s="2">
        <f t="shared" si="15"/>
        <v>881083557.21108174</v>
      </c>
    </row>
    <row r="45" spans="1:6" x14ac:dyDescent="0.25">
      <c r="A45">
        <v>41</v>
      </c>
      <c r="B45" s="2">
        <f t="shared" si="3"/>
        <v>881083557.21108174</v>
      </c>
      <c r="C45" s="2">
        <f t="shared" si="13"/>
        <v>6608126.6790831126</v>
      </c>
      <c r="D45" s="11">
        <f t="shared" si="14"/>
        <v>40997374.708566517</v>
      </c>
      <c r="E45" s="2">
        <f t="shared" si="11"/>
        <v>47605501.387649626</v>
      </c>
      <c r="F45" s="2">
        <f t="shared" si="15"/>
        <v>840086182.5025152</v>
      </c>
    </row>
    <row r="46" spans="1:6" x14ac:dyDescent="0.25">
      <c r="A46">
        <v>42</v>
      </c>
      <c r="B46" s="2">
        <f t="shared" si="3"/>
        <v>840086182.5025152</v>
      </c>
      <c r="C46" s="2">
        <f t="shared" si="13"/>
        <v>6300646.3687688634</v>
      </c>
      <c r="D46" s="11">
        <f t="shared" si="14"/>
        <v>41304855.01888077</v>
      </c>
      <c r="E46" s="2">
        <f t="shared" si="11"/>
        <v>47605501.387649633</v>
      </c>
      <c r="F46" s="2">
        <f t="shared" si="15"/>
        <v>798781327.48363447</v>
      </c>
    </row>
    <row r="47" spans="1:6" x14ac:dyDescent="0.25">
      <c r="A47">
        <v>43</v>
      </c>
      <c r="B47" s="2">
        <f t="shared" si="3"/>
        <v>798781327.48363447</v>
      </c>
      <c r="C47" s="2">
        <f t="shared" si="13"/>
        <v>5990859.956127258</v>
      </c>
      <c r="D47" s="11">
        <f t="shared" si="14"/>
        <v>41614641.431522377</v>
      </c>
      <c r="E47" s="2">
        <f t="shared" si="11"/>
        <v>47605501.387649633</v>
      </c>
      <c r="F47" s="2">
        <f t="shared" si="15"/>
        <v>757166686.0521121</v>
      </c>
    </row>
    <row r="48" spans="1:6" x14ac:dyDescent="0.25">
      <c r="A48">
        <v>44</v>
      </c>
      <c r="B48" s="2">
        <f t="shared" si="3"/>
        <v>757166686.0521121</v>
      </c>
      <c r="C48" s="2">
        <f t="shared" si="13"/>
        <v>5678750.1453908402</v>
      </c>
      <c r="D48" s="11">
        <f t="shared" si="14"/>
        <v>41926751.242258795</v>
      </c>
      <c r="E48" s="2">
        <f t="shared" si="11"/>
        <v>47605501.387649633</v>
      </c>
      <c r="F48" s="2">
        <f t="shared" si="15"/>
        <v>715239934.80985332</v>
      </c>
    </row>
    <row r="49" spans="1:6" x14ac:dyDescent="0.25">
      <c r="A49">
        <v>45</v>
      </c>
      <c r="B49" s="2">
        <f t="shared" si="3"/>
        <v>715239934.80985332</v>
      </c>
      <c r="C49" s="2">
        <f t="shared" si="13"/>
        <v>5364299.5110738995</v>
      </c>
      <c r="D49" s="11">
        <f t="shared" si="14"/>
        <v>42241201.876575731</v>
      </c>
      <c r="E49" s="2">
        <f t="shared" si="11"/>
        <v>47605501.387649633</v>
      </c>
      <c r="F49" s="2">
        <f t="shared" si="15"/>
        <v>672998732.93327761</v>
      </c>
    </row>
    <row r="50" spans="1:6" x14ac:dyDescent="0.25">
      <c r="A50">
        <v>46</v>
      </c>
      <c r="B50" s="2">
        <f t="shared" si="3"/>
        <v>672998732.93327761</v>
      </c>
      <c r="C50" s="2">
        <f t="shared" si="13"/>
        <v>5047490.4969995823</v>
      </c>
      <c r="D50" s="11">
        <f t="shared" si="14"/>
        <v>42558010.890650049</v>
      </c>
      <c r="E50" s="2">
        <f t="shared" si="11"/>
        <v>47605501.387649633</v>
      </c>
      <c r="F50" s="2">
        <f t="shared" si="15"/>
        <v>630440722.04262757</v>
      </c>
    </row>
    <row r="51" spans="1:6" x14ac:dyDescent="0.25">
      <c r="A51">
        <v>47</v>
      </c>
      <c r="B51" s="2">
        <f t="shared" si="3"/>
        <v>630440722.04262757</v>
      </c>
      <c r="C51" s="2">
        <f t="shared" si="13"/>
        <v>4728305.4153197063</v>
      </c>
      <c r="D51" s="11">
        <f t="shared" si="14"/>
        <v>42877195.972329922</v>
      </c>
      <c r="E51" s="2">
        <f t="shared" si="11"/>
        <v>47605501.387649626</v>
      </c>
      <c r="F51" s="2">
        <f t="shared" si="15"/>
        <v>587563526.0702976</v>
      </c>
    </row>
    <row r="52" spans="1:6" x14ac:dyDescent="0.25">
      <c r="A52">
        <v>48</v>
      </c>
      <c r="B52" s="2">
        <f t="shared" si="3"/>
        <v>587563526.0702976</v>
      </c>
      <c r="C52" s="2">
        <f t="shared" si="13"/>
        <v>4406726.4455272323</v>
      </c>
      <c r="D52" s="11">
        <f t="shared" si="14"/>
        <v>43198774.9421224</v>
      </c>
      <c r="E52" s="2">
        <f t="shared" si="11"/>
        <v>47605501.387649633</v>
      </c>
      <c r="F52" s="2">
        <f t="shared" si="15"/>
        <v>544364751.12817526</v>
      </c>
    </row>
    <row r="53" spans="1:6" x14ac:dyDescent="0.25">
      <c r="B53" s="2"/>
      <c r="C53" s="682">
        <f t="shared" ref="C53:D53" si="16">SUM(C41:C52)</f>
        <v>73586990.959712729</v>
      </c>
      <c r="D53" s="682">
        <f t="shared" si="16"/>
        <v>497679025.69208276</v>
      </c>
      <c r="E53" s="682">
        <f t="shared" si="11"/>
        <v>571266016.65179551</v>
      </c>
      <c r="F53" s="2"/>
    </row>
    <row r="54" spans="1:6" x14ac:dyDescent="0.25">
      <c r="A54">
        <v>49</v>
      </c>
      <c r="B54" s="2">
        <f>F52</f>
        <v>544364751.12817526</v>
      </c>
      <c r="C54" s="2">
        <f t="shared" ref="C54:C65" si="17">B54*($I$1/12)</f>
        <v>4082735.6334613143</v>
      </c>
      <c r="D54" s="11">
        <f t="shared" ref="D54:D65" si="18">PPMT($I$1/12,A54,5*12,$B$2)*-1</f>
        <v>43522765.754188322</v>
      </c>
      <c r="E54" s="2">
        <f t="shared" si="11"/>
        <v>47605501.387649633</v>
      </c>
      <c r="F54" s="2">
        <f t="shared" ref="F54:F65" si="19">B54-D54</f>
        <v>500841985.37398696</v>
      </c>
    </row>
    <row r="55" spans="1:6" x14ac:dyDescent="0.25">
      <c r="A55">
        <v>50</v>
      </c>
      <c r="B55" s="2">
        <f t="shared" si="3"/>
        <v>500841985.37398696</v>
      </c>
      <c r="C55" s="2">
        <f t="shared" si="17"/>
        <v>3756314.8903049021</v>
      </c>
      <c r="D55" s="11">
        <f t="shared" si="18"/>
        <v>43849186.497344732</v>
      </c>
      <c r="E55" s="2">
        <f t="shared" si="11"/>
        <v>47605501.387649633</v>
      </c>
      <c r="F55" s="2">
        <f t="shared" si="19"/>
        <v>456992798.87664223</v>
      </c>
    </row>
    <row r="56" spans="1:6" x14ac:dyDescent="0.25">
      <c r="A56">
        <v>51</v>
      </c>
      <c r="B56" s="2">
        <f t="shared" si="3"/>
        <v>456992798.87664223</v>
      </c>
      <c r="C56" s="2">
        <f t="shared" si="17"/>
        <v>3427445.9915748164</v>
      </c>
      <c r="D56" s="11">
        <f t="shared" si="18"/>
        <v>44178055.396074824</v>
      </c>
      <c r="E56" s="2">
        <f t="shared" si="11"/>
        <v>47605501.38764964</v>
      </c>
      <c r="F56" s="2">
        <f t="shared" si="19"/>
        <v>412814743.4805674</v>
      </c>
    </row>
    <row r="57" spans="1:6" x14ac:dyDescent="0.25">
      <c r="A57">
        <v>52</v>
      </c>
      <c r="B57" s="2">
        <f t="shared" si="3"/>
        <v>412814743.4805674</v>
      </c>
      <c r="C57" s="2">
        <f t="shared" si="17"/>
        <v>3096110.5761042554</v>
      </c>
      <c r="D57" s="11">
        <f t="shared" si="18"/>
        <v>44509390.811545379</v>
      </c>
      <c r="E57" s="2">
        <f t="shared" si="11"/>
        <v>47605501.387649633</v>
      </c>
      <c r="F57" s="2">
        <f t="shared" si="19"/>
        <v>368305352.66902202</v>
      </c>
    </row>
    <row r="58" spans="1:6" x14ac:dyDescent="0.25">
      <c r="A58">
        <v>53</v>
      </c>
      <c r="B58" s="2">
        <f t="shared" si="3"/>
        <v>368305352.66902202</v>
      </c>
      <c r="C58" s="2">
        <f t="shared" si="17"/>
        <v>2762290.1450176649</v>
      </c>
      <c r="D58" s="11">
        <f t="shared" si="18"/>
        <v>44843211.242631964</v>
      </c>
      <c r="E58" s="2">
        <f t="shared" si="11"/>
        <v>47605501.387649626</v>
      </c>
      <c r="F58" s="2">
        <f t="shared" si="19"/>
        <v>323462141.42639005</v>
      </c>
    </row>
    <row r="59" spans="1:6" x14ac:dyDescent="0.25">
      <c r="A59">
        <v>54</v>
      </c>
      <c r="B59" s="2">
        <f t="shared" si="3"/>
        <v>323462141.42639005</v>
      </c>
      <c r="C59" s="2">
        <f t="shared" si="17"/>
        <v>2425966.0606979253</v>
      </c>
      <c r="D59" s="11">
        <f t="shared" si="18"/>
        <v>45179535.326951705</v>
      </c>
      <c r="E59" s="2">
        <f t="shared" si="11"/>
        <v>47605501.387649633</v>
      </c>
      <c r="F59" s="2">
        <f t="shared" si="19"/>
        <v>278282606.09943837</v>
      </c>
    </row>
    <row r="60" spans="1:6" x14ac:dyDescent="0.25">
      <c r="A60">
        <v>55</v>
      </c>
      <c r="B60" s="2">
        <f t="shared" si="3"/>
        <v>278282606.09943837</v>
      </c>
      <c r="C60" s="2">
        <f t="shared" si="17"/>
        <v>2087119.5457457877</v>
      </c>
      <c r="D60" s="11">
        <f t="shared" si="18"/>
        <v>45518381.84190385</v>
      </c>
      <c r="E60" s="2">
        <f t="shared" si="11"/>
        <v>47605501.38764964</v>
      </c>
      <c r="F60" s="2">
        <f t="shared" si="19"/>
        <v>232764224.2575345</v>
      </c>
    </row>
    <row r="61" spans="1:6" x14ac:dyDescent="0.25">
      <c r="A61">
        <v>56</v>
      </c>
      <c r="B61" s="2">
        <f t="shared" si="3"/>
        <v>232764224.2575345</v>
      </c>
      <c r="C61" s="2">
        <f t="shared" si="17"/>
        <v>1745731.6819315087</v>
      </c>
      <c r="D61" s="11">
        <f t="shared" si="18"/>
        <v>45859769.70571813</v>
      </c>
      <c r="E61" s="2">
        <f t="shared" si="11"/>
        <v>47605501.38764964</v>
      </c>
      <c r="F61" s="2">
        <f t="shared" si="19"/>
        <v>186904454.55181637</v>
      </c>
    </row>
    <row r="62" spans="1:6" x14ac:dyDescent="0.25">
      <c r="A62">
        <v>57</v>
      </c>
      <c r="B62" s="2">
        <f t="shared" si="3"/>
        <v>186904454.55181637</v>
      </c>
      <c r="C62" s="2">
        <f t="shared" si="17"/>
        <v>1401783.4091386227</v>
      </c>
      <c r="D62" s="11">
        <f t="shared" si="18"/>
        <v>46203717.978511013</v>
      </c>
      <c r="E62" s="2">
        <f t="shared" si="11"/>
        <v>47605501.387649633</v>
      </c>
      <c r="F62" s="2">
        <f t="shared" si="19"/>
        <v>140700736.57330537</v>
      </c>
    </row>
    <row r="63" spans="1:6" x14ac:dyDescent="0.25">
      <c r="A63">
        <v>58</v>
      </c>
      <c r="B63" s="2">
        <f t="shared" si="3"/>
        <v>140700736.57330537</v>
      </c>
      <c r="C63" s="2">
        <f t="shared" si="17"/>
        <v>1055255.5242997902</v>
      </c>
      <c r="D63" s="11">
        <f t="shared" si="18"/>
        <v>46550245.86334984</v>
      </c>
      <c r="E63" s="2">
        <f t="shared" si="11"/>
        <v>47605501.387649633</v>
      </c>
      <c r="F63" s="2">
        <f t="shared" si="19"/>
        <v>94150490.709955528</v>
      </c>
    </row>
    <row r="64" spans="1:6" x14ac:dyDescent="0.25">
      <c r="A64">
        <v>59</v>
      </c>
      <c r="B64" s="2">
        <f t="shared" si="3"/>
        <v>94150490.709955528</v>
      </c>
      <c r="C64" s="2">
        <f t="shared" si="17"/>
        <v>706128.68032466643</v>
      </c>
      <c r="D64" s="11">
        <f t="shared" si="18"/>
        <v>46899372.707324967</v>
      </c>
      <c r="E64" s="2">
        <f t="shared" si="11"/>
        <v>47605501.387649633</v>
      </c>
      <c r="F64" s="2">
        <f t="shared" si="19"/>
        <v>47251118.002630562</v>
      </c>
    </row>
    <row r="65" spans="1:12" x14ac:dyDescent="0.25">
      <c r="A65">
        <v>60</v>
      </c>
      <c r="B65" s="2">
        <f t="shared" si="3"/>
        <v>47251118.002630562</v>
      </c>
      <c r="C65" s="2">
        <f t="shared" si="17"/>
        <v>354383.3850197292</v>
      </c>
      <c r="D65" s="11">
        <f t="shared" si="18"/>
        <v>47251118.002629913</v>
      </c>
      <c r="E65" s="2">
        <f t="shared" si="11"/>
        <v>47605501.38764964</v>
      </c>
      <c r="F65" s="2">
        <f t="shared" si="19"/>
        <v>6.4820051193237305E-7</v>
      </c>
    </row>
    <row r="66" spans="1:12" x14ac:dyDescent="0.25">
      <c r="C66" s="684">
        <f t="shared" ref="C66:D66" si="20">SUM(C54:C65)</f>
        <v>26901265.523620982</v>
      </c>
      <c r="D66" s="684">
        <f t="shared" si="20"/>
        <v>544364751.12817466</v>
      </c>
      <c r="E66" s="684">
        <f>SUM(E54:E65)</f>
        <v>571266016.65179574</v>
      </c>
    </row>
    <row r="71" spans="1:12" x14ac:dyDescent="0.25">
      <c r="I71" s="11"/>
    </row>
    <row r="72" spans="1:12" x14ac:dyDescent="0.25">
      <c r="I72" s="11"/>
      <c r="K72" s="683"/>
      <c r="L72" s="11"/>
    </row>
    <row r="74" spans="1:12" x14ac:dyDescent="0.25">
      <c r="L74" s="683"/>
    </row>
    <row r="75" spans="1:12" x14ac:dyDescent="0.25">
      <c r="K75" s="683">
        <f>K72+L72</f>
        <v>0</v>
      </c>
    </row>
  </sheetData>
  <pageMargins left="0.70866141732283472" right="0.70866141732283472" top="0.74803149606299213" bottom="0.74803149606299213" header="0.31496062992125984" footer="0.31496062992125984"/>
  <pageSetup scale="5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6EDA-9481-4B06-A64F-23F63648F220}">
  <dimension ref="A1:R75"/>
  <sheetViews>
    <sheetView zoomScale="90" zoomScaleNormal="90" workbookViewId="0">
      <selection activeCell="I2" sqref="I2"/>
    </sheetView>
  </sheetViews>
  <sheetFormatPr defaultRowHeight="15.75" x14ac:dyDescent="0.25"/>
  <cols>
    <col min="1" max="1" width="6.25" bestFit="1" customWidth="1"/>
    <col min="2" max="2" width="17.125" bestFit="1" customWidth="1"/>
    <col min="3" max="3" width="22.75" bestFit="1" customWidth="1"/>
    <col min="4" max="5" width="15.5" customWidth="1"/>
    <col min="6" max="6" width="17.125" bestFit="1" customWidth="1"/>
    <col min="8" max="8" width="14.625" bestFit="1" customWidth="1"/>
    <col min="9" max="9" width="16.125" customWidth="1"/>
    <col min="11" max="12" width="13.5" bestFit="1" customWidth="1"/>
    <col min="15" max="15" width="12.125" customWidth="1"/>
    <col min="16" max="16" width="14" bestFit="1" customWidth="1"/>
    <col min="18" max="18" width="18.375" bestFit="1" customWidth="1"/>
  </cols>
  <sheetData>
    <row r="1" spans="1:16" x14ac:dyDescent="0.25">
      <c r="A1" s="9" t="s">
        <v>579</v>
      </c>
      <c r="B1" s="9" t="s">
        <v>1227</v>
      </c>
      <c r="C1" s="9" t="s">
        <v>1206</v>
      </c>
      <c r="D1" s="9" t="s">
        <v>1228</v>
      </c>
      <c r="E1" s="9" t="s">
        <v>1231</v>
      </c>
      <c r="F1" s="9" t="s">
        <v>237</v>
      </c>
      <c r="G1" s="9" t="s">
        <v>1229</v>
      </c>
      <c r="H1" s="678" t="s">
        <v>1230</v>
      </c>
      <c r="I1" s="679">
        <v>0.09</v>
      </c>
      <c r="K1">
        <v>12</v>
      </c>
    </row>
    <row r="2" spans="1:16" x14ac:dyDescent="0.25">
      <c r="A2">
        <v>1</v>
      </c>
      <c r="B2" s="2">
        <f>I2</f>
        <v>2293317600</v>
      </c>
      <c r="C2" s="2">
        <f>$B$2*($I$1/12)</f>
        <v>17199882</v>
      </c>
      <c r="D2" s="11">
        <f>$I$2/60</f>
        <v>38221960</v>
      </c>
      <c r="E2" s="2">
        <f t="shared" ref="E2:E65" si="0">C2+D2</f>
        <v>55421842</v>
      </c>
      <c r="F2" s="2">
        <f t="shared" ref="F2:F13" si="1">B2-D2</f>
        <v>2255095640</v>
      </c>
      <c r="H2" s="680" t="s">
        <v>1227</v>
      </c>
      <c r="I2" s="681">
        <f>LoanInterest!D9</f>
        <v>2293317600</v>
      </c>
    </row>
    <row r="3" spans="1:16" x14ac:dyDescent="0.25">
      <c r="A3">
        <v>2</v>
      </c>
      <c r="B3" s="2">
        <f>F2</f>
        <v>2255095640</v>
      </c>
      <c r="C3" s="2">
        <f>$B$2*($I$1/12)</f>
        <v>17199882</v>
      </c>
      <c r="D3" s="11">
        <f t="shared" ref="D3:D65" si="2">$I$2/60</f>
        <v>38221960</v>
      </c>
      <c r="E3" s="2">
        <f t="shared" si="0"/>
        <v>55421842</v>
      </c>
      <c r="F3" s="2">
        <f t="shared" si="1"/>
        <v>2216873680</v>
      </c>
      <c r="O3" s="11"/>
      <c r="P3" s="11"/>
    </row>
    <row r="4" spans="1:16" x14ac:dyDescent="0.25">
      <c r="A4">
        <v>3</v>
      </c>
      <c r="B4" s="2">
        <f t="shared" ref="B4:B65" si="3">F3</f>
        <v>2216873680</v>
      </c>
      <c r="C4" s="2">
        <f t="shared" ref="C4:C65" si="4">$B$2*($I$1/12)</f>
        <v>17199882</v>
      </c>
      <c r="D4" s="11">
        <f t="shared" si="2"/>
        <v>38221960</v>
      </c>
      <c r="E4" s="2">
        <f t="shared" si="0"/>
        <v>55421842</v>
      </c>
      <c r="F4" s="2">
        <f t="shared" si="1"/>
        <v>2178651720</v>
      </c>
      <c r="O4" s="11"/>
      <c r="P4" s="11"/>
    </row>
    <row r="5" spans="1:16" x14ac:dyDescent="0.25">
      <c r="A5">
        <v>4</v>
      </c>
      <c r="B5" s="2">
        <f t="shared" si="3"/>
        <v>2178651720</v>
      </c>
      <c r="C5" s="2">
        <f t="shared" si="4"/>
        <v>17199882</v>
      </c>
      <c r="D5" s="11">
        <f t="shared" si="2"/>
        <v>38221960</v>
      </c>
      <c r="E5" s="2">
        <f t="shared" si="0"/>
        <v>55421842</v>
      </c>
      <c r="F5" s="2">
        <f t="shared" si="1"/>
        <v>2140429760</v>
      </c>
      <c r="O5" s="11"/>
    </row>
    <row r="6" spans="1:16" x14ac:dyDescent="0.25">
      <c r="A6">
        <v>5</v>
      </c>
      <c r="B6" s="2">
        <f t="shared" si="3"/>
        <v>2140429760</v>
      </c>
      <c r="C6" s="2">
        <f t="shared" si="4"/>
        <v>17199882</v>
      </c>
      <c r="D6" s="11">
        <f t="shared" si="2"/>
        <v>38221960</v>
      </c>
      <c r="E6" s="2">
        <f t="shared" si="0"/>
        <v>55421842</v>
      </c>
      <c r="F6" s="2">
        <f t="shared" si="1"/>
        <v>2102207800</v>
      </c>
      <c r="O6" s="11"/>
    </row>
    <row r="7" spans="1:16" x14ac:dyDescent="0.25">
      <c r="A7">
        <v>6</v>
      </c>
      <c r="B7" s="2">
        <f t="shared" si="3"/>
        <v>2102207800</v>
      </c>
      <c r="C7" s="2">
        <f t="shared" si="4"/>
        <v>17199882</v>
      </c>
      <c r="D7" s="11">
        <f t="shared" si="2"/>
        <v>38221960</v>
      </c>
      <c r="E7" s="2">
        <f t="shared" si="0"/>
        <v>55421842</v>
      </c>
      <c r="F7" s="2">
        <f t="shared" si="1"/>
        <v>2063985840</v>
      </c>
      <c r="O7" s="11"/>
    </row>
    <row r="8" spans="1:16" x14ac:dyDescent="0.25">
      <c r="A8">
        <v>7</v>
      </c>
      <c r="B8" s="2">
        <f t="shared" si="3"/>
        <v>2063985840</v>
      </c>
      <c r="C8" s="2">
        <f t="shared" si="4"/>
        <v>17199882</v>
      </c>
      <c r="D8" s="11">
        <f t="shared" si="2"/>
        <v>38221960</v>
      </c>
      <c r="E8" s="2">
        <f t="shared" si="0"/>
        <v>55421842</v>
      </c>
      <c r="F8" s="2">
        <f t="shared" si="1"/>
        <v>2025763880</v>
      </c>
      <c r="O8" s="11"/>
    </row>
    <row r="9" spans="1:16" x14ac:dyDescent="0.25">
      <c r="A9">
        <v>8</v>
      </c>
      <c r="B9" s="2">
        <f t="shared" si="3"/>
        <v>2025763880</v>
      </c>
      <c r="C9" s="2">
        <f t="shared" si="4"/>
        <v>17199882</v>
      </c>
      <c r="D9" s="11">
        <f t="shared" si="2"/>
        <v>38221960</v>
      </c>
      <c r="E9" s="2">
        <f t="shared" si="0"/>
        <v>55421842</v>
      </c>
      <c r="F9" s="2">
        <f t="shared" si="1"/>
        <v>1987541920</v>
      </c>
      <c r="O9" s="11"/>
    </row>
    <row r="10" spans="1:16" x14ac:dyDescent="0.25">
      <c r="A10">
        <v>9</v>
      </c>
      <c r="B10" s="2">
        <f t="shared" si="3"/>
        <v>1987541920</v>
      </c>
      <c r="C10" s="2">
        <f t="shared" si="4"/>
        <v>17199882</v>
      </c>
      <c r="D10" s="11">
        <f t="shared" si="2"/>
        <v>38221960</v>
      </c>
      <c r="E10" s="2">
        <f t="shared" si="0"/>
        <v>55421842</v>
      </c>
      <c r="F10" s="2">
        <f t="shared" si="1"/>
        <v>1949319960</v>
      </c>
      <c r="O10" s="11"/>
    </row>
    <row r="11" spans="1:16" x14ac:dyDescent="0.25">
      <c r="A11">
        <v>10</v>
      </c>
      <c r="B11" s="2">
        <f t="shared" si="3"/>
        <v>1949319960</v>
      </c>
      <c r="C11" s="2">
        <f t="shared" si="4"/>
        <v>17199882</v>
      </c>
      <c r="D11" s="11">
        <f t="shared" si="2"/>
        <v>38221960</v>
      </c>
      <c r="E11" s="2">
        <f t="shared" si="0"/>
        <v>55421842</v>
      </c>
      <c r="F11" s="2">
        <f t="shared" si="1"/>
        <v>1911098000</v>
      </c>
      <c r="O11" s="11"/>
    </row>
    <row r="12" spans="1:16" x14ac:dyDescent="0.25">
      <c r="A12">
        <v>11</v>
      </c>
      <c r="B12" s="2">
        <f t="shared" si="3"/>
        <v>1911098000</v>
      </c>
      <c r="C12" s="2">
        <f t="shared" si="4"/>
        <v>17199882</v>
      </c>
      <c r="D12" s="11">
        <f t="shared" si="2"/>
        <v>38221960</v>
      </c>
      <c r="E12" s="2">
        <f t="shared" si="0"/>
        <v>55421842</v>
      </c>
      <c r="F12" s="2">
        <f t="shared" si="1"/>
        <v>1872876040</v>
      </c>
      <c r="O12" s="11"/>
    </row>
    <row r="13" spans="1:16" x14ac:dyDescent="0.25">
      <c r="A13">
        <v>12</v>
      </c>
      <c r="B13" s="2">
        <f t="shared" si="3"/>
        <v>1872876040</v>
      </c>
      <c r="C13" s="2">
        <f t="shared" si="4"/>
        <v>17199882</v>
      </c>
      <c r="D13" s="11">
        <f t="shared" si="2"/>
        <v>38221960</v>
      </c>
      <c r="E13" s="2">
        <f t="shared" si="0"/>
        <v>55421842</v>
      </c>
      <c r="F13" s="2">
        <f t="shared" si="1"/>
        <v>1834654080</v>
      </c>
      <c r="O13" s="11"/>
    </row>
    <row r="14" spans="1:16" x14ac:dyDescent="0.25">
      <c r="B14" s="2"/>
      <c r="C14" s="684">
        <f>SUM(C2:C13)</f>
        <v>206398584</v>
      </c>
      <c r="D14" s="684">
        <f>SUM(D2:D13)</f>
        <v>458663520</v>
      </c>
      <c r="E14" s="684">
        <f>SUM(E2:E13)</f>
        <v>665062104</v>
      </c>
      <c r="F14" s="2"/>
      <c r="O14" s="11"/>
    </row>
    <row r="15" spans="1:16" x14ac:dyDescent="0.25">
      <c r="A15">
        <v>13</v>
      </c>
      <c r="B15" s="2">
        <f>F13</f>
        <v>1834654080</v>
      </c>
      <c r="C15" s="2">
        <f t="shared" si="4"/>
        <v>17199882</v>
      </c>
      <c r="D15" s="11">
        <f t="shared" si="2"/>
        <v>38221960</v>
      </c>
      <c r="E15" s="2">
        <f t="shared" si="0"/>
        <v>55421842</v>
      </c>
      <c r="F15" s="2">
        <f t="shared" ref="F15:F26" si="5">B15-D15</f>
        <v>1796432120</v>
      </c>
      <c r="O15" s="11"/>
    </row>
    <row r="16" spans="1:16" x14ac:dyDescent="0.25">
      <c r="A16">
        <v>14</v>
      </c>
      <c r="B16" s="2">
        <f t="shared" si="3"/>
        <v>1796432120</v>
      </c>
      <c r="C16" s="2">
        <f t="shared" si="4"/>
        <v>17199882</v>
      </c>
      <c r="D16" s="11">
        <f t="shared" si="2"/>
        <v>38221960</v>
      </c>
      <c r="E16" s="2">
        <f t="shared" si="0"/>
        <v>55421842</v>
      </c>
      <c r="F16" s="2">
        <f t="shared" si="5"/>
        <v>1758210160</v>
      </c>
    </row>
    <row r="17" spans="1:18" x14ac:dyDescent="0.25">
      <c r="A17">
        <v>15</v>
      </c>
      <c r="B17" s="2">
        <f t="shared" si="3"/>
        <v>1758210160</v>
      </c>
      <c r="C17" s="2">
        <f t="shared" si="4"/>
        <v>17199882</v>
      </c>
      <c r="D17" s="11">
        <f t="shared" si="2"/>
        <v>38221960</v>
      </c>
      <c r="E17" s="2">
        <f t="shared" si="0"/>
        <v>55421842</v>
      </c>
      <c r="F17" s="2">
        <f t="shared" si="5"/>
        <v>1719988200</v>
      </c>
    </row>
    <row r="18" spans="1:18" x14ac:dyDescent="0.25">
      <c r="A18">
        <v>16</v>
      </c>
      <c r="B18" s="2">
        <f t="shared" si="3"/>
        <v>1719988200</v>
      </c>
      <c r="C18" s="2">
        <f t="shared" si="4"/>
        <v>17199882</v>
      </c>
      <c r="D18" s="11">
        <f t="shared" si="2"/>
        <v>38221960</v>
      </c>
      <c r="E18" s="2">
        <f t="shared" si="0"/>
        <v>55421842</v>
      </c>
      <c r="F18" s="2">
        <f t="shared" si="5"/>
        <v>1681766240</v>
      </c>
    </row>
    <row r="19" spans="1:18" x14ac:dyDescent="0.25">
      <c r="A19">
        <v>17</v>
      </c>
      <c r="B19" s="2">
        <f t="shared" si="3"/>
        <v>1681766240</v>
      </c>
      <c r="C19" s="2">
        <f t="shared" si="4"/>
        <v>17199882</v>
      </c>
      <c r="D19" s="11">
        <f t="shared" si="2"/>
        <v>38221960</v>
      </c>
      <c r="E19" s="2">
        <f t="shared" si="0"/>
        <v>55421842</v>
      </c>
      <c r="F19" s="2">
        <f t="shared" si="5"/>
        <v>1643544280</v>
      </c>
      <c r="I19" s="11"/>
    </row>
    <row r="20" spans="1:18" x14ac:dyDescent="0.25">
      <c r="A20">
        <v>18</v>
      </c>
      <c r="B20" s="2">
        <f t="shared" si="3"/>
        <v>1643544280</v>
      </c>
      <c r="C20" s="2">
        <f t="shared" si="4"/>
        <v>17199882</v>
      </c>
      <c r="D20" s="11">
        <f t="shared" si="2"/>
        <v>38221960</v>
      </c>
      <c r="E20" s="2">
        <f t="shared" si="0"/>
        <v>55421842</v>
      </c>
      <c r="F20" s="2">
        <f t="shared" si="5"/>
        <v>1605322320</v>
      </c>
    </row>
    <row r="21" spans="1:18" x14ac:dyDescent="0.25">
      <c r="A21">
        <v>19</v>
      </c>
      <c r="B21" s="2">
        <f t="shared" si="3"/>
        <v>1605322320</v>
      </c>
      <c r="C21" s="2">
        <f t="shared" si="4"/>
        <v>17199882</v>
      </c>
      <c r="D21" s="11">
        <f t="shared" si="2"/>
        <v>38221960</v>
      </c>
      <c r="E21" s="2">
        <f t="shared" si="0"/>
        <v>55421842</v>
      </c>
      <c r="F21" s="2">
        <f t="shared" si="5"/>
        <v>1567100360</v>
      </c>
      <c r="P21" s="11">
        <f>R21*0.75%</f>
        <v>17250000</v>
      </c>
      <c r="R21" s="2">
        <v>2300000000</v>
      </c>
    </row>
    <row r="22" spans="1:18" x14ac:dyDescent="0.25">
      <c r="A22">
        <v>20</v>
      </c>
      <c r="B22" s="2">
        <f t="shared" si="3"/>
        <v>1567100360</v>
      </c>
      <c r="C22" s="2">
        <f t="shared" si="4"/>
        <v>17199882</v>
      </c>
      <c r="D22" s="11">
        <f t="shared" si="2"/>
        <v>38221960</v>
      </c>
      <c r="E22" s="2">
        <f t="shared" si="0"/>
        <v>55421842</v>
      </c>
      <c r="F22" s="2">
        <f t="shared" si="5"/>
        <v>1528878400</v>
      </c>
      <c r="P22" s="11">
        <f>R21/60</f>
        <v>38333333.333333336</v>
      </c>
    </row>
    <row r="23" spans="1:18" x14ac:dyDescent="0.25">
      <c r="A23">
        <v>21</v>
      </c>
      <c r="B23" s="2">
        <f t="shared" si="3"/>
        <v>1528878400</v>
      </c>
      <c r="C23" s="2">
        <f t="shared" si="4"/>
        <v>17199882</v>
      </c>
      <c r="D23" s="11">
        <f t="shared" si="2"/>
        <v>38221960</v>
      </c>
      <c r="E23" s="2">
        <f t="shared" si="0"/>
        <v>55421842</v>
      </c>
      <c r="F23" s="2">
        <f t="shared" si="5"/>
        <v>1490656440</v>
      </c>
      <c r="P23" s="11">
        <f>SUM(P21:P22)</f>
        <v>55583333.333333336</v>
      </c>
    </row>
    <row r="24" spans="1:18" x14ac:dyDescent="0.25">
      <c r="A24">
        <v>22</v>
      </c>
      <c r="B24" s="2">
        <f t="shared" si="3"/>
        <v>1490656440</v>
      </c>
      <c r="C24" s="2">
        <f t="shared" si="4"/>
        <v>17199882</v>
      </c>
      <c r="D24" s="11">
        <f t="shared" si="2"/>
        <v>38221960</v>
      </c>
      <c r="E24" s="2">
        <f t="shared" si="0"/>
        <v>55421842</v>
      </c>
      <c r="F24" s="2">
        <f t="shared" si="5"/>
        <v>1452434480</v>
      </c>
    </row>
    <row r="25" spans="1:18" x14ac:dyDescent="0.25">
      <c r="A25">
        <v>23</v>
      </c>
      <c r="B25" s="2">
        <f t="shared" si="3"/>
        <v>1452434480</v>
      </c>
      <c r="C25" s="2">
        <f t="shared" si="4"/>
        <v>17199882</v>
      </c>
      <c r="D25" s="11">
        <f t="shared" si="2"/>
        <v>38221960</v>
      </c>
      <c r="E25" s="2">
        <f t="shared" si="0"/>
        <v>55421842</v>
      </c>
      <c r="F25" s="2">
        <f t="shared" si="5"/>
        <v>1414212520</v>
      </c>
    </row>
    <row r="26" spans="1:18" x14ac:dyDescent="0.25">
      <c r="A26">
        <v>24</v>
      </c>
      <c r="B26" s="2">
        <f t="shared" si="3"/>
        <v>1414212520</v>
      </c>
      <c r="C26" s="2">
        <f t="shared" si="4"/>
        <v>17199882</v>
      </c>
      <c r="D26" s="11">
        <f t="shared" si="2"/>
        <v>38221960</v>
      </c>
      <c r="E26" s="2">
        <f t="shared" si="0"/>
        <v>55421842</v>
      </c>
      <c r="F26" s="2">
        <f t="shared" si="5"/>
        <v>1375990560</v>
      </c>
    </row>
    <row r="27" spans="1:18" x14ac:dyDescent="0.25">
      <c r="B27" s="2"/>
      <c r="C27" s="682">
        <f>SUM(C15:C26)</f>
        <v>206398584</v>
      </c>
      <c r="D27" s="682">
        <f t="shared" ref="D27:E27" si="6">SUM(D15:D26)</f>
        <v>458663520</v>
      </c>
      <c r="E27" s="682">
        <f t="shared" si="6"/>
        <v>665062104</v>
      </c>
      <c r="F27" s="2"/>
    </row>
    <row r="28" spans="1:18" x14ac:dyDescent="0.25">
      <c r="A28">
        <v>25</v>
      </c>
      <c r="B28" s="2">
        <f>F26</f>
        <v>1375990560</v>
      </c>
      <c r="C28" s="2">
        <f t="shared" si="4"/>
        <v>17199882</v>
      </c>
      <c r="D28" s="11">
        <f t="shared" si="2"/>
        <v>38221960</v>
      </c>
      <c r="E28" s="2">
        <f t="shared" si="0"/>
        <v>55421842</v>
      </c>
      <c r="F28" s="2">
        <f t="shared" ref="F28:F39" si="7">B28-D28</f>
        <v>1337768600</v>
      </c>
    </row>
    <row r="29" spans="1:18" x14ac:dyDescent="0.25">
      <c r="A29">
        <v>26</v>
      </c>
      <c r="B29" s="2">
        <f t="shared" si="3"/>
        <v>1337768600</v>
      </c>
      <c r="C29" s="2">
        <f t="shared" si="4"/>
        <v>17199882</v>
      </c>
      <c r="D29" s="11">
        <f t="shared" si="2"/>
        <v>38221960</v>
      </c>
      <c r="E29" s="2">
        <f t="shared" si="0"/>
        <v>55421842</v>
      </c>
      <c r="F29" s="2">
        <f t="shared" si="7"/>
        <v>1299546640</v>
      </c>
    </row>
    <row r="30" spans="1:18" x14ac:dyDescent="0.25">
      <c r="A30">
        <v>27</v>
      </c>
      <c r="B30" s="2">
        <f t="shared" si="3"/>
        <v>1299546640</v>
      </c>
      <c r="C30" s="2">
        <f t="shared" si="4"/>
        <v>17199882</v>
      </c>
      <c r="D30" s="11">
        <f t="shared" si="2"/>
        <v>38221960</v>
      </c>
      <c r="E30" s="2">
        <f t="shared" si="0"/>
        <v>55421842</v>
      </c>
      <c r="F30" s="2">
        <f t="shared" si="7"/>
        <v>1261324680</v>
      </c>
    </row>
    <row r="31" spans="1:18" x14ac:dyDescent="0.25">
      <c r="A31">
        <v>28</v>
      </c>
      <c r="B31" s="2">
        <f t="shared" si="3"/>
        <v>1261324680</v>
      </c>
      <c r="C31" s="2">
        <f t="shared" si="4"/>
        <v>17199882</v>
      </c>
      <c r="D31" s="11">
        <f t="shared" si="2"/>
        <v>38221960</v>
      </c>
      <c r="E31" s="2">
        <f t="shared" si="0"/>
        <v>55421842</v>
      </c>
      <c r="F31" s="2">
        <f t="shared" si="7"/>
        <v>1223102720</v>
      </c>
    </row>
    <row r="32" spans="1:18" x14ac:dyDescent="0.25">
      <c r="A32">
        <v>29</v>
      </c>
      <c r="B32" s="2">
        <f t="shared" si="3"/>
        <v>1223102720</v>
      </c>
      <c r="C32" s="2">
        <f t="shared" si="4"/>
        <v>17199882</v>
      </c>
      <c r="D32" s="11">
        <f t="shared" si="2"/>
        <v>38221960</v>
      </c>
      <c r="E32" s="2">
        <f t="shared" si="0"/>
        <v>55421842</v>
      </c>
      <c r="F32" s="2">
        <f t="shared" si="7"/>
        <v>1184880760</v>
      </c>
    </row>
    <row r="33" spans="1:6" x14ac:dyDescent="0.25">
      <c r="A33">
        <v>30</v>
      </c>
      <c r="B33" s="2">
        <f t="shared" si="3"/>
        <v>1184880760</v>
      </c>
      <c r="C33" s="2">
        <f t="shared" si="4"/>
        <v>17199882</v>
      </c>
      <c r="D33" s="11">
        <f t="shared" si="2"/>
        <v>38221960</v>
      </c>
      <c r="E33" s="2">
        <f t="shared" si="0"/>
        <v>55421842</v>
      </c>
      <c r="F33" s="2">
        <f t="shared" si="7"/>
        <v>1146658800</v>
      </c>
    </row>
    <row r="34" spans="1:6" x14ac:dyDescent="0.25">
      <c r="A34">
        <v>31</v>
      </c>
      <c r="B34" s="2">
        <f t="shared" si="3"/>
        <v>1146658800</v>
      </c>
      <c r="C34" s="2">
        <f t="shared" si="4"/>
        <v>17199882</v>
      </c>
      <c r="D34" s="11">
        <f t="shared" si="2"/>
        <v>38221960</v>
      </c>
      <c r="E34" s="2">
        <f t="shared" si="0"/>
        <v>55421842</v>
      </c>
      <c r="F34" s="2">
        <f t="shared" si="7"/>
        <v>1108436840</v>
      </c>
    </row>
    <row r="35" spans="1:6" x14ac:dyDescent="0.25">
      <c r="A35">
        <v>32</v>
      </c>
      <c r="B35" s="2">
        <f t="shared" si="3"/>
        <v>1108436840</v>
      </c>
      <c r="C35" s="2">
        <f t="shared" si="4"/>
        <v>17199882</v>
      </c>
      <c r="D35" s="11">
        <f t="shared" si="2"/>
        <v>38221960</v>
      </c>
      <c r="E35" s="2">
        <f t="shared" si="0"/>
        <v>55421842</v>
      </c>
      <c r="F35" s="2">
        <f t="shared" si="7"/>
        <v>1070214880</v>
      </c>
    </row>
    <row r="36" spans="1:6" x14ac:dyDescent="0.25">
      <c r="A36">
        <v>33</v>
      </c>
      <c r="B36" s="2">
        <f t="shared" si="3"/>
        <v>1070214880</v>
      </c>
      <c r="C36" s="2">
        <f t="shared" si="4"/>
        <v>17199882</v>
      </c>
      <c r="D36" s="11">
        <f t="shared" si="2"/>
        <v>38221960</v>
      </c>
      <c r="E36" s="2">
        <f t="shared" si="0"/>
        <v>55421842</v>
      </c>
      <c r="F36" s="2">
        <f t="shared" si="7"/>
        <v>1031992920</v>
      </c>
    </row>
    <row r="37" spans="1:6" x14ac:dyDescent="0.25">
      <c r="A37">
        <v>34</v>
      </c>
      <c r="B37" s="2">
        <f t="shared" si="3"/>
        <v>1031992920</v>
      </c>
      <c r="C37" s="2">
        <f t="shared" si="4"/>
        <v>17199882</v>
      </c>
      <c r="D37" s="11">
        <f t="shared" si="2"/>
        <v>38221960</v>
      </c>
      <c r="E37" s="2">
        <f t="shared" si="0"/>
        <v>55421842</v>
      </c>
      <c r="F37" s="2">
        <f t="shared" si="7"/>
        <v>993770960</v>
      </c>
    </row>
    <row r="38" spans="1:6" x14ac:dyDescent="0.25">
      <c r="A38">
        <v>35</v>
      </c>
      <c r="B38" s="2">
        <f t="shared" si="3"/>
        <v>993770960</v>
      </c>
      <c r="C38" s="2">
        <f t="shared" si="4"/>
        <v>17199882</v>
      </c>
      <c r="D38" s="11">
        <f t="shared" si="2"/>
        <v>38221960</v>
      </c>
      <c r="E38" s="2">
        <f t="shared" si="0"/>
        <v>55421842</v>
      </c>
      <c r="F38" s="2">
        <f t="shared" si="7"/>
        <v>955549000</v>
      </c>
    </row>
    <row r="39" spans="1:6" x14ac:dyDescent="0.25">
      <c r="A39">
        <v>36</v>
      </c>
      <c r="B39" s="2">
        <f t="shared" si="3"/>
        <v>955549000</v>
      </c>
      <c r="C39" s="2">
        <f t="shared" si="4"/>
        <v>17199882</v>
      </c>
      <c r="D39" s="11">
        <f t="shared" si="2"/>
        <v>38221960</v>
      </c>
      <c r="E39" s="2">
        <f t="shared" si="0"/>
        <v>55421842</v>
      </c>
      <c r="F39" s="2">
        <f t="shared" si="7"/>
        <v>917327040</v>
      </c>
    </row>
    <row r="40" spans="1:6" x14ac:dyDescent="0.25">
      <c r="B40" s="2"/>
      <c r="C40" s="682">
        <f>SUM(C28:C39)</f>
        <v>206398584</v>
      </c>
      <c r="D40" s="682">
        <f t="shared" ref="D40:E40" si="8">SUM(D28:D39)</f>
        <v>458663520</v>
      </c>
      <c r="E40" s="682">
        <f t="shared" si="8"/>
        <v>665062104</v>
      </c>
      <c r="F40" s="2"/>
    </row>
    <row r="41" spans="1:6" x14ac:dyDescent="0.25">
      <c r="A41">
        <v>37</v>
      </c>
      <c r="B41" s="2">
        <f>F39</f>
        <v>917327040</v>
      </c>
      <c r="C41" s="2">
        <f t="shared" si="4"/>
        <v>17199882</v>
      </c>
      <c r="D41" s="11">
        <f t="shared" si="2"/>
        <v>38221960</v>
      </c>
      <c r="E41" s="2">
        <f t="shared" si="0"/>
        <v>55421842</v>
      </c>
      <c r="F41" s="2">
        <f t="shared" ref="F41:F52" si="9">B41-D41</f>
        <v>879105080</v>
      </c>
    </row>
    <row r="42" spans="1:6" x14ac:dyDescent="0.25">
      <c r="A42">
        <v>38</v>
      </c>
      <c r="B42" s="2">
        <f t="shared" si="3"/>
        <v>879105080</v>
      </c>
      <c r="C42" s="2">
        <f t="shared" si="4"/>
        <v>17199882</v>
      </c>
      <c r="D42" s="11">
        <f t="shared" si="2"/>
        <v>38221960</v>
      </c>
      <c r="E42" s="2">
        <f t="shared" si="0"/>
        <v>55421842</v>
      </c>
      <c r="F42" s="2">
        <f t="shared" si="9"/>
        <v>840883120</v>
      </c>
    </row>
    <row r="43" spans="1:6" x14ac:dyDescent="0.25">
      <c r="A43">
        <v>39</v>
      </c>
      <c r="B43" s="2">
        <f t="shared" si="3"/>
        <v>840883120</v>
      </c>
      <c r="C43" s="2">
        <f t="shared" si="4"/>
        <v>17199882</v>
      </c>
      <c r="D43" s="11">
        <f t="shared" si="2"/>
        <v>38221960</v>
      </c>
      <c r="E43" s="2">
        <f t="shared" si="0"/>
        <v>55421842</v>
      </c>
      <c r="F43" s="2">
        <f t="shared" si="9"/>
        <v>802661160</v>
      </c>
    </row>
    <row r="44" spans="1:6" x14ac:dyDescent="0.25">
      <c r="A44">
        <v>40</v>
      </c>
      <c r="B44" s="2">
        <f t="shared" si="3"/>
        <v>802661160</v>
      </c>
      <c r="C44" s="2">
        <f t="shared" si="4"/>
        <v>17199882</v>
      </c>
      <c r="D44" s="11">
        <f t="shared" si="2"/>
        <v>38221960</v>
      </c>
      <c r="E44" s="2">
        <f t="shared" si="0"/>
        <v>55421842</v>
      </c>
      <c r="F44" s="2">
        <f t="shared" si="9"/>
        <v>764439200</v>
      </c>
    </row>
    <row r="45" spans="1:6" x14ac:dyDescent="0.25">
      <c r="A45">
        <v>41</v>
      </c>
      <c r="B45" s="2">
        <f t="shared" si="3"/>
        <v>764439200</v>
      </c>
      <c r="C45" s="2">
        <f t="shared" si="4"/>
        <v>17199882</v>
      </c>
      <c r="D45" s="11">
        <f t="shared" si="2"/>
        <v>38221960</v>
      </c>
      <c r="E45" s="2">
        <f t="shared" si="0"/>
        <v>55421842</v>
      </c>
      <c r="F45" s="2">
        <f t="shared" si="9"/>
        <v>726217240</v>
      </c>
    </row>
    <row r="46" spans="1:6" x14ac:dyDescent="0.25">
      <c r="A46">
        <v>42</v>
      </c>
      <c r="B46" s="2">
        <f t="shared" si="3"/>
        <v>726217240</v>
      </c>
      <c r="C46" s="2">
        <f t="shared" si="4"/>
        <v>17199882</v>
      </c>
      <c r="D46" s="11">
        <f t="shared" si="2"/>
        <v>38221960</v>
      </c>
      <c r="E46" s="2">
        <f t="shared" si="0"/>
        <v>55421842</v>
      </c>
      <c r="F46" s="2">
        <f t="shared" si="9"/>
        <v>687995280</v>
      </c>
    </row>
    <row r="47" spans="1:6" x14ac:dyDescent="0.25">
      <c r="A47">
        <v>43</v>
      </c>
      <c r="B47" s="2">
        <f t="shared" si="3"/>
        <v>687995280</v>
      </c>
      <c r="C47" s="2">
        <f t="shared" si="4"/>
        <v>17199882</v>
      </c>
      <c r="D47" s="11">
        <f t="shared" si="2"/>
        <v>38221960</v>
      </c>
      <c r="E47" s="2">
        <f t="shared" si="0"/>
        <v>55421842</v>
      </c>
      <c r="F47" s="2">
        <f t="shared" si="9"/>
        <v>649773320</v>
      </c>
    </row>
    <row r="48" spans="1:6" x14ac:dyDescent="0.25">
      <c r="A48">
        <v>44</v>
      </c>
      <c r="B48" s="2">
        <f t="shared" si="3"/>
        <v>649773320</v>
      </c>
      <c r="C48" s="2">
        <f t="shared" si="4"/>
        <v>17199882</v>
      </c>
      <c r="D48" s="11">
        <f t="shared" si="2"/>
        <v>38221960</v>
      </c>
      <c r="E48" s="2">
        <f t="shared" si="0"/>
        <v>55421842</v>
      </c>
      <c r="F48" s="2">
        <f t="shared" si="9"/>
        <v>611551360</v>
      </c>
    </row>
    <row r="49" spans="1:6" x14ac:dyDescent="0.25">
      <c r="A49">
        <v>45</v>
      </c>
      <c r="B49" s="2">
        <f t="shared" si="3"/>
        <v>611551360</v>
      </c>
      <c r="C49" s="2">
        <f t="shared" si="4"/>
        <v>17199882</v>
      </c>
      <c r="D49" s="11">
        <f t="shared" si="2"/>
        <v>38221960</v>
      </c>
      <c r="E49" s="2">
        <f t="shared" si="0"/>
        <v>55421842</v>
      </c>
      <c r="F49" s="2">
        <f t="shared" si="9"/>
        <v>573329400</v>
      </c>
    </row>
    <row r="50" spans="1:6" x14ac:dyDescent="0.25">
      <c r="A50">
        <v>46</v>
      </c>
      <c r="B50" s="2">
        <f t="shared" si="3"/>
        <v>573329400</v>
      </c>
      <c r="C50" s="2">
        <f t="shared" si="4"/>
        <v>17199882</v>
      </c>
      <c r="D50" s="11">
        <f t="shared" si="2"/>
        <v>38221960</v>
      </c>
      <c r="E50" s="2">
        <f t="shared" si="0"/>
        <v>55421842</v>
      </c>
      <c r="F50" s="2">
        <f t="shared" si="9"/>
        <v>535107440</v>
      </c>
    </row>
    <row r="51" spans="1:6" x14ac:dyDescent="0.25">
      <c r="A51">
        <v>47</v>
      </c>
      <c r="B51" s="2">
        <f t="shared" si="3"/>
        <v>535107440</v>
      </c>
      <c r="C51" s="2">
        <f t="shared" si="4"/>
        <v>17199882</v>
      </c>
      <c r="D51" s="11">
        <f t="shared" si="2"/>
        <v>38221960</v>
      </c>
      <c r="E51" s="2">
        <f t="shared" si="0"/>
        <v>55421842</v>
      </c>
      <c r="F51" s="2">
        <f t="shared" si="9"/>
        <v>496885480</v>
      </c>
    </row>
    <row r="52" spans="1:6" x14ac:dyDescent="0.25">
      <c r="A52">
        <v>48</v>
      </c>
      <c r="B52" s="2">
        <f t="shared" si="3"/>
        <v>496885480</v>
      </c>
      <c r="C52" s="2">
        <f t="shared" si="4"/>
        <v>17199882</v>
      </c>
      <c r="D52" s="11">
        <f t="shared" si="2"/>
        <v>38221960</v>
      </c>
      <c r="E52" s="2">
        <f t="shared" si="0"/>
        <v>55421842</v>
      </c>
      <c r="F52" s="2">
        <f t="shared" si="9"/>
        <v>458663520</v>
      </c>
    </row>
    <row r="53" spans="1:6" x14ac:dyDescent="0.25">
      <c r="B53" s="2"/>
      <c r="C53" s="682">
        <f>SUM(C41:C52)</f>
        <v>206398584</v>
      </c>
      <c r="D53" s="682">
        <f t="shared" ref="D53:E53" si="10">SUM(D41:D52)</f>
        <v>458663520</v>
      </c>
      <c r="E53" s="682">
        <f t="shared" si="10"/>
        <v>665062104</v>
      </c>
      <c r="F53" s="2"/>
    </row>
    <row r="54" spans="1:6" x14ac:dyDescent="0.25">
      <c r="A54">
        <v>49</v>
      </c>
      <c r="B54" s="2">
        <f>F52</f>
        <v>458663520</v>
      </c>
      <c r="C54" s="2">
        <f t="shared" si="4"/>
        <v>17199882</v>
      </c>
      <c r="D54" s="11">
        <f t="shared" si="2"/>
        <v>38221960</v>
      </c>
      <c r="E54" s="2">
        <f t="shared" si="0"/>
        <v>55421842</v>
      </c>
      <c r="F54" s="2">
        <f t="shared" ref="F54:F65" si="11">B54-D54</f>
        <v>420441560</v>
      </c>
    </row>
    <row r="55" spans="1:6" x14ac:dyDescent="0.25">
      <c r="A55">
        <v>50</v>
      </c>
      <c r="B55" s="2">
        <f t="shared" si="3"/>
        <v>420441560</v>
      </c>
      <c r="C55" s="2">
        <f t="shared" si="4"/>
        <v>17199882</v>
      </c>
      <c r="D55" s="11">
        <f t="shared" si="2"/>
        <v>38221960</v>
      </c>
      <c r="E55" s="2">
        <f t="shared" si="0"/>
        <v>55421842</v>
      </c>
      <c r="F55" s="2">
        <f t="shared" si="11"/>
        <v>382219600</v>
      </c>
    </row>
    <row r="56" spans="1:6" x14ac:dyDescent="0.25">
      <c r="A56">
        <v>51</v>
      </c>
      <c r="B56" s="2">
        <f t="shared" si="3"/>
        <v>382219600</v>
      </c>
      <c r="C56" s="2">
        <f t="shared" si="4"/>
        <v>17199882</v>
      </c>
      <c r="D56" s="11">
        <f t="shared" si="2"/>
        <v>38221960</v>
      </c>
      <c r="E56" s="2">
        <f t="shared" si="0"/>
        <v>55421842</v>
      </c>
      <c r="F56" s="2">
        <f t="shared" si="11"/>
        <v>343997640</v>
      </c>
    </row>
    <row r="57" spans="1:6" x14ac:dyDescent="0.25">
      <c r="A57">
        <v>52</v>
      </c>
      <c r="B57" s="2">
        <f t="shared" si="3"/>
        <v>343997640</v>
      </c>
      <c r="C57" s="2">
        <f t="shared" si="4"/>
        <v>17199882</v>
      </c>
      <c r="D57" s="11">
        <f t="shared" si="2"/>
        <v>38221960</v>
      </c>
      <c r="E57" s="2">
        <f t="shared" si="0"/>
        <v>55421842</v>
      </c>
      <c r="F57" s="2">
        <f t="shared" si="11"/>
        <v>305775680</v>
      </c>
    </row>
    <row r="58" spans="1:6" x14ac:dyDescent="0.25">
      <c r="A58">
        <v>53</v>
      </c>
      <c r="B58" s="2">
        <f t="shared" si="3"/>
        <v>305775680</v>
      </c>
      <c r="C58" s="2">
        <f t="shared" si="4"/>
        <v>17199882</v>
      </c>
      <c r="D58" s="11">
        <f t="shared" si="2"/>
        <v>38221960</v>
      </c>
      <c r="E58" s="2">
        <f t="shared" si="0"/>
        <v>55421842</v>
      </c>
      <c r="F58" s="2">
        <f t="shared" si="11"/>
        <v>267553720</v>
      </c>
    </row>
    <row r="59" spans="1:6" x14ac:dyDescent="0.25">
      <c r="A59">
        <v>54</v>
      </c>
      <c r="B59" s="2">
        <f t="shared" si="3"/>
        <v>267553720</v>
      </c>
      <c r="C59" s="2">
        <f t="shared" si="4"/>
        <v>17199882</v>
      </c>
      <c r="D59" s="11">
        <f t="shared" si="2"/>
        <v>38221960</v>
      </c>
      <c r="E59" s="2">
        <f t="shared" si="0"/>
        <v>55421842</v>
      </c>
      <c r="F59" s="2">
        <f t="shared" si="11"/>
        <v>229331760</v>
      </c>
    </row>
    <row r="60" spans="1:6" x14ac:dyDescent="0.25">
      <c r="A60">
        <v>55</v>
      </c>
      <c r="B60" s="2">
        <f t="shared" si="3"/>
        <v>229331760</v>
      </c>
      <c r="C60" s="2">
        <f t="shared" si="4"/>
        <v>17199882</v>
      </c>
      <c r="D60" s="11">
        <f t="shared" si="2"/>
        <v>38221960</v>
      </c>
      <c r="E60" s="2">
        <f t="shared" si="0"/>
        <v>55421842</v>
      </c>
      <c r="F60" s="2">
        <f t="shared" si="11"/>
        <v>191109800</v>
      </c>
    </row>
    <row r="61" spans="1:6" x14ac:dyDescent="0.25">
      <c r="A61">
        <v>56</v>
      </c>
      <c r="B61" s="2">
        <f t="shared" si="3"/>
        <v>191109800</v>
      </c>
      <c r="C61" s="2">
        <f t="shared" si="4"/>
        <v>17199882</v>
      </c>
      <c r="D61" s="11">
        <f t="shared" si="2"/>
        <v>38221960</v>
      </c>
      <c r="E61" s="2">
        <f t="shared" si="0"/>
        <v>55421842</v>
      </c>
      <c r="F61" s="2">
        <f t="shared" si="11"/>
        <v>152887840</v>
      </c>
    </row>
    <row r="62" spans="1:6" x14ac:dyDescent="0.25">
      <c r="A62">
        <v>57</v>
      </c>
      <c r="B62" s="2">
        <f t="shared" si="3"/>
        <v>152887840</v>
      </c>
      <c r="C62" s="2">
        <f t="shared" si="4"/>
        <v>17199882</v>
      </c>
      <c r="D62" s="11">
        <f t="shared" si="2"/>
        <v>38221960</v>
      </c>
      <c r="E62" s="2">
        <f t="shared" si="0"/>
        <v>55421842</v>
      </c>
      <c r="F62" s="2">
        <f t="shared" si="11"/>
        <v>114665880</v>
      </c>
    </row>
    <row r="63" spans="1:6" x14ac:dyDescent="0.25">
      <c r="A63">
        <v>58</v>
      </c>
      <c r="B63" s="2">
        <f t="shared" si="3"/>
        <v>114665880</v>
      </c>
      <c r="C63" s="2">
        <f t="shared" si="4"/>
        <v>17199882</v>
      </c>
      <c r="D63" s="11">
        <f t="shared" si="2"/>
        <v>38221960</v>
      </c>
      <c r="E63" s="2">
        <f t="shared" si="0"/>
        <v>55421842</v>
      </c>
      <c r="F63" s="2">
        <f t="shared" si="11"/>
        <v>76443920</v>
      </c>
    </row>
    <row r="64" spans="1:6" x14ac:dyDescent="0.25">
      <c r="A64">
        <v>59</v>
      </c>
      <c r="B64" s="2">
        <f t="shared" si="3"/>
        <v>76443920</v>
      </c>
      <c r="C64" s="2">
        <f t="shared" si="4"/>
        <v>17199882</v>
      </c>
      <c r="D64" s="11">
        <f t="shared" si="2"/>
        <v>38221960</v>
      </c>
      <c r="E64" s="2">
        <f t="shared" si="0"/>
        <v>55421842</v>
      </c>
      <c r="F64" s="2">
        <f t="shared" si="11"/>
        <v>38221960</v>
      </c>
    </row>
    <row r="65" spans="1:12" x14ac:dyDescent="0.25">
      <c r="A65">
        <v>60</v>
      </c>
      <c r="B65" s="2">
        <f t="shared" si="3"/>
        <v>38221960</v>
      </c>
      <c r="C65" s="2">
        <f t="shared" si="4"/>
        <v>17199882</v>
      </c>
      <c r="D65" s="11">
        <f t="shared" si="2"/>
        <v>38221960</v>
      </c>
      <c r="E65" s="2">
        <f t="shared" si="0"/>
        <v>55421842</v>
      </c>
      <c r="F65" s="2">
        <f t="shared" si="11"/>
        <v>0</v>
      </c>
    </row>
    <row r="66" spans="1:12" x14ac:dyDescent="0.25">
      <c r="C66" s="684">
        <f>SUM(C54:C65)</f>
        <v>206398584</v>
      </c>
      <c r="D66" s="684">
        <f t="shared" ref="D66:E66" si="12">SUM(D54:D65)</f>
        <v>458663520</v>
      </c>
      <c r="E66" s="684">
        <f t="shared" si="12"/>
        <v>665062104</v>
      </c>
    </row>
    <row r="71" spans="1:12" x14ac:dyDescent="0.25">
      <c r="I71" s="11"/>
    </row>
    <row r="72" spans="1:12" x14ac:dyDescent="0.25">
      <c r="I72" s="11"/>
      <c r="K72" s="683"/>
      <c r="L72" s="11"/>
    </row>
    <row r="74" spans="1:12" x14ac:dyDescent="0.25">
      <c r="L74" s="683"/>
    </row>
    <row r="75" spans="1:12" x14ac:dyDescent="0.25">
      <c r="K75" s="683">
        <f>K72+L72</f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showGridLines="0" zoomScaleNormal="100" workbookViewId="0">
      <pane ySplit="7" topLeftCell="A8" activePane="bottomLeft" state="frozen"/>
      <selection pane="bottomLeft" activeCell="B8" sqref="B8"/>
    </sheetView>
  </sheetViews>
  <sheetFormatPr defaultColWidth="9" defaultRowHeight="11.25" x14ac:dyDescent="0.25"/>
  <cols>
    <col min="1" max="1" width="22.25" style="266" customWidth="1"/>
    <col min="2" max="2" width="10.5" style="266" bestFit="1" customWidth="1"/>
    <col min="3" max="3" width="8.5" style="266" bestFit="1" customWidth="1"/>
    <col min="4" max="4" width="9" style="266"/>
    <col min="5" max="5" width="8.25" style="266" customWidth="1"/>
    <col min="6" max="6" width="11.25" style="266" bestFit="1" customWidth="1"/>
    <col min="7" max="7" width="9" style="266"/>
    <col min="8" max="8" width="25.5" style="266" bestFit="1" customWidth="1"/>
    <col min="9" max="9" width="11.25" style="266" bestFit="1" customWidth="1"/>
    <col min="10" max="10" width="9" style="266"/>
    <col min="11" max="11" width="2.25" style="266" customWidth="1"/>
    <col min="12" max="13" width="5.25" style="266" customWidth="1"/>
    <col min="14" max="14" width="9.75" style="266" bestFit="1" customWidth="1"/>
    <col min="15" max="16384" width="9" style="266"/>
  </cols>
  <sheetData>
    <row r="1" spans="1:14" x14ac:dyDescent="0.2">
      <c r="A1" s="269" t="str">
        <f>Assumption!A1</f>
        <v>Bisnis Truk Thermoking</v>
      </c>
    </row>
    <row r="2" spans="1:14" x14ac:dyDescent="0.2">
      <c r="A2" s="269" t="str">
        <f>Assumption!A2</f>
        <v>Financial Pre-Feasibility Study</v>
      </c>
    </row>
    <row r="3" spans="1:14" x14ac:dyDescent="0.25">
      <c r="A3" s="271" t="s">
        <v>603</v>
      </c>
    </row>
    <row r="5" spans="1:14" x14ac:dyDescent="0.25">
      <c r="F5" s="165" t="s">
        <v>586</v>
      </c>
    </row>
    <row r="6" spans="1:14" ht="10.5" customHeight="1" x14ac:dyDescent="0.25">
      <c r="A6" s="258" t="s">
        <v>68</v>
      </c>
      <c r="B6" s="259"/>
      <c r="C6" s="259"/>
      <c r="E6" s="748" t="s">
        <v>719</v>
      </c>
      <c r="F6" s="265" t="s">
        <v>602</v>
      </c>
    </row>
    <row r="7" spans="1:14" ht="18.75" customHeight="1" x14ac:dyDescent="0.25">
      <c r="A7" s="259"/>
      <c r="B7" s="259"/>
      <c r="C7" s="259"/>
      <c r="E7" s="748"/>
      <c r="F7" s="329"/>
    </row>
    <row r="8" spans="1:14" ht="10.5" customHeight="1" x14ac:dyDescent="0.25">
      <c r="A8" s="263" t="s">
        <v>555</v>
      </c>
      <c r="B8" s="305">
        <f>Assumption!E27</f>
        <v>3276168000</v>
      </c>
      <c r="C8" s="266" t="s">
        <v>383</v>
      </c>
      <c r="D8" s="330"/>
      <c r="E8" s="277">
        <v>1</v>
      </c>
      <c r="F8" s="305">
        <f>B10</f>
        <v>327616800</v>
      </c>
    </row>
    <row r="9" spans="1:14" x14ac:dyDescent="0.25">
      <c r="A9" s="263" t="s">
        <v>605</v>
      </c>
      <c r="B9" s="331">
        <f>Assumption!E37</f>
        <v>10</v>
      </c>
      <c r="C9" s="266" t="s">
        <v>52</v>
      </c>
      <c r="D9" s="330"/>
      <c r="E9" s="277">
        <f>E8+1</f>
        <v>2</v>
      </c>
      <c r="F9" s="305">
        <f>F8</f>
        <v>327616800</v>
      </c>
      <c r="N9" s="332"/>
    </row>
    <row r="10" spans="1:14" x14ac:dyDescent="0.25">
      <c r="A10" s="263" t="s">
        <v>604</v>
      </c>
      <c r="B10" s="333">
        <f>B8/B9</f>
        <v>327616800</v>
      </c>
      <c r="C10" s="266" t="s">
        <v>386</v>
      </c>
      <c r="D10" s="334"/>
      <c r="E10" s="277">
        <f>E9+1</f>
        <v>3</v>
      </c>
      <c r="F10" s="305">
        <f t="shared" ref="F10:F17" si="0">F9</f>
        <v>327616800</v>
      </c>
    </row>
    <row r="11" spans="1:14" x14ac:dyDescent="0.25">
      <c r="D11" s="334"/>
      <c r="E11" s="277">
        <f t="shared" ref="E11:E17" si="1">E10+1</f>
        <v>4</v>
      </c>
      <c r="F11" s="305">
        <f t="shared" si="0"/>
        <v>327616800</v>
      </c>
    </row>
    <row r="12" spans="1:14" x14ac:dyDescent="0.25">
      <c r="D12" s="334"/>
      <c r="E12" s="277">
        <f t="shared" si="1"/>
        <v>5</v>
      </c>
      <c r="F12" s="305">
        <f t="shared" si="0"/>
        <v>327616800</v>
      </c>
    </row>
    <row r="13" spans="1:14" x14ac:dyDescent="0.25">
      <c r="D13" s="334"/>
      <c r="E13" s="277">
        <f t="shared" si="1"/>
        <v>6</v>
      </c>
      <c r="F13" s="305">
        <f t="shared" si="0"/>
        <v>327616800</v>
      </c>
    </row>
    <row r="14" spans="1:14" x14ac:dyDescent="0.25">
      <c r="E14" s="277">
        <f t="shared" si="1"/>
        <v>7</v>
      </c>
      <c r="F14" s="305">
        <f t="shared" si="0"/>
        <v>327616800</v>
      </c>
    </row>
    <row r="15" spans="1:14" x14ac:dyDescent="0.25">
      <c r="E15" s="277">
        <f t="shared" si="1"/>
        <v>8</v>
      </c>
      <c r="F15" s="305">
        <f t="shared" si="0"/>
        <v>327616800</v>
      </c>
    </row>
    <row r="16" spans="1:14" x14ac:dyDescent="0.25">
      <c r="A16" s="263"/>
      <c r="B16" s="332"/>
      <c r="E16" s="277">
        <f t="shared" si="1"/>
        <v>9</v>
      </c>
      <c r="F16" s="305">
        <f t="shared" si="0"/>
        <v>327616800</v>
      </c>
    </row>
    <row r="17" spans="1:6" x14ac:dyDescent="0.25">
      <c r="A17" s="263"/>
      <c r="B17" s="332"/>
      <c r="E17" s="277">
        <f t="shared" si="1"/>
        <v>10</v>
      </c>
      <c r="F17" s="305">
        <f t="shared" si="0"/>
        <v>327616800</v>
      </c>
    </row>
    <row r="18" spans="1:6" x14ac:dyDescent="0.25">
      <c r="A18" s="263"/>
      <c r="B18" s="332"/>
    </row>
    <row r="19" spans="1:6" x14ac:dyDescent="0.25">
      <c r="A19" s="263"/>
      <c r="B19" s="332"/>
      <c r="F19" s="307"/>
    </row>
    <row r="20" spans="1:6" x14ac:dyDescent="0.25">
      <c r="F20" s="307"/>
    </row>
    <row r="29" spans="1:6" x14ac:dyDescent="0.25">
      <c r="E29" s="277"/>
    </row>
    <row r="30" spans="1:6" x14ac:dyDescent="0.25">
      <c r="E30" s="277"/>
    </row>
  </sheetData>
  <mergeCells count="1">
    <mergeCell ref="E6:E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2"/>
  <sheetViews>
    <sheetView topLeftCell="E1" workbookViewId="0">
      <selection activeCell="V32" sqref="V32"/>
    </sheetView>
  </sheetViews>
  <sheetFormatPr defaultColWidth="8.25" defaultRowHeight="10.5" x14ac:dyDescent="0.25"/>
  <cols>
    <col min="1" max="1" width="3.25" style="94" customWidth="1"/>
    <col min="2" max="2" width="17.5" style="94" customWidth="1"/>
    <col min="3" max="3" width="16.125" style="94" bestFit="1" customWidth="1"/>
    <col min="4" max="4" width="10.75" style="109" customWidth="1"/>
    <col min="5" max="5" width="7.25" style="94" customWidth="1"/>
    <col min="6" max="6" width="6.625" style="94" customWidth="1"/>
    <col min="7" max="7" width="8.125" style="94" customWidth="1"/>
    <col min="8" max="9" width="8.25" style="94" customWidth="1"/>
    <col min="10" max="10" width="10.75" style="94" customWidth="1"/>
    <col min="11" max="11" width="7.125" style="94" customWidth="1"/>
    <col min="12" max="12" width="10.75" style="94" customWidth="1"/>
    <col min="13" max="14" width="8.125" style="94" customWidth="1"/>
    <col min="15" max="15" width="8.25" style="94" bestFit="1" customWidth="1"/>
    <col min="16" max="16" width="8.25" style="94" customWidth="1"/>
    <col min="17" max="17" width="8.75" style="94" customWidth="1"/>
    <col min="18" max="18" width="7.625" style="94" customWidth="1"/>
    <col min="19" max="19" width="8.75" style="94" customWidth="1"/>
    <col min="20" max="20" width="5.625" style="94" customWidth="1"/>
    <col min="21" max="21" width="8.5" style="111" bestFit="1" customWidth="1"/>
    <col min="22" max="22" width="10.25" style="94" customWidth="1"/>
    <col min="23" max="16384" width="8.25" style="94"/>
  </cols>
  <sheetData>
    <row r="1" spans="1:22" x14ac:dyDescent="0.25">
      <c r="A1" s="88" t="str">
        <f>'[2]SG&amp;A Truck Thermoking'!A1</f>
        <v>Bisnis Truk Thermoking</v>
      </c>
    </row>
    <row r="2" spans="1:22" x14ac:dyDescent="0.25">
      <c r="A2" s="88" t="str">
        <f>'[2]SG&amp;A Truck Thermoking'!A2</f>
        <v>Financial Pre-Feasibility Study</v>
      </c>
    </row>
    <row r="3" spans="1:22" x14ac:dyDescent="0.25">
      <c r="A3" s="110" t="s">
        <v>509</v>
      </c>
    </row>
    <row r="6" spans="1:22" ht="21" x14ac:dyDescent="0.25">
      <c r="A6" s="95" t="s">
        <v>58</v>
      </c>
      <c r="B6" s="95" t="s">
        <v>416</v>
      </c>
      <c r="C6" s="95" t="s">
        <v>417</v>
      </c>
      <c r="D6" s="95" t="s">
        <v>456</v>
      </c>
      <c r="E6" s="95" t="s">
        <v>418</v>
      </c>
      <c r="F6" s="95" t="s">
        <v>419</v>
      </c>
      <c r="G6" s="95" t="s">
        <v>420</v>
      </c>
      <c r="H6" s="95" t="s">
        <v>421</v>
      </c>
      <c r="I6" s="95" t="s">
        <v>422</v>
      </c>
      <c r="J6" s="95" t="s">
        <v>423</v>
      </c>
      <c r="K6" s="95" t="s">
        <v>424</v>
      </c>
      <c r="L6" s="95" t="s">
        <v>425</v>
      </c>
      <c r="M6" s="95" t="s">
        <v>384</v>
      </c>
      <c r="N6" s="95" t="s">
        <v>426</v>
      </c>
      <c r="O6" s="95" t="s">
        <v>427</v>
      </c>
      <c r="P6" s="95" t="s">
        <v>428</v>
      </c>
      <c r="Q6" s="95" t="s">
        <v>429</v>
      </c>
      <c r="R6" s="95" t="s">
        <v>430</v>
      </c>
      <c r="S6" s="95" t="s">
        <v>431</v>
      </c>
      <c r="U6" s="113" t="s">
        <v>470</v>
      </c>
      <c r="V6" s="113" t="s">
        <v>471</v>
      </c>
    </row>
    <row r="7" spans="1:22" x14ac:dyDescent="0.15">
      <c r="A7" s="114"/>
      <c r="B7" s="114"/>
      <c r="C7" s="114"/>
      <c r="D7" s="115"/>
      <c r="E7" s="114"/>
      <c r="F7" s="114"/>
      <c r="G7" s="114"/>
      <c r="H7" s="114"/>
      <c r="I7" s="116"/>
      <c r="J7" s="114"/>
      <c r="K7" s="114"/>
      <c r="L7" s="114"/>
      <c r="M7" s="117">
        <v>0.03</v>
      </c>
      <c r="N7" s="117">
        <v>9.1999999999999998E-3</v>
      </c>
      <c r="O7" s="117"/>
      <c r="P7" s="118">
        <v>0.15</v>
      </c>
      <c r="Q7" s="118"/>
      <c r="R7" s="119">
        <v>0.01</v>
      </c>
      <c r="S7" s="119"/>
      <c r="U7" s="120"/>
      <c r="V7" s="120"/>
    </row>
    <row r="8" spans="1:22" x14ac:dyDescent="0.15">
      <c r="A8" s="96">
        <v>1</v>
      </c>
      <c r="B8" s="97" t="s">
        <v>432</v>
      </c>
      <c r="C8" s="98" t="s">
        <v>433</v>
      </c>
      <c r="D8" s="108">
        <v>258</v>
      </c>
      <c r="E8" s="99">
        <f t="shared" ref="E8:E30" si="0">G8/50</f>
        <v>400</v>
      </c>
      <c r="F8" s="99">
        <v>20</v>
      </c>
      <c r="G8" s="99">
        <f t="shared" ref="G8:G30" si="1">F8*1000</f>
        <v>20000</v>
      </c>
      <c r="H8" s="100">
        <v>3800000</v>
      </c>
      <c r="I8" s="100">
        <f t="shared" ref="I8:I30" si="2">F8*40000</f>
        <v>800000</v>
      </c>
      <c r="J8" s="101">
        <f t="shared" ref="J8:J30" si="3">E8*100</f>
        <v>40000</v>
      </c>
      <c r="K8" s="101"/>
      <c r="L8" s="101">
        <f t="shared" ref="L8:L30" si="4">SUM(H8:K8)</f>
        <v>4640000</v>
      </c>
      <c r="M8" s="101">
        <f t="shared" ref="M8:M30" si="5">L8*$M$7</f>
        <v>139200</v>
      </c>
      <c r="N8" s="101">
        <f t="shared" ref="N8:N30" si="6">L8*$N$7</f>
        <v>42688</v>
      </c>
      <c r="O8" s="101">
        <f t="shared" ref="O8:O30" si="7">SUM(L8:N8)</f>
        <v>4821888</v>
      </c>
      <c r="P8" s="102">
        <f t="shared" ref="P8:P30" si="8">+O8*$P$7</f>
        <v>723283.2</v>
      </c>
      <c r="Q8" s="102">
        <f t="shared" ref="Q8:Q30" si="9">SUM(O8:P8)</f>
        <v>5545171.2000000002</v>
      </c>
      <c r="R8" s="102">
        <f t="shared" ref="R8:R30" si="10">+Q8*$R$7</f>
        <v>55451.712</v>
      </c>
      <c r="S8" s="102">
        <f t="shared" ref="S8:S30" si="11">SUM(Q8:R8)</f>
        <v>5600622.9120000005</v>
      </c>
      <c r="T8" s="103"/>
      <c r="U8" s="111">
        <f t="shared" ref="U8:U30" si="12">S8/G8</f>
        <v>280.0311456</v>
      </c>
      <c r="V8" s="126">
        <f>U8/D8</f>
        <v>1.0853920372093024</v>
      </c>
    </row>
    <row r="9" spans="1:22" x14ac:dyDescent="0.15">
      <c r="A9" s="104">
        <v>2</v>
      </c>
      <c r="B9" s="97" t="s">
        <v>432</v>
      </c>
      <c r="C9" s="98" t="s">
        <v>434</v>
      </c>
      <c r="D9" s="108">
        <v>175</v>
      </c>
      <c r="E9" s="99">
        <f t="shared" si="0"/>
        <v>400</v>
      </c>
      <c r="F9" s="99">
        <v>20</v>
      </c>
      <c r="G9" s="99">
        <f t="shared" si="1"/>
        <v>20000</v>
      </c>
      <c r="H9" s="100">
        <v>2500000</v>
      </c>
      <c r="I9" s="100">
        <f t="shared" si="2"/>
        <v>800000</v>
      </c>
      <c r="J9" s="101">
        <f t="shared" si="3"/>
        <v>40000</v>
      </c>
      <c r="K9" s="101"/>
      <c r="L9" s="101">
        <f t="shared" si="4"/>
        <v>3340000</v>
      </c>
      <c r="M9" s="101">
        <f t="shared" si="5"/>
        <v>100200</v>
      </c>
      <c r="N9" s="101">
        <f t="shared" si="6"/>
        <v>30728</v>
      </c>
      <c r="O9" s="101">
        <f t="shared" si="7"/>
        <v>3470928</v>
      </c>
      <c r="P9" s="102">
        <f t="shared" si="8"/>
        <v>520639.19999999995</v>
      </c>
      <c r="Q9" s="102">
        <f t="shared" si="9"/>
        <v>3991567.2</v>
      </c>
      <c r="R9" s="102">
        <f t="shared" si="10"/>
        <v>39915.672000000006</v>
      </c>
      <c r="S9" s="102">
        <f t="shared" si="11"/>
        <v>4031482.872</v>
      </c>
      <c r="T9" s="103"/>
      <c r="U9" s="112">
        <f t="shared" si="12"/>
        <v>201.57414359999999</v>
      </c>
      <c r="V9" s="126">
        <f t="shared" ref="V9:V30" si="13">U9/D9</f>
        <v>1.1518522491428571</v>
      </c>
    </row>
    <row r="10" spans="1:22" x14ac:dyDescent="0.15">
      <c r="A10" s="96">
        <v>3</v>
      </c>
      <c r="B10" s="106" t="s">
        <v>432</v>
      </c>
      <c r="C10" s="98" t="s">
        <v>435</v>
      </c>
      <c r="D10" s="108">
        <v>113</v>
      </c>
      <c r="E10" s="99">
        <f t="shared" si="0"/>
        <v>400</v>
      </c>
      <c r="F10" s="99">
        <v>20</v>
      </c>
      <c r="G10" s="99">
        <f t="shared" si="1"/>
        <v>20000</v>
      </c>
      <c r="H10" s="100">
        <v>2400000</v>
      </c>
      <c r="I10" s="100">
        <f t="shared" si="2"/>
        <v>800000</v>
      </c>
      <c r="J10" s="101">
        <f t="shared" si="3"/>
        <v>40000</v>
      </c>
      <c r="K10" s="101"/>
      <c r="L10" s="101">
        <f t="shared" si="4"/>
        <v>3240000</v>
      </c>
      <c r="M10" s="101">
        <f t="shared" si="5"/>
        <v>97200</v>
      </c>
      <c r="N10" s="101">
        <f t="shared" si="6"/>
        <v>29808</v>
      </c>
      <c r="O10" s="101">
        <f t="shared" si="7"/>
        <v>3367008</v>
      </c>
      <c r="P10" s="102">
        <f t="shared" si="8"/>
        <v>505051.19999999995</v>
      </c>
      <c r="Q10" s="102">
        <f t="shared" si="9"/>
        <v>3872059.2</v>
      </c>
      <c r="R10" s="102">
        <f t="shared" si="10"/>
        <v>38720.592000000004</v>
      </c>
      <c r="S10" s="102">
        <f t="shared" si="11"/>
        <v>3910779.7920000004</v>
      </c>
      <c r="T10" s="103"/>
      <c r="U10" s="112">
        <f t="shared" si="12"/>
        <v>195.53898960000001</v>
      </c>
      <c r="V10" s="126">
        <f t="shared" si="13"/>
        <v>1.730433536283186</v>
      </c>
    </row>
    <row r="11" spans="1:22" x14ac:dyDescent="0.15">
      <c r="A11" s="104">
        <v>4</v>
      </c>
      <c r="B11" s="106" t="s">
        <v>432</v>
      </c>
      <c r="C11" s="98" t="s">
        <v>436</v>
      </c>
      <c r="D11" s="108">
        <v>41</v>
      </c>
      <c r="E11" s="99">
        <f t="shared" si="0"/>
        <v>400</v>
      </c>
      <c r="F11" s="99">
        <v>20</v>
      </c>
      <c r="G11" s="99">
        <f t="shared" si="1"/>
        <v>20000</v>
      </c>
      <c r="H11" s="100">
        <v>2200000</v>
      </c>
      <c r="I11" s="100">
        <f t="shared" si="2"/>
        <v>800000</v>
      </c>
      <c r="J11" s="101">
        <f t="shared" si="3"/>
        <v>40000</v>
      </c>
      <c r="K11" s="101"/>
      <c r="L11" s="101">
        <f t="shared" si="4"/>
        <v>3040000</v>
      </c>
      <c r="M11" s="101">
        <f t="shared" si="5"/>
        <v>91200</v>
      </c>
      <c r="N11" s="101">
        <f t="shared" si="6"/>
        <v>27968</v>
      </c>
      <c r="O11" s="101">
        <f t="shared" si="7"/>
        <v>3159168</v>
      </c>
      <c r="P11" s="102">
        <f t="shared" si="8"/>
        <v>473875.19999999995</v>
      </c>
      <c r="Q11" s="102">
        <f t="shared" si="9"/>
        <v>3633043.2</v>
      </c>
      <c r="R11" s="102">
        <f t="shared" si="10"/>
        <v>36330.432000000001</v>
      </c>
      <c r="S11" s="102">
        <f t="shared" si="11"/>
        <v>3669373.6320000002</v>
      </c>
      <c r="T11" s="103"/>
      <c r="U11" s="112">
        <f t="shared" si="12"/>
        <v>183.46868160000002</v>
      </c>
      <c r="V11" s="126">
        <f t="shared" si="13"/>
        <v>4.4748458926829278</v>
      </c>
    </row>
    <row r="12" spans="1:22" x14ac:dyDescent="0.15">
      <c r="A12" s="96">
        <v>5</v>
      </c>
      <c r="B12" s="106" t="s">
        <v>432</v>
      </c>
      <c r="C12" s="98" t="s">
        <v>437</v>
      </c>
      <c r="D12" s="108">
        <v>18.7</v>
      </c>
      <c r="E12" s="99">
        <f t="shared" si="0"/>
        <v>400</v>
      </c>
      <c r="F12" s="99">
        <v>20</v>
      </c>
      <c r="G12" s="99">
        <f t="shared" si="1"/>
        <v>20000</v>
      </c>
      <c r="H12" s="100">
        <v>2000000</v>
      </c>
      <c r="I12" s="100">
        <f t="shared" si="2"/>
        <v>800000</v>
      </c>
      <c r="J12" s="101">
        <f t="shared" si="3"/>
        <v>40000</v>
      </c>
      <c r="K12" s="101"/>
      <c r="L12" s="101">
        <f t="shared" si="4"/>
        <v>2840000</v>
      </c>
      <c r="M12" s="101">
        <f t="shared" si="5"/>
        <v>85200</v>
      </c>
      <c r="N12" s="101">
        <f t="shared" si="6"/>
        <v>26128</v>
      </c>
      <c r="O12" s="101">
        <f t="shared" si="7"/>
        <v>2951328</v>
      </c>
      <c r="P12" s="102">
        <f t="shared" si="8"/>
        <v>442699.2</v>
      </c>
      <c r="Q12" s="102">
        <f t="shared" si="9"/>
        <v>3394027.2</v>
      </c>
      <c r="R12" s="102">
        <f t="shared" si="10"/>
        <v>33940.272000000004</v>
      </c>
      <c r="S12" s="102">
        <f t="shared" si="11"/>
        <v>3427967.4720000001</v>
      </c>
      <c r="T12" s="103"/>
      <c r="U12" s="112">
        <f t="shared" si="12"/>
        <v>171.39837360000001</v>
      </c>
      <c r="V12" s="126">
        <f t="shared" si="13"/>
        <v>9.1656884278074884</v>
      </c>
    </row>
    <row r="13" spans="1:22" x14ac:dyDescent="0.15">
      <c r="A13" s="104">
        <v>6</v>
      </c>
      <c r="B13" s="106" t="s">
        <v>432</v>
      </c>
      <c r="C13" s="98" t="s">
        <v>438</v>
      </c>
      <c r="D13" s="108">
        <v>51.4</v>
      </c>
      <c r="E13" s="99">
        <f t="shared" si="0"/>
        <v>400</v>
      </c>
      <c r="F13" s="99">
        <v>20</v>
      </c>
      <c r="G13" s="99">
        <f t="shared" si="1"/>
        <v>20000</v>
      </c>
      <c r="H13" s="100">
        <v>2200000</v>
      </c>
      <c r="I13" s="100">
        <f t="shared" si="2"/>
        <v>800000</v>
      </c>
      <c r="J13" s="101">
        <f t="shared" si="3"/>
        <v>40000</v>
      </c>
      <c r="K13" s="101"/>
      <c r="L13" s="101">
        <f t="shared" si="4"/>
        <v>3040000</v>
      </c>
      <c r="M13" s="101">
        <f t="shared" si="5"/>
        <v>91200</v>
      </c>
      <c r="N13" s="101">
        <f t="shared" si="6"/>
        <v>27968</v>
      </c>
      <c r="O13" s="101">
        <f t="shared" si="7"/>
        <v>3159168</v>
      </c>
      <c r="P13" s="102">
        <f t="shared" si="8"/>
        <v>473875.19999999995</v>
      </c>
      <c r="Q13" s="102">
        <f t="shared" si="9"/>
        <v>3633043.2</v>
      </c>
      <c r="R13" s="102">
        <f t="shared" si="10"/>
        <v>36330.432000000001</v>
      </c>
      <c r="S13" s="102">
        <f t="shared" si="11"/>
        <v>3669373.6320000002</v>
      </c>
      <c r="T13" s="103"/>
      <c r="U13" s="112">
        <f t="shared" si="12"/>
        <v>183.46868160000002</v>
      </c>
      <c r="V13" s="126">
        <f t="shared" si="13"/>
        <v>3.569429603112841</v>
      </c>
    </row>
    <row r="14" spans="1:22" x14ac:dyDescent="0.15">
      <c r="A14" s="96">
        <v>7</v>
      </c>
      <c r="B14" s="106" t="s">
        <v>432</v>
      </c>
      <c r="C14" s="98" t="s">
        <v>439</v>
      </c>
      <c r="D14" s="108">
        <v>171</v>
      </c>
      <c r="E14" s="99">
        <f t="shared" si="0"/>
        <v>400</v>
      </c>
      <c r="F14" s="99">
        <v>20</v>
      </c>
      <c r="G14" s="99">
        <f t="shared" si="1"/>
        <v>20000</v>
      </c>
      <c r="H14" s="100">
        <v>2460000</v>
      </c>
      <c r="I14" s="100">
        <f t="shared" si="2"/>
        <v>800000</v>
      </c>
      <c r="J14" s="101">
        <f t="shared" si="3"/>
        <v>40000</v>
      </c>
      <c r="K14" s="101"/>
      <c r="L14" s="101">
        <f t="shared" si="4"/>
        <v>3300000</v>
      </c>
      <c r="M14" s="101">
        <f t="shared" si="5"/>
        <v>99000</v>
      </c>
      <c r="N14" s="101">
        <f t="shared" si="6"/>
        <v>30360</v>
      </c>
      <c r="O14" s="101">
        <f t="shared" si="7"/>
        <v>3429360</v>
      </c>
      <c r="P14" s="102">
        <f t="shared" si="8"/>
        <v>514404</v>
      </c>
      <c r="Q14" s="102">
        <f t="shared" si="9"/>
        <v>3943764</v>
      </c>
      <c r="R14" s="102">
        <f t="shared" si="10"/>
        <v>39437.64</v>
      </c>
      <c r="S14" s="102">
        <f t="shared" si="11"/>
        <v>3983201.64</v>
      </c>
      <c r="T14" s="103"/>
      <c r="U14" s="112">
        <f t="shared" si="12"/>
        <v>199.16008200000002</v>
      </c>
      <c r="V14" s="126">
        <f t="shared" si="13"/>
        <v>1.1646788421052632</v>
      </c>
    </row>
    <row r="15" spans="1:22" x14ac:dyDescent="0.15">
      <c r="A15" s="104">
        <v>8</v>
      </c>
      <c r="B15" s="106" t="s">
        <v>432</v>
      </c>
      <c r="C15" s="98" t="s">
        <v>440</v>
      </c>
      <c r="D15" s="108">
        <v>217</v>
      </c>
      <c r="E15" s="99">
        <f t="shared" si="0"/>
        <v>400</v>
      </c>
      <c r="F15" s="99">
        <v>20</v>
      </c>
      <c r="G15" s="99">
        <f t="shared" si="1"/>
        <v>20000</v>
      </c>
      <c r="H15" s="100">
        <v>2600000</v>
      </c>
      <c r="I15" s="100">
        <f t="shared" si="2"/>
        <v>800000</v>
      </c>
      <c r="J15" s="101">
        <f t="shared" si="3"/>
        <v>40000</v>
      </c>
      <c r="K15" s="101"/>
      <c r="L15" s="101">
        <f t="shared" si="4"/>
        <v>3440000</v>
      </c>
      <c r="M15" s="101">
        <f t="shared" si="5"/>
        <v>103200</v>
      </c>
      <c r="N15" s="101">
        <f t="shared" si="6"/>
        <v>31648</v>
      </c>
      <c r="O15" s="101">
        <f t="shared" si="7"/>
        <v>3574848</v>
      </c>
      <c r="P15" s="102">
        <f t="shared" si="8"/>
        <v>536227.19999999995</v>
      </c>
      <c r="Q15" s="102">
        <f t="shared" si="9"/>
        <v>4111075.2</v>
      </c>
      <c r="R15" s="102">
        <f t="shared" si="10"/>
        <v>41110.752</v>
      </c>
      <c r="S15" s="102">
        <f t="shared" si="11"/>
        <v>4152185.952</v>
      </c>
      <c r="T15" s="103"/>
      <c r="U15" s="112">
        <f t="shared" si="12"/>
        <v>207.60929759999999</v>
      </c>
      <c r="V15" s="126">
        <f t="shared" si="13"/>
        <v>0.95672487373271886</v>
      </c>
    </row>
    <row r="16" spans="1:22" x14ac:dyDescent="0.15">
      <c r="A16" s="96">
        <v>9</v>
      </c>
      <c r="B16" s="106" t="s">
        <v>432</v>
      </c>
      <c r="C16" s="98" t="s">
        <v>441</v>
      </c>
      <c r="D16" s="108">
        <v>142.69999999999999</v>
      </c>
      <c r="E16" s="99">
        <f t="shared" si="0"/>
        <v>400</v>
      </c>
      <c r="F16" s="99">
        <v>20</v>
      </c>
      <c r="G16" s="99">
        <f t="shared" si="1"/>
        <v>20000</v>
      </c>
      <c r="H16" s="100">
        <v>3500000</v>
      </c>
      <c r="I16" s="100">
        <f t="shared" si="2"/>
        <v>800000</v>
      </c>
      <c r="J16" s="101">
        <f t="shared" si="3"/>
        <v>40000</v>
      </c>
      <c r="K16" s="101"/>
      <c r="L16" s="101">
        <f t="shared" si="4"/>
        <v>4340000</v>
      </c>
      <c r="M16" s="101">
        <f t="shared" si="5"/>
        <v>130200</v>
      </c>
      <c r="N16" s="101">
        <f t="shared" si="6"/>
        <v>39928</v>
      </c>
      <c r="O16" s="101">
        <f t="shared" si="7"/>
        <v>4510128</v>
      </c>
      <c r="P16" s="102">
        <f t="shared" si="8"/>
        <v>676519.2</v>
      </c>
      <c r="Q16" s="102">
        <f t="shared" si="9"/>
        <v>5186647.2</v>
      </c>
      <c r="R16" s="102">
        <f t="shared" si="10"/>
        <v>51866.472000000002</v>
      </c>
      <c r="S16" s="102">
        <f t="shared" si="11"/>
        <v>5238513.6720000003</v>
      </c>
      <c r="T16" s="103"/>
      <c r="U16" s="112">
        <f t="shared" si="12"/>
        <v>261.92568360000001</v>
      </c>
      <c r="V16" s="126">
        <f t="shared" si="13"/>
        <v>1.8354988339173093</v>
      </c>
    </row>
    <row r="17" spans="1:22" x14ac:dyDescent="0.15">
      <c r="A17" s="104">
        <v>10</v>
      </c>
      <c r="B17" s="106" t="s">
        <v>432</v>
      </c>
      <c r="C17" s="98" t="s">
        <v>442</v>
      </c>
      <c r="D17" s="108">
        <v>84.3</v>
      </c>
      <c r="E17" s="99">
        <f t="shared" si="0"/>
        <v>400</v>
      </c>
      <c r="F17" s="99">
        <v>20</v>
      </c>
      <c r="G17" s="99">
        <f t="shared" si="1"/>
        <v>20000</v>
      </c>
      <c r="H17" s="100">
        <v>3200000</v>
      </c>
      <c r="I17" s="100">
        <f t="shared" si="2"/>
        <v>800000</v>
      </c>
      <c r="J17" s="101">
        <f t="shared" si="3"/>
        <v>40000</v>
      </c>
      <c r="K17" s="101"/>
      <c r="L17" s="101">
        <f t="shared" si="4"/>
        <v>4040000</v>
      </c>
      <c r="M17" s="101">
        <f t="shared" si="5"/>
        <v>121200</v>
      </c>
      <c r="N17" s="101">
        <f t="shared" si="6"/>
        <v>37168</v>
      </c>
      <c r="O17" s="101">
        <f t="shared" si="7"/>
        <v>4198368</v>
      </c>
      <c r="P17" s="102">
        <f t="shared" si="8"/>
        <v>629755.19999999995</v>
      </c>
      <c r="Q17" s="102">
        <f t="shared" si="9"/>
        <v>4828123.2</v>
      </c>
      <c r="R17" s="102">
        <f t="shared" si="10"/>
        <v>48281.232000000004</v>
      </c>
      <c r="S17" s="102">
        <f t="shared" si="11"/>
        <v>4876404.432</v>
      </c>
      <c r="T17" s="103"/>
      <c r="U17" s="112">
        <f t="shared" si="12"/>
        <v>243.8202216</v>
      </c>
      <c r="V17" s="126">
        <f t="shared" si="13"/>
        <v>2.8922920711743774</v>
      </c>
    </row>
    <row r="18" spans="1:22" x14ac:dyDescent="0.15">
      <c r="A18" s="96">
        <v>11</v>
      </c>
      <c r="B18" s="106" t="s">
        <v>432</v>
      </c>
      <c r="C18" s="98" t="s">
        <v>443</v>
      </c>
      <c r="D18" s="108">
        <v>413.3</v>
      </c>
      <c r="E18" s="99">
        <f t="shared" si="0"/>
        <v>400</v>
      </c>
      <c r="F18" s="99">
        <v>20</v>
      </c>
      <c r="G18" s="99">
        <f t="shared" si="1"/>
        <v>20000</v>
      </c>
      <c r="H18" s="100">
        <v>5000000</v>
      </c>
      <c r="I18" s="100">
        <f t="shared" si="2"/>
        <v>800000</v>
      </c>
      <c r="J18" s="101">
        <f t="shared" si="3"/>
        <v>40000</v>
      </c>
      <c r="K18" s="101"/>
      <c r="L18" s="101">
        <f t="shared" si="4"/>
        <v>5840000</v>
      </c>
      <c r="M18" s="101">
        <f t="shared" si="5"/>
        <v>175200</v>
      </c>
      <c r="N18" s="101">
        <f t="shared" si="6"/>
        <v>53728</v>
      </c>
      <c r="O18" s="101">
        <f t="shared" si="7"/>
        <v>6068928</v>
      </c>
      <c r="P18" s="102">
        <f t="shared" si="8"/>
        <v>910339.2</v>
      </c>
      <c r="Q18" s="102">
        <f t="shared" si="9"/>
        <v>6979267.2000000002</v>
      </c>
      <c r="R18" s="102">
        <f t="shared" si="10"/>
        <v>69792.672000000006</v>
      </c>
      <c r="S18" s="102">
        <f t="shared" si="11"/>
        <v>7049059.8720000004</v>
      </c>
      <c r="T18" s="103"/>
      <c r="U18" s="112">
        <f t="shared" si="12"/>
        <v>352.45299360000001</v>
      </c>
      <c r="V18" s="126">
        <f t="shared" si="13"/>
        <v>0.85277762787321554</v>
      </c>
    </row>
    <row r="19" spans="1:22" x14ac:dyDescent="0.15">
      <c r="A19" s="104">
        <v>12</v>
      </c>
      <c r="B19" s="106" t="s">
        <v>432</v>
      </c>
      <c r="C19" s="98" t="s">
        <v>444</v>
      </c>
      <c r="D19" s="108">
        <v>283.39999999999998</v>
      </c>
      <c r="E19" s="99">
        <f t="shared" si="0"/>
        <v>400</v>
      </c>
      <c r="F19" s="99">
        <v>20</v>
      </c>
      <c r="G19" s="99">
        <f t="shared" si="1"/>
        <v>20000</v>
      </c>
      <c r="H19" s="100">
        <v>5400000</v>
      </c>
      <c r="I19" s="100">
        <f t="shared" si="2"/>
        <v>800000</v>
      </c>
      <c r="J19" s="101">
        <f t="shared" si="3"/>
        <v>40000</v>
      </c>
      <c r="K19" s="101"/>
      <c r="L19" s="101">
        <f t="shared" si="4"/>
        <v>6240000</v>
      </c>
      <c r="M19" s="101">
        <f t="shared" si="5"/>
        <v>187200</v>
      </c>
      <c r="N19" s="101">
        <f t="shared" si="6"/>
        <v>57408</v>
      </c>
      <c r="O19" s="101">
        <f t="shared" si="7"/>
        <v>6484608</v>
      </c>
      <c r="P19" s="102">
        <f t="shared" si="8"/>
        <v>972691.2</v>
      </c>
      <c r="Q19" s="102">
        <f t="shared" si="9"/>
        <v>7457299.2000000002</v>
      </c>
      <c r="R19" s="102">
        <f t="shared" si="10"/>
        <v>74572.991999999998</v>
      </c>
      <c r="S19" s="102">
        <f t="shared" si="11"/>
        <v>7531872.1919999998</v>
      </c>
      <c r="T19" s="103"/>
      <c r="U19" s="112">
        <f t="shared" si="12"/>
        <v>376.59360959999998</v>
      </c>
      <c r="V19" s="126">
        <f t="shared" si="13"/>
        <v>1.328841247706422</v>
      </c>
    </row>
    <row r="20" spans="1:22" x14ac:dyDescent="0.15">
      <c r="A20" s="96">
        <v>13</v>
      </c>
      <c r="B20" s="106" t="s">
        <v>432</v>
      </c>
      <c r="C20" s="98" t="s">
        <v>445</v>
      </c>
      <c r="D20" s="108">
        <v>271.8</v>
      </c>
      <c r="E20" s="99">
        <f t="shared" si="0"/>
        <v>400</v>
      </c>
      <c r="F20" s="99">
        <v>20</v>
      </c>
      <c r="G20" s="99">
        <f t="shared" si="1"/>
        <v>20000</v>
      </c>
      <c r="H20" s="100">
        <v>5800000</v>
      </c>
      <c r="I20" s="100">
        <f t="shared" si="2"/>
        <v>800000</v>
      </c>
      <c r="J20" s="101">
        <f t="shared" si="3"/>
        <v>40000</v>
      </c>
      <c r="K20" s="101"/>
      <c r="L20" s="101">
        <f t="shared" si="4"/>
        <v>6640000</v>
      </c>
      <c r="M20" s="101">
        <f t="shared" si="5"/>
        <v>199200</v>
      </c>
      <c r="N20" s="101">
        <f t="shared" si="6"/>
        <v>61088</v>
      </c>
      <c r="O20" s="101">
        <f t="shared" si="7"/>
        <v>6900288</v>
      </c>
      <c r="P20" s="102">
        <f t="shared" si="8"/>
        <v>1035043.2</v>
      </c>
      <c r="Q20" s="102">
        <f t="shared" si="9"/>
        <v>7935331.2000000002</v>
      </c>
      <c r="R20" s="102">
        <f t="shared" si="10"/>
        <v>79353.312000000005</v>
      </c>
      <c r="S20" s="102">
        <f t="shared" si="11"/>
        <v>8014684.5120000001</v>
      </c>
      <c r="T20" s="103"/>
      <c r="U20" s="112">
        <f t="shared" si="12"/>
        <v>400.7342256</v>
      </c>
      <c r="V20" s="126">
        <f t="shared" si="13"/>
        <v>1.4743716909492273</v>
      </c>
    </row>
    <row r="21" spans="1:22" x14ac:dyDescent="0.15">
      <c r="A21" s="104">
        <v>14</v>
      </c>
      <c r="B21" s="106" t="s">
        <v>432</v>
      </c>
      <c r="C21" s="98" t="s">
        <v>446</v>
      </c>
      <c r="D21" s="108">
        <v>333</v>
      </c>
      <c r="E21" s="99">
        <f t="shared" si="0"/>
        <v>400</v>
      </c>
      <c r="F21" s="99">
        <v>20</v>
      </c>
      <c r="G21" s="99">
        <f t="shared" si="1"/>
        <v>20000</v>
      </c>
      <c r="H21" s="100">
        <v>6400000</v>
      </c>
      <c r="I21" s="100">
        <f t="shared" si="2"/>
        <v>800000</v>
      </c>
      <c r="J21" s="101">
        <f t="shared" si="3"/>
        <v>40000</v>
      </c>
      <c r="K21" s="101"/>
      <c r="L21" s="101">
        <f t="shared" si="4"/>
        <v>7240000</v>
      </c>
      <c r="M21" s="101">
        <f t="shared" si="5"/>
        <v>217200</v>
      </c>
      <c r="N21" s="101">
        <f t="shared" si="6"/>
        <v>66608</v>
      </c>
      <c r="O21" s="101">
        <f t="shared" si="7"/>
        <v>7523808</v>
      </c>
      <c r="P21" s="102">
        <f t="shared" si="8"/>
        <v>1128571.2</v>
      </c>
      <c r="Q21" s="102">
        <f t="shared" si="9"/>
        <v>8652379.1999999993</v>
      </c>
      <c r="R21" s="102">
        <f t="shared" si="10"/>
        <v>86523.792000000001</v>
      </c>
      <c r="S21" s="102">
        <f t="shared" si="11"/>
        <v>8738902.9919999987</v>
      </c>
      <c r="T21" s="103"/>
      <c r="U21" s="112">
        <f t="shared" si="12"/>
        <v>436.94514959999992</v>
      </c>
      <c r="V21" s="126">
        <f t="shared" si="13"/>
        <v>1.3121475963963962</v>
      </c>
    </row>
    <row r="22" spans="1:22" x14ac:dyDescent="0.15">
      <c r="A22" s="96">
        <v>15</v>
      </c>
      <c r="B22" s="106" t="s">
        <v>432</v>
      </c>
      <c r="C22" s="98" t="s">
        <v>447</v>
      </c>
      <c r="D22" s="108">
        <v>399.1</v>
      </c>
      <c r="E22" s="99">
        <f t="shared" si="0"/>
        <v>400</v>
      </c>
      <c r="F22" s="99">
        <v>20</v>
      </c>
      <c r="G22" s="99">
        <f t="shared" si="1"/>
        <v>20000</v>
      </c>
      <c r="H22" s="100">
        <v>7000000</v>
      </c>
      <c r="I22" s="100">
        <f t="shared" si="2"/>
        <v>800000</v>
      </c>
      <c r="J22" s="101">
        <f t="shared" si="3"/>
        <v>40000</v>
      </c>
      <c r="K22" s="101"/>
      <c r="L22" s="101">
        <f t="shared" si="4"/>
        <v>7840000</v>
      </c>
      <c r="M22" s="101">
        <f t="shared" si="5"/>
        <v>235200</v>
      </c>
      <c r="N22" s="101">
        <f t="shared" si="6"/>
        <v>72128</v>
      </c>
      <c r="O22" s="101">
        <f t="shared" si="7"/>
        <v>8147328</v>
      </c>
      <c r="P22" s="102">
        <f t="shared" si="8"/>
        <v>1222099.2</v>
      </c>
      <c r="Q22" s="102">
        <f t="shared" si="9"/>
        <v>9369427.1999999993</v>
      </c>
      <c r="R22" s="102">
        <f t="shared" si="10"/>
        <v>93694.271999999997</v>
      </c>
      <c r="S22" s="102">
        <f t="shared" si="11"/>
        <v>9463121.4719999991</v>
      </c>
      <c r="T22" s="103"/>
      <c r="U22" s="112">
        <f t="shared" si="12"/>
        <v>473.15607359999996</v>
      </c>
      <c r="V22" s="126">
        <f t="shared" si="13"/>
        <v>1.1855576887997994</v>
      </c>
    </row>
    <row r="23" spans="1:22" x14ac:dyDescent="0.15">
      <c r="A23" s="104">
        <v>16</v>
      </c>
      <c r="B23" s="106" t="s">
        <v>432</v>
      </c>
      <c r="C23" s="98" t="s">
        <v>448</v>
      </c>
      <c r="D23" s="108">
        <v>554.70000000000005</v>
      </c>
      <c r="E23" s="99">
        <f t="shared" si="0"/>
        <v>400</v>
      </c>
      <c r="F23" s="99">
        <v>20</v>
      </c>
      <c r="G23" s="99">
        <f t="shared" si="1"/>
        <v>20000</v>
      </c>
      <c r="H23" s="100">
        <v>8200000</v>
      </c>
      <c r="I23" s="100">
        <f t="shared" si="2"/>
        <v>800000</v>
      </c>
      <c r="J23" s="101">
        <f t="shared" si="3"/>
        <v>40000</v>
      </c>
      <c r="K23" s="101"/>
      <c r="L23" s="101">
        <f t="shared" si="4"/>
        <v>9040000</v>
      </c>
      <c r="M23" s="101">
        <f t="shared" si="5"/>
        <v>271200</v>
      </c>
      <c r="N23" s="101">
        <f t="shared" si="6"/>
        <v>83168</v>
      </c>
      <c r="O23" s="101">
        <f t="shared" si="7"/>
        <v>9394368</v>
      </c>
      <c r="P23" s="102">
        <f t="shared" si="8"/>
        <v>1409155.2</v>
      </c>
      <c r="Q23" s="102">
        <f t="shared" si="9"/>
        <v>10803523.199999999</v>
      </c>
      <c r="R23" s="102">
        <f t="shared" si="10"/>
        <v>108035.23199999999</v>
      </c>
      <c r="S23" s="102">
        <f t="shared" si="11"/>
        <v>10911558.432</v>
      </c>
      <c r="T23" s="103"/>
      <c r="U23" s="112">
        <f t="shared" si="12"/>
        <v>545.57792159999997</v>
      </c>
      <c r="V23" s="126">
        <f t="shared" si="13"/>
        <v>0.98355493347755529</v>
      </c>
    </row>
    <row r="24" spans="1:22" x14ac:dyDescent="0.15">
      <c r="A24" s="96">
        <v>17</v>
      </c>
      <c r="B24" s="106" t="s">
        <v>432</v>
      </c>
      <c r="C24" s="98" t="s">
        <v>449</v>
      </c>
      <c r="D24" s="108">
        <v>615.9</v>
      </c>
      <c r="E24" s="99">
        <f t="shared" si="0"/>
        <v>300</v>
      </c>
      <c r="F24" s="99">
        <v>15</v>
      </c>
      <c r="G24" s="99">
        <f t="shared" si="1"/>
        <v>15000</v>
      </c>
      <c r="H24" s="100">
        <v>7650000</v>
      </c>
      <c r="I24" s="100">
        <f t="shared" si="2"/>
        <v>600000</v>
      </c>
      <c r="J24" s="101">
        <f t="shared" si="3"/>
        <v>30000</v>
      </c>
      <c r="K24" s="101"/>
      <c r="L24" s="101">
        <f t="shared" si="4"/>
        <v>8280000</v>
      </c>
      <c r="M24" s="101">
        <f t="shared" si="5"/>
        <v>248400</v>
      </c>
      <c r="N24" s="101">
        <f t="shared" si="6"/>
        <v>76176</v>
      </c>
      <c r="O24" s="101">
        <f t="shared" si="7"/>
        <v>8604576</v>
      </c>
      <c r="P24" s="102">
        <f t="shared" si="8"/>
        <v>1290686.3999999999</v>
      </c>
      <c r="Q24" s="102">
        <f t="shared" si="9"/>
        <v>9895262.4000000004</v>
      </c>
      <c r="R24" s="102">
        <f t="shared" si="10"/>
        <v>98952.624000000011</v>
      </c>
      <c r="S24" s="102">
        <f t="shared" si="11"/>
        <v>9994215.0240000002</v>
      </c>
      <c r="T24" s="103"/>
      <c r="U24" s="112">
        <f t="shared" si="12"/>
        <v>666.28100159999997</v>
      </c>
      <c r="V24" s="126">
        <f t="shared" si="13"/>
        <v>1.0818006195811007</v>
      </c>
    </row>
    <row r="25" spans="1:22" x14ac:dyDescent="0.15">
      <c r="A25" s="104">
        <v>18</v>
      </c>
      <c r="B25" s="106" t="s">
        <v>432</v>
      </c>
      <c r="C25" s="98" t="s">
        <v>450</v>
      </c>
      <c r="D25" s="108">
        <v>101</v>
      </c>
      <c r="E25" s="99">
        <f t="shared" si="0"/>
        <v>400</v>
      </c>
      <c r="F25" s="99">
        <v>20</v>
      </c>
      <c r="G25" s="99">
        <f t="shared" si="1"/>
        <v>20000</v>
      </c>
      <c r="H25" s="100">
        <v>8000000</v>
      </c>
      <c r="I25" s="100">
        <f t="shared" si="2"/>
        <v>800000</v>
      </c>
      <c r="J25" s="101">
        <f t="shared" si="3"/>
        <v>40000</v>
      </c>
      <c r="K25" s="101"/>
      <c r="L25" s="101">
        <f t="shared" si="4"/>
        <v>8840000</v>
      </c>
      <c r="M25" s="101">
        <f t="shared" si="5"/>
        <v>265200</v>
      </c>
      <c r="N25" s="101">
        <f t="shared" si="6"/>
        <v>81328</v>
      </c>
      <c r="O25" s="101">
        <f t="shared" si="7"/>
        <v>9186528</v>
      </c>
      <c r="P25" s="102">
        <f t="shared" si="8"/>
        <v>1377979.2</v>
      </c>
      <c r="Q25" s="102">
        <f t="shared" si="9"/>
        <v>10564507.199999999</v>
      </c>
      <c r="R25" s="102">
        <f t="shared" si="10"/>
        <v>105645.072</v>
      </c>
      <c r="S25" s="102">
        <f t="shared" si="11"/>
        <v>10670152.272</v>
      </c>
      <c r="T25" s="103"/>
      <c r="U25" s="112">
        <f t="shared" si="12"/>
        <v>533.50761360000001</v>
      </c>
      <c r="V25" s="126">
        <f t="shared" si="13"/>
        <v>5.2822535999999998</v>
      </c>
    </row>
    <row r="26" spans="1:22" x14ac:dyDescent="0.15">
      <c r="A26" s="96">
        <v>19</v>
      </c>
      <c r="B26" s="106" t="s">
        <v>432</v>
      </c>
      <c r="C26" s="98" t="s">
        <v>451</v>
      </c>
      <c r="D26" s="108">
        <v>247.1</v>
      </c>
      <c r="E26" s="99">
        <f t="shared" si="0"/>
        <v>400</v>
      </c>
      <c r="F26" s="99">
        <v>20</v>
      </c>
      <c r="G26" s="99">
        <f t="shared" si="1"/>
        <v>20000</v>
      </c>
      <c r="H26" s="100">
        <v>9000000</v>
      </c>
      <c r="I26" s="100">
        <f t="shared" si="2"/>
        <v>800000</v>
      </c>
      <c r="J26" s="101">
        <f t="shared" si="3"/>
        <v>40000</v>
      </c>
      <c r="K26" s="101"/>
      <c r="L26" s="101">
        <f t="shared" si="4"/>
        <v>9840000</v>
      </c>
      <c r="M26" s="101">
        <f t="shared" si="5"/>
        <v>295200</v>
      </c>
      <c r="N26" s="101">
        <f t="shared" si="6"/>
        <v>90528</v>
      </c>
      <c r="O26" s="101">
        <f t="shared" si="7"/>
        <v>10225728</v>
      </c>
      <c r="P26" s="102">
        <f t="shared" si="8"/>
        <v>1533859.2</v>
      </c>
      <c r="Q26" s="102">
        <f t="shared" si="9"/>
        <v>11759587.199999999</v>
      </c>
      <c r="R26" s="102">
        <f t="shared" si="10"/>
        <v>117595.87199999999</v>
      </c>
      <c r="S26" s="102">
        <f t="shared" si="11"/>
        <v>11877183.071999999</v>
      </c>
      <c r="T26" s="103"/>
      <c r="U26" s="112">
        <f t="shared" si="12"/>
        <v>593.8591535999999</v>
      </c>
      <c r="V26" s="126">
        <f t="shared" si="13"/>
        <v>2.4033150692027516</v>
      </c>
    </row>
    <row r="27" spans="1:22" x14ac:dyDescent="0.15">
      <c r="A27" s="104">
        <v>20</v>
      </c>
      <c r="B27" s="106" t="s">
        <v>432</v>
      </c>
      <c r="C27" s="98" t="s">
        <v>452</v>
      </c>
      <c r="D27" s="108"/>
      <c r="E27" s="99">
        <f t="shared" si="0"/>
        <v>300</v>
      </c>
      <c r="F27" s="99">
        <v>15</v>
      </c>
      <c r="G27" s="99">
        <f t="shared" si="1"/>
        <v>15000</v>
      </c>
      <c r="H27" s="100">
        <v>6000000</v>
      </c>
      <c r="I27" s="100">
        <f t="shared" si="2"/>
        <v>600000</v>
      </c>
      <c r="J27" s="101">
        <f t="shared" si="3"/>
        <v>30000</v>
      </c>
      <c r="K27" s="101"/>
      <c r="L27" s="101">
        <f t="shared" si="4"/>
        <v>6630000</v>
      </c>
      <c r="M27" s="101">
        <f t="shared" si="5"/>
        <v>198900</v>
      </c>
      <c r="N27" s="101">
        <f t="shared" si="6"/>
        <v>60996</v>
      </c>
      <c r="O27" s="101">
        <f t="shared" si="7"/>
        <v>6889896</v>
      </c>
      <c r="P27" s="102">
        <f t="shared" si="8"/>
        <v>1033484.3999999999</v>
      </c>
      <c r="Q27" s="102">
        <f t="shared" si="9"/>
        <v>7923380.4000000004</v>
      </c>
      <c r="R27" s="102">
        <f t="shared" si="10"/>
        <v>79233.804000000004</v>
      </c>
      <c r="S27" s="102">
        <f t="shared" si="11"/>
        <v>8002614.2039999999</v>
      </c>
      <c r="T27" s="103"/>
      <c r="U27" s="112">
        <f t="shared" si="12"/>
        <v>533.50761360000001</v>
      </c>
      <c r="V27" s="126"/>
    </row>
    <row r="28" spans="1:22" x14ac:dyDescent="0.15">
      <c r="A28" s="96">
        <v>21</v>
      </c>
      <c r="B28" s="106" t="s">
        <v>432</v>
      </c>
      <c r="C28" s="98" t="s">
        <v>453</v>
      </c>
      <c r="D28" s="108"/>
      <c r="E28" s="99">
        <f t="shared" si="0"/>
        <v>160</v>
      </c>
      <c r="F28" s="99">
        <v>8</v>
      </c>
      <c r="G28" s="99">
        <f t="shared" si="1"/>
        <v>8000</v>
      </c>
      <c r="H28" s="100">
        <v>10400000</v>
      </c>
      <c r="I28" s="100">
        <f t="shared" si="2"/>
        <v>320000</v>
      </c>
      <c r="J28" s="101">
        <f t="shared" si="3"/>
        <v>16000</v>
      </c>
      <c r="K28" s="101"/>
      <c r="L28" s="101">
        <f t="shared" si="4"/>
        <v>10736000</v>
      </c>
      <c r="M28" s="101">
        <f t="shared" si="5"/>
        <v>322080</v>
      </c>
      <c r="N28" s="101">
        <f t="shared" si="6"/>
        <v>98771.199999999997</v>
      </c>
      <c r="O28" s="101">
        <f t="shared" si="7"/>
        <v>11156851.199999999</v>
      </c>
      <c r="P28" s="102">
        <f t="shared" si="8"/>
        <v>1673527.68</v>
      </c>
      <c r="Q28" s="102">
        <f t="shared" si="9"/>
        <v>12830378.879999999</v>
      </c>
      <c r="R28" s="102">
        <f t="shared" si="10"/>
        <v>128303.78879999999</v>
      </c>
      <c r="S28" s="102">
        <f t="shared" si="11"/>
        <v>12958682.668799998</v>
      </c>
      <c r="T28" s="103"/>
      <c r="U28" s="112">
        <f t="shared" si="12"/>
        <v>1619.8353335999998</v>
      </c>
      <c r="V28" s="126"/>
    </row>
    <row r="29" spans="1:22" x14ac:dyDescent="0.15">
      <c r="A29" s="104">
        <v>22</v>
      </c>
      <c r="B29" s="106" t="s">
        <v>432</v>
      </c>
      <c r="C29" s="98" t="s">
        <v>454</v>
      </c>
      <c r="D29" s="108">
        <v>980.2</v>
      </c>
      <c r="E29" s="99">
        <f t="shared" si="0"/>
        <v>400</v>
      </c>
      <c r="F29" s="99">
        <v>20</v>
      </c>
      <c r="G29" s="99">
        <f t="shared" si="1"/>
        <v>20000</v>
      </c>
      <c r="H29" s="100">
        <v>13000000</v>
      </c>
      <c r="I29" s="100">
        <f t="shared" si="2"/>
        <v>800000</v>
      </c>
      <c r="J29" s="101">
        <f t="shared" si="3"/>
        <v>40000</v>
      </c>
      <c r="K29" s="101"/>
      <c r="L29" s="101">
        <f t="shared" si="4"/>
        <v>13840000</v>
      </c>
      <c r="M29" s="101">
        <f t="shared" si="5"/>
        <v>415200</v>
      </c>
      <c r="N29" s="101">
        <f t="shared" si="6"/>
        <v>127328</v>
      </c>
      <c r="O29" s="101">
        <f t="shared" si="7"/>
        <v>14382528</v>
      </c>
      <c r="P29" s="102">
        <f t="shared" si="8"/>
        <v>2157379.1999999997</v>
      </c>
      <c r="Q29" s="102">
        <f t="shared" si="9"/>
        <v>16539907.199999999</v>
      </c>
      <c r="R29" s="102">
        <f t="shared" si="10"/>
        <v>165399.07199999999</v>
      </c>
      <c r="S29" s="102">
        <f t="shared" si="11"/>
        <v>16705306.272</v>
      </c>
      <c r="T29" s="103"/>
      <c r="U29" s="112">
        <f t="shared" si="12"/>
        <v>835.26531360000001</v>
      </c>
      <c r="V29" s="126">
        <f t="shared" si="13"/>
        <v>0.85213763884921445</v>
      </c>
    </row>
    <row r="30" spans="1:22" x14ac:dyDescent="0.15">
      <c r="A30" s="96">
        <v>23</v>
      </c>
      <c r="B30" s="106" t="s">
        <v>432</v>
      </c>
      <c r="C30" s="98" t="s">
        <v>455</v>
      </c>
      <c r="D30" s="108">
        <v>1112.8</v>
      </c>
      <c r="E30" s="99">
        <f t="shared" si="0"/>
        <v>400</v>
      </c>
      <c r="F30" s="99">
        <v>20</v>
      </c>
      <c r="G30" s="99">
        <f t="shared" si="1"/>
        <v>20000</v>
      </c>
      <c r="H30" s="100">
        <v>14000000</v>
      </c>
      <c r="I30" s="100">
        <f t="shared" si="2"/>
        <v>800000</v>
      </c>
      <c r="J30" s="101">
        <f t="shared" si="3"/>
        <v>40000</v>
      </c>
      <c r="K30" s="101"/>
      <c r="L30" s="101">
        <f t="shared" si="4"/>
        <v>14840000</v>
      </c>
      <c r="M30" s="101">
        <f t="shared" si="5"/>
        <v>445200</v>
      </c>
      <c r="N30" s="101">
        <f t="shared" si="6"/>
        <v>136528</v>
      </c>
      <c r="O30" s="101">
        <f t="shared" si="7"/>
        <v>15421728</v>
      </c>
      <c r="P30" s="102">
        <f t="shared" si="8"/>
        <v>2313259.1999999997</v>
      </c>
      <c r="Q30" s="102">
        <f t="shared" si="9"/>
        <v>17734987.199999999</v>
      </c>
      <c r="R30" s="102">
        <f t="shared" si="10"/>
        <v>177349.872</v>
      </c>
      <c r="S30" s="102">
        <f t="shared" si="11"/>
        <v>17912337.072000001</v>
      </c>
      <c r="T30" s="103"/>
      <c r="U30" s="112">
        <f t="shared" si="12"/>
        <v>895.61685360000001</v>
      </c>
      <c r="V30" s="126">
        <f t="shared" si="13"/>
        <v>0.80483182386772112</v>
      </c>
    </row>
    <row r="31" spans="1:22" x14ac:dyDescent="0.15">
      <c r="A31" s="104"/>
      <c r="B31" s="105"/>
      <c r="C31" s="98"/>
      <c r="D31" s="108"/>
      <c r="E31" s="107"/>
      <c r="F31" s="107"/>
      <c r="G31" s="107"/>
      <c r="H31" s="100"/>
      <c r="I31" s="100"/>
      <c r="J31" s="101"/>
      <c r="K31" s="101"/>
      <c r="L31" s="101"/>
      <c r="M31" s="101"/>
      <c r="N31" s="101"/>
      <c r="O31" s="101"/>
      <c r="P31" s="102"/>
      <c r="Q31" s="102"/>
      <c r="R31" s="102"/>
      <c r="S31" s="102"/>
      <c r="U31" s="112"/>
      <c r="V31" s="112"/>
    </row>
    <row r="32" spans="1:22" x14ac:dyDescent="0.15">
      <c r="A32" s="121"/>
      <c r="B32" s="114"/>
      <c r="C32" s="114"/>
      <c r="D32" s="115"/>
      <c r="E32" s="122"/>
      <c r="F32" s="122"/>
      <c r="G32" s="122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U32" s="124">
        <f>AVERAGE(U8:U31)</f>
        <v>451.79687640000009</v>
      </c>
      <c r="V32" s="127">
        <f>AVERAGE(V8:V31)</f>
        <v>2.1708774239938893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7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20.125" style="68" bestFit="1" customWidth="1"/>
    <col min="2" max="16" width="6" style="68" bestFit="1" customWidth="1"/>
    <col min="17" max="17" width="2.75" style="68" customWidth="1"/>
    <col min="18" max="18" width="10.5" style="68" bestFit="1" customWidth="1"/>
    <col min="19" max="16384" width="9" style="68"/>
  </cols>
  <sheetData>
    <row r="1" spans="1:18" x14ac:dyDescent="0.15">
      <c r="A1" s="71" t="str">
        <f>ProjectValuation!A1</f>
        <v>Bisnis Truk Thermoking</v>
      </c>
    </row>
    <row r="2" spans="1:18" x14ac:dyDescent="0.15">
      <c r="A2" s="71" t="str">
        <f>ProjectValuation!A2</f>
        <v>Financial Pre-Feasibility Study</v>
      </c>
    </row>
    <row r="3" spans="1:18" x14ac:dyDescent="0.15">
      <c r="A3" s="69" t="s">
        <v>267</v>
      </c>
    </row>
    <row r="6" spans="1:18" x14ac:dyDescent="0.15">
      <c r="A6" s="68" t="s">
        <v>388</v>
      </c>
    </row>
    <row r="7" spans="1:18" ht="20.100000000000001" customHeight="1" x14ac:dyDescent="0.15">
      <c r="A7" s="74" t="s">
        <v>164</v>
      </c>
      <c r="B7" s="75">
        <v>1</v>
      </c>
      <c r="C7" s="75">
        <f>B7+1</f>
        <v>2</v>
      </c>
      <c r="D7" s="75">
        <f t="shared" ref="D7:P7" si="0">C7+1</f>
        <v>3</v>
      </c>
      <c r="E7" s="75">
        <f t="shared" si="0"/>
        <v>4</v>
      </c>
      <c r="F7" s="75">
        <f t="shared" si="0"/>
        <v>5</v>
      </c>
      <c r="G7" s="75">
        <f t="shared" si="0"/>
        <v>6</v>
      </c>
      <c r="H7" s="75">
        <f t="shared" si="0"/>
        <v>7</v>
      </c>
      <c r="I7" s="75">
        <f t="shared" si="0"/>
        <v>8</v>
      </c>
      <c r="J7" s="75">
        <f t="shared" si="0"/>
        <v>9</v>
      </c>
      <c r="K7" s="75">
        <f t="shared" si="0"/>
        <v>10</v>
      </c>
      <c r="L7" s="75">
        <f t="shared" si="0"/>
        <v>11</v>
      </c>
      <c r="M7" s="75">
        <f>L7+1</f>
        <v>12</v>
      </c>
      <c r="N7" s="75">
        <f t="shared" si="0"/>
        <v>13</v>
      </c>
      <c r="O7" s="75">
        <f t="shared" si="0"/>
        <v>14</v>
      </c>
      <c r="P7" s="75">
        <f t="shared" si="0"/>
        <v>15</v>
      </c>
      <c r="Q7" s="70"/>
      <c r="R7" s="76" t="s">
        <v>264</v>
      </c>
    </row>
    <row r="8" spans="1:18" x14ac:dyDescent="0.15">
      <c r="A8" s="68" t="s">
        <v>163</v>
      </c>
      <c r="B8" s="67">
        <f>IncomeStatement!C8</f>
        <v>3456000000</v>
      </c>
      <c r="C8" s="67">
        <f>IncomeStatement!D8</f>
        <v>3525120000</v>
      </c>
      <c r="D8" s="67">
        <f>IncomeStatement!E8</f>
        <v>3595622400</v>
      </c>
      <c r="E8" s="67">
        <f>IncomeStatement!F8</f>
        <v>3667534848</v>
      </c>
      <c r="F8" s="67">
        <f>IncomeStatement!G8</f>
        <v>3740885544.96</v>
      </c>
      <c r="G8" s="67">
        <f>IncomeStatement!H8</f>
        <v>3815703255.8592</v>
      </c>
      <c r="H8" s="67">
        <f>IncomeStatement!I8</f>
        <v>3892017320.9763842</v>
      </c>
      <c r="I8" s="67">
        <f>IncomeStatement!J8</f>
        <v>3969857667.3959117</v>
      </c>
      <c r="J8" s="67">
        <f>IncomeStatement!K8</f>
        <v>4049254820.7438302</v>
      </c>
      <c r="K8" s="67">
        <f>IncomeStatement!L8</f>
        <v>4130239917.1587067</v>
      </c>
      <c r="L8" s="67" t="e">
        <f>IncomeStatement!#REF!</f>
        <v>#REF!</v>
      </c>
      <c r="M8" s="67" t="e">
        <f>IncomeStatement!#REF!</f>
        <v>#REF!</v>
      </c>
      <c r="N8" s="67" t="e">
        <f>IncomeStatement!#REF!</f>
        <v>#REF!</v>
      </c>
      <c r="O8" s="67" t="e">
        <f>IncomeStatement!#REF!</f>
        <v>#REF!</v>
      </c>
      <c r="P8" s="67" t="e">
        <f>IncomeStatement!#REF!</f>
        <v>#REF!</v>
      </c>
      <c r="Q8" s="70"/>
      <c r="R8" s="67" t="e">
        <f>SUM(B8:P8)</f>
        <v>#REF!</v>
      </c>
    </row>
    <row r="9" spans="1:18" ht="12.75" x14ac:dyDescent="0.3">
      <c r="A9" s="68" t="s">
        <v>165</v>
      </c>
      <c r="B9" s="91" t="e">
        <f>IncomeStatement!#REF!</f>
        <v>#REF!</v>
      </c>
      <c r="C9" s="91" t="e">
        <f>IncomeStatement!#REF!</f>
        <v>#REF!</v>
      </c>
      <c r="D9" s="91" t="e">
        <f>IncomeStatement!#REF!</f>
        <v>#REF!</v>
      </c>
      <c r="E9" s="91" t="e">
        <f>IncomeStatement!#REF!</f>
        <v>#REF!</v>
      </c>
      <c r="F9" s="91" t="e">
        <f>IncomeStatement!#REF!</f>
        <v>#REF!</v>
      </c>
      <c r="G9" s="91" t="e">
        <f>IncomeStatement!#REF!</f>
        <v>#REF!</v>
      </c>
      <c r="H9" s="91" t="e">
        <f>IncomeStatement!#REF!</f>
        <v>#REF!</v>
      </c>
      <c r="I9" s="91" t="e">
        <f>IncomeStatement!#REF!</f>
        <v>#REF!</v>
      </c>
      <c r="J9" s="91" t="e">
        <f>IncomeStatement!#REF!</f>
        <v>#REF!</v>
      </c>
      <c r="K9" s="91" t="e">
        <f>IncomeStatement!#REF!</f>
        <v>#REF!</v>
      </c>
      <c r="L9" s="91" t="e">
        <f>IncomeStatement!#REF!</f>
        <v>#REF!</v>
      </c>
      <c r="M9" s="91" t="e">
        <f>IncomeStatement!#REF!</f>
        <v>#REF!</v>
      </c>
      <c r="N9" s="91" t="e">
        <f>IncomeStatement!#REF!</f>
        <v>#REF!</v>
      </c>
      <c r="O9" s="91" t="e">
        <f>IncomeStatement!#REF!</f>
        <v>#REF!</v>
      </c>
      <c r="P9" s="91" t="e">
        <f>IncomeStatement!#REF!</f>
        <v>#REF!</v>
      </c>
      <c r="Q9" s="70"/>
      <c r="R9" s="91" t="e">
        <f>SUM(B9:P9)</f>
        <v>#REF!</v>
      </c>
    </row>
    <row r="10" spans="1:18" x14ac:dyDescent="0.15">
      <c r="A10" s="68" t="s">
        <v>166</v>
      </c>
      <c r="B10" s="67" t="e">
        <f>B8+B9</f>
        <v>#REF!</v>
      </c>
      <c r="C10" s="67" t="e">
        <f t="shared" ref="C10:P10" si="1">C8+C9</f>
        <v>#REF!</v>
      </c>
      <c r="D10" s="67" t="e">
        <f t="shared" si="1"/>
        <v>#REF!</v>
      </c>
      <c r="E10" s="67" t="e">
        <f t="shared" si="1"/>
        <v>#REF!</v>
      </c>
      <c r="F10" s="67" t="e">
        <f t="shared" si="1"/>
        <v>#REF!</v>
      </c>
      <c r="G10" s="67" t="e">
        <f t="shared" si="1"/>
        <v>#REF!</v>
      </c>
      <c r="H10" s="67" t="e">
        <f t="shared" si="1"/>
        <v>#REF!</v>
      </c>
      <c r="I10" s="67" t="e">
        <f t="shared" si="1"/>
        <v>#REF!</v>
      </c>
      <c r="J10" s="67" t="e">
        <f t="shared" si="1"/>
        <v>#REF!</v>
      </c>
      <c r="K10" s="67" t="e">
        <f t="shared" si="1"/>
        <v>#REF!</v>
      </c>
      <c r="L10" s="67" t="e">
        <f t="shared" si="1"/>
        <v>#REF!</v>
      </c>
      <c r="M10" s="67" t="e">
        <f t="shared" si="1"/>
        <v>#REF!</v>
      </c>
      <c r="N10" s="67" t="e">
        <f t="shared" si="1"/>
        <v>#REF!</v>
      </c>
      <c r="O10" s="67" t="e">
        <f t="shared" si="1"/>
        <v>#REF!</v>
      </c>
      <c r="P10" s="67" t="e">
        <f t="shared" si="1"/>
        <v>#REF!</v>
      </c>
      <c r="Q10" s="70"/>
      <c r="R10" s="67" t="e">
        <f>SUM(B10:P10)</f>
        <v>#REF!</v>
      </c>
    </row>
    <row r="11" spans="1:18" x14ac:dyDescent="0.15">
      <c r="A11" s="68" t="s">
        <v>364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70"/>
      <c r="R11" s="67"/>
    </row>
    <row r="12" spans="1:18" x14ac:dyDescent="0.15">
      <c r="A12" s="68" t="s">
        <v>366</v>
      </c>
      <c r="B12" s="67" t="e">
        <f>IncomeStatement!#REF!</f>
        <v>#REF!</v>
      </c>
      <c r="C12" s="67" t="e">
        <f>IncomeStatement!#REF!</f>
        <v>#REF!</v>
      </c>
      <c r="D12" s="67" t="e">
        <f>IncomeStatement!#REF!</f>
        <v>#REF!</v>
      </c>
      <c r="E12" s="67" t="e">
        <f>IncomeStatement!#REF!</f>
        <v>#REF!</v>
      </c>
      <c r="F12" s="67" t="e">
        <f>IncomeStatement!#REF!</f>
        <v>#REF!</v>
      </c>
      <c r="G12" s="67" t="e">
        <f>IncomeStatement!#REF!</f>
        <v>#REF!</v>
      </c>
      <c r="H12" s="67" t="e">
        <f>IncomeStatement!#REF!</f>
        <v>#REF!</v>
      </c>
      <c r="I12" s="67" t="e">
        <f>IncomeStatement!#REF!</f>
        <v>#REF!</v>
      </c>
      <c r="J12" s="67" t="e">
        <f>IncomeStatement!#REF!</f>
        <v>#REF!</v>
      </c>
      <c r="K12" s="67" t="e">
        <f>IncomeStatement!#REF!</f>
        <v>#REF!</v>
      </c>
      <c r="L12" s="67" t="e">
        <f>IncomeStatement!#REF!</f>
        <v>#REF!</v>
      </c>
      <c r="M12" s="67" t="e">
        <f>IncomeStatement!#REF!</f>
        <v>#REF!</v>
      </c>
      <c r="N12" s="67" t="e">
        <f>IncomeStatement!#REF!</f>
        <v>#REF!</v>
      </c>
      <c r="O12" s="67" t="e">
        <f>IncomeStatement!#REF!</f>
        <v>#REF!</v>
      </c>
      <c r="P12" s="67" t="e">
        <f>IncomeStatement!#REF!</f>
        <v>#REF!</v>
      </c>
      <c r="Q12" s="70"/>
      <c r="R12" s="67" t="e">
        <f>SUM(B12:P12)</f>
        <v>#REF!</v>
      </c>
    </row>
    <row r="13" spans="1:18" ht="12.75" x14ac:dyDescent="0.3">
      <c r="A13" s="68" t="s">
        <v>365</v>
      </c>
      <c r="B13" s="91" t="e">
        <f>IncomeStatement!#REF!</f>
        <v>#REF!</v>
      </c>
      <c r="C13" s="91" t="e">
        <f>IncomeStatement!#REF!</f>
        <v>#REF!</v>
      </c>
      <c r="D13" s="91" t="e">
        <f>IncomeStatement!#REF!</f>
        <v>#REF!</v>
      </c>
      <c r="E13" s="91" t="e">
        <f>IncomeStatement!#REF!</f>
        <v>#REF!</v>
      </c>
      <c r="F13" s="91" t="e">
        <f>IncomeStatement!#REF!</f>
        <v>#REF!</v>
      </c>
      <c r="G13" s="91" t="e">
        <f>IncomeStatement!#REF!</f>
        <v>#REF!</v>
      </c>
      <c r="H13" s="91" t="e">
        <f>IncomeStatement!#REF!</f>
        <v>#REF!</v>
      </c>
      <c r="I13" s="91" t="e">
        <f>IncomeStatement!#REF!</f>
        <v>#REF!</v>
      </c>
      <c r="J13" s="91" t="e">
        <f>IncomeStatement!#REF!</f>
        <v>#REF!</v>
      </c>
      <c r="K13" s="91" t="e">
        <f>IncomeStatement!#REF!</f>
        <v>#REF!</v>
      </c>
      <c r="L13" s="91" t="e">
        <f>IncomeStatement!#REF!</f>
        <v>#REF!</v>
      </c>
      <c r="M13" s="91" t="e">
        <f>IncomeStatement!#REF!</f>
        <v>#REF!</v>
      </c>
      <c r="N13" s="91" t="e">
        <f>IncomeStatement!#REF!</f>
        <v>#REF!</v>
      </c>
      <c r="O13" s="91" t="e">
        <f>IncomeStatement!#REF!</f>
        <v>#REF!</v>
      </c>
      <c r="P13" s="91" t="e">
        <f>IncomeStatement!#REF!</f>
        <v>#REF!</v>
      </c>
      <c r="Q13" s="70"/>
      <c r="R13" s="67" t="e">
        <f>SUM(B13:P13)</f>
        <v>#REF!</v>
      </c>
    </row>
    <row r="14" spans="1:18" x14ac:dyDescent="0.15">
      <c r="B14" s="67" t="e">
        <f>SUM(B12:B13)</f>
        <v>#REF!</v>
      </c>
      <c r="C14" s="67" t="e">
        <f t="shared" ref="C14:P14" si="2">SUM(C12:C13)</f>
        <v>#REF!</v>
      </c>
      <c r="D14" s="67" t="e">
        <f t="shared" si="2"/>
        <v>#REF!</v>
      </c>
      <c r="E14" s="67" t="e">
        <f t="shared" si="2"/>
        <v>#REF!</v>
      </c>
      <c r="F14" s="67" t="e">
        <f t="shared" si="2"/>
        <v>#REF!</v>
      </c>
      <c r="G14" s="67" t="e">
        <f t="shared" si="2"/>
        <v>#REF!</v>
      </c>
      <c r="H14" s="67" t="e">
        <f t="shared" si="2"/>
        <v>#REF!</v>
      </c>
      <c r="I14" s="67" t="e">
        <f t="shared" si="2"/>
        <v>#REF!</v>
      </c>
      <c r="J14" s="67" t="e">
        <f t="shared" si="2"/>
        <v>#REF!</v>
      </c>
      <c r="K14" s="67" t="e">
        <f t="shared" si="2"/>
        <v>#REF!</v>
      </c>
      <c r="L14" s="67" t="e">
        <f t="shared" si="2"/>
        <v>#REF!</v>
      </c>
      <c r="M14" s="67" t="e">
        <f t="shared" si="2"/>
        <v>#REF!</v>
      </c>
      <c r="N14" s="67" t="e">
        <f t="shared" si="2"/>
        <v>#REF!</v>
      </c>
      <c r="O14" s="67" t="e">
        <f t="shared" si="2"/>
        <v>#REF!</v>
      </c>
      <c r="P14" s="67" t="e">
        <f t="shared" si="2"/>
        <v>#REF!</v>
      </c>
      <c r="Q14" s="70"/>
      <c r="R14" s="67" t="e">
        <f>SUM(B14:P14)</f>
        <v>#REF!</v>
      </c>
    </row>
    <row r="15" spans="1:18" x14ac:dyDescent="0.15">
      <c r="A15" s="68" t="s">
        <v>167</v>
      </c>
      <c r="B15" s="67" t="e">
        <f>B10+B14</f>
        <v>#REF!</v>
      </c>
      <c r="C15" s="67" t="e">
        <f t="shared" ref="C15:P15" si="3">C10+C14</f>
        <v>#REF!</v>
      </c>
      <c r="D15" s="67" t="e">
        <f t="shared" si="3"/>
        <v>#REF!</v>
      </c>
      <c r="E15" s="67" t="e">
        <f t="shared" si="3"/>
        <v>#REF!</v>
      </c>
      <c r="F15" s="67" t="e">
        <f t="shared" si="3"/>
        <v>#REF!</v>
      </c>
      <c r="G15" s="67" t="e">
        <f t="shared" si="3"/>
        <v>#REF!</v>
      </c>
      <c r="H15" s="67" t="e">
        <f t="shared" si="3"/>
        <v>#REF!</v>
      </c>
      <c r="I15" s="67" t="e">
        <f t="shared" si="3"/>
        <v>#REF!</v>
      </c>
      <c r="J15" s="67" t="e">
        <f t="shared" si="3"/>
        <v>#REF!</v>
      </c>
      <c r="K15" s="67" t="e">
        <f t="shared" si="3"/>
        <v>#REF!</v>
      </c>
      <c r="L15" s="67" t="e">
        <f t="shared" si="3"/>
        <v>#REF!</v>
      </c>
      <c r="M15" s="67" t="e">
        <f t="shared" si="3"/>
        <v>#REF!</v>
      </c>
      <c r="N15" s="67" t="e">
        <f t="shared" si="3"/>
        <v>#REF!</v>
      </c>
      <c r="O15" s="67" t="e">
        <f t="shared" si="3"/>
        <v>#REF!</v>
      </c>
      <c r="P15" s="67" t="e">
        <f t="shared" si="3"/>
        <v>#REF!</v>
      </c>
      <c r="Q15" s="70"/>
      <c r="R15" s="67" t="e">
        <f>SUM(B15:P15)</f>
        <v>#REF!</v>
      </c>
    </row>
    <row r="16" spans="1:18" x14ac:dyDescent="0.15">
      <c r="A16" s="146" t="s">
        <v>498</v>
      </c>
      <c r="B16" s="67" t="e">
        <f>IncomeStatement!#REF!</f>
        <v>#REF!</v>
      </c>
      <c r="C16" s="67" t="e">
        <f>IncomeStatement!#REF!</f>
        <v>#REF!</v>
      </c>
      <c r="D16" s="67" t="e">
        <f>IncomeStatement!#REF!</f>
        <v>#REF!</v>
      </c>
      <c r="E16" s="67" t="e">
        <f>IncomeStatement!#REF!</f>
        <v>#REF!</v>
      </c>
      <c r="F16" s="67" t="e">
        <f>IncomeStatement!#REF!</f>
        <v>#REF!</v>
      </c>
      <c r="G16" s="67" t="e">
        <f>IncomeStatement!#REF!</f>
        <v>#REF!</v>
      </c>
      <c r="H16" s="67" t="e">
        <f>IncomeStatement!#REF!</f>
        <v>#REF!</v>
      </c>
      <c r="I16" s="67" t="e">
        <f>IncomeStatement!#REF!</f>
        <v>#REF!</v>
      </c>
      <c r="J16" s="67" t="e">
        <f>IncomeStatement!#REF!</f>
        <v>#REF!</v>
      </c>
      <c r="K16" s="67" t="e">
        <f>IncomeStatement!#REF!</f>
        <v>#REF!</v>
      </c>
      <c r="L16" s="67" t="e">
        <f>IncomeStatement!#REF!</f>
        <v>#REF!</v>
      </c>
      <c r="M16" s="67" t="e">
        <f>IncomeStatement!#REF!</f>
        <v>#REF!</v>
      </c>
      <c r="N16" s="67" t="e">
        <f>IncomeStatement!#REF!</f>
        <v>#REF!</v>
      </c>
      <c r="O16" s="67" t="e">
        <f>IncomeStatement!#REF!</f>
        <v>#REF!</v>
      </c>
      <c r="P16" s="67" t="e">
        <f>IncomeStatement!#REF!</f>
        <v>#REF!</v>
      </c>
      <c r="Q16" s="70"/>
      <c r="R16" s="67"/>
    </row>
    <row r="17" spans="1:18" x14ac:dyDescent="0.15">
      <c r="A17" s="68" t="s">
        <v>168</v>
      </c>
      <c r="B17" s="67" t="e">
        <f>IncomeStatement!#REF!</f>
        <v>#REF!</v>
      </c>
      <c r="C17" s="67" t="e">
        <f>IncomeStatement!#REF!</f>
        <v>#REF!</v>
      </c>
      <c r="D17" s="67" t="e">
        <f>IncomeStatement!#REF!</f>
        <v>#REF!</v>
      </c>
      <c r="E17" s="67" t="e">
        <f>IncomeStatement!#REF!</f>
        <v>#REF!</v>
      </c>
      <c r="F17" s="67" t="e">
        <f>IncomeStatement!#REF!</f>
        <v>#REF!</v>
      </c>
      <c r="G17" s="67" t="e">
        <f>IncomeStatement!#REF!</f>
        <v>#REF!</v>
      </c>
      <c r="H17" s="67" t="e">
        <f>IncomeStatement!#REF!</f>
        <v>#REF!</v>
      </c>
      <c r="I17" s="67" t="e">
        <f>IncomeStatement!#REF!</f>
        <v>#REF!</v>
      </c>
      <c r="J17" s="67" t="e">
        <f>IncomeStatement!#REF!</f>
        <v>#REF!</v>
      </c>
      <c r="K17" s="67" t="e">
        <f>IncomeStatement!#REF!</f>
        <v>#REF!</v>
      </c>
      <c r="L17" s="67" t="e">
        <f>IncomeStatement!#REF!</f>
        <v>#REF!</v>
      </c>
      <c r="M17" s="67" t="e">
        <f>IncomeStatement!#REF!</f>
        <v>#REF!</v>
      </c>
      <c r="N17" s="67" t="e">
        <f>IncomeStatement!#REF!</f>
        <v>#REF!</v>
      </c>
      <c r="O17" s="67" t="e">
        <f>IncomeStatement!#REF!</f>
        <v>#REF!</v>
      </c>
      <c r="P17" s="67" t="e">
        <f>IncomeStatement!#REF!</f>
        <v>#REF!</v>
      </c>
      <c r="Q17" s="70"/>
      <c r="R17" s="67" t="e">
        <f>SUM(B17:P17)</f>
        <v>#REF!</v>
      </c>
    </row>
    <row r="18" spans="1:18" x14ac:dyDescent="0.15">
      <c r="A18" s="68" t="s">
        <v>169</v>
      </c>
      <c r="B18" s="67" t="e">
        <f>B15+B17</f>
        <v>#REF!</v>
      </c>
      <c r="C18" s="67" t="e">
        <f t="shared" ref="C18:P18" si="4">C15+C17</f>
        <v>#REF!</v>
      </c>
      <c r="D18" s="67" t="e">
        <f t="shared" si="4"/>
        <v>#REF!</v>
      </c>
      <c r="E18" s="67" t="e">
        <f t="shared" si="4"/>
        <v>#REF!</v>
      </c>
      <c r="F18" s="67" t="e">
        <f t="shared" si="4"/>
        <v>#REF!</v>
      </c>
      <c r="G18" s="67" t="e">
        <f t="shared" si="4"/>
        <v>#REF!</v>
      </c>
      <c r="H18" s="67" t="e">
        <f t="shared" si="4"/>
        <v>#REF!</v>
      </c>
      <c r="I18" s="67" t="e">
        <f t="shared" si="4"/>
        <v>#REF!</v>
      </c>
      <c r="J18" s="67" t="e">
        <f t="shared" si="4"/>
        <v>#REF!</v>
      </c>
      <c r="K18" s="67" t="e">
        <f t="shared" si="4"/>
        <v>#REF!</v>
      </c>
      <c r="L18" s="67" t="e">
        <f t="shared" si="4"/>
        <v>#REF!</v>
      </c>
      <c r="M18" s="67" t="e">
        <f t="shared" si="4"/>
        <v>#REF!</v>
      </c>
      <c r="N18" s="67" t="e">
        <f t="shared" si="4"/>
        <v>#REF!</v>
      </c>
      <c r="O18" s="67" t="e">
        <f t="shared" si="4"/>
        <v>#REF!</v>
      </c>
      <c r="P18" s="67" t="e">
        <f t="shared" si="4"/>
        <v>#REF!</v>
      </c>
      <c r="Q18" s="70"/>
      <c r="R18" s="67" t="e">
        <f>SUM(B18:P18)</f>
        <v>#REF!</v>
      </c>
    </row>
    <row r="19" spans="1:18" x14ac:dyDescent="0.15">
      <c r="A19" s="68" t="s">
        <v>170</v>
      </c>
      <c r="B19" s="67" t="e">
        <f>IncomeStatement!#REF!</f>
        <v>#REF!</v>
      </c>
      <c r="C19" s="67" t="e">
        <f>IncomeStatement!#REF!</f>
        <v>#REF!</v>
      </c>
      <c r="D19" s="67" t="e">
        <f>IncomeStatement!#REF!</f>
        <v>#REF!</v>
      </c>
      <c r="E19" s="67" t="e">
        <f>IncomeStatement!#REF!</f>
        <v>#REF!</v>
      </c>
      <c r="F19" s="67" t="e">
        <f>IncomeStatement!#REF!</f>
        <v>#REF!</v>
      </c>
      <c r="G19" s="67" t="e">
        <f>IncomeStatement!#REF!</f>
        <v>#REF!</v>
      </c>
      <c r="H19" s="67" t="e">
        <f>IncomeStatement!#REF!</f>
        <v>#REF!</v>
      </c>
      <c r="I19" s="67" t="e">
        <f>IncomeStatement!#REF!</f>
        <v>#REF!</v>
      </c>
      <c r="J19" s="67" t="e">
        <f>IncomeStatement!#REF!</f>
        <v>#REF!</v>
      </c>
      <c r="K19" s="67" t="e">
        <f>IncomeStatement!#REF!</f>
        <v>#REF!</v>
      </c>
      <c r="L19" s="67" t="e">
        <f>IncomeStatement!#REF!</f>
        <v>#REF!</v>
      </c>
      <c r="M19" s="67" t="e">
        <f>IncomeStatement!#REF!</f>
        <v>#REF!</v>
      </c>
      <c r="N19" s="67" t="e">
        <f>IncomeStatement!#REF!</f>
        <v>#REF!</v>
      </c>
      <c r="O19" s="67" t="e">
        <f>IncomeStatement!#REF!</f>
        <v>#REF!</v>
      </c>
      <c r="P19" s="67" t="e">
        <f>IncomeStatement!#REF!</f>
        <v>#REF!</v>
      </c>
      <c r="Q19" s="70"/>
      <c r="R19" s="67" t="e">
        <f>SUM(B19:P19)</f>
        <v>#REF!</v>
      </c>
    </row>
    <row r="20" spans="1:18" x14ac:dyDescent="0.15">
      <c r="A20" s="68" t="s">
        <v>171</v>
      </c>
      <c r="B20" s="67" t="e">
        <f>B18+B19</f>
        <v>#REF!</v>
      </c>
      <c r="C20" s="67" t="e">
        <f t="shared" ref="C20:P20" si="5">C18+C19</f>
        <v>#REF!</v>
      </c>
      <c r="D20" s="67" t="e">
        <f t="shared" si="5"/>
        <v>#REF!</v>
      </c>
      <c r="E20" s="67" t="e">
        <f t="shared" si="5"/>
        <v>#REF!</v>
      </c>
      <c r="F20" s="67" t="e">
        <f t="shared" si="5"/>
        <v>#REF!</v>
      </c>
      <c r="G20" s="67" t="e">
        <f t="shared" si="5"/>
        <v>#REF!</v>
      </c>
      <c r="H20" s="67" t="e">
        <f t="shared" si="5"/>
        <v>#REF!</v>
      </c>
      <c r="I20" s="67" t="e">
        <f t="shared" si="5"/>
        <v>#REF!</v>
      </c>
      <c r="J20" s="67" t="e">
        <f t="shared" si="5"/>
        <v>#REF!</v>
      </c>
      <c r="K20" s="67" t="e">
        <f t="shared" si="5"/>
        <v>#REF!</v>
      </c>
      <c r="L20" s="67" t="e">
        <f t="shared" si="5"/>
        <v>#REF!</v>
      </c>
      <c r="M20" s="67" t="e">
        <f t="shared" si="5"/>
        <v>#REF!</v>
      </c>
      <c r="N20" s="67" t="e">
        <f t="shared" si="5"/>
        <v>#REF!</v>
      </c>
      <c r="O20" s="67" t="e">
        <f t="shared" si="5"/>
        <v>#REF!</v>
      </c>
      <c r="P20" s="67" t="e">
        <f t="shared" si="5"/>
        <v>#REF!</v>
      </c>
      <c r="Q20" s="70"/>
      <c r="R20" s="67" t="e">
        <f>SUM(B20:P20)</f>
        <v>#REF!</v>
      </c>
    </row>
    <row r="21" spans="1:18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7"/>
      <c r="M21" s="77"/>
      <c r="N21" s="70"/>
      <c r="O21" s="77"/>
      <c r="P21" s="77"/>
      <c r="Q21" s="70"/>
      <c r="R21" s="77"/>
    </row>
    <row r="22" spans="1:18" x14ac:dyDescent="0.15">
      <c r="L22" s="67"/>
      <c r="O22" s="67"/>
      <c r="P22" s="67"/>
    </row>
    <row r="23" spans="1:18" x14ac:dyDescent="0.15">
      <c r="C23" s="67"/>
      <c r="L23" s="67"/>
      <c r="M23" s="67"/>
      <c r="O23" s="67"/>
      <c r="P23" s="67"/>
    </row>
    <row r="24" spans="1:18" x14ac:dyDescent="0.15">
      <c r="L24" s="67"/>
      <c r="M24" s="67"/>
      <c r="O24" s="67"/>
      <c r="P24" s="67"/>
    </row>
    <row r="25" spans="1:18" x14ac:dyDescent="0.15">
      <c r="L25" s="67"/>
      <c r="M25" s="67"/>
      <c r="N25" s="67"/>
      <c r="O25" s="67"/>
      <c r="P25" s="67"/>
    </row>
    <row r="26" spans="1:18" x14ac:dyDescent="0.15">
      <c r="L26" s="67"/>
    </row>
    <row r="27" spans="1:18" x14ac:dyDescent="0.15">
      <c r="L27" s="6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2"/>
  <sheetViews>
    <sheetView showGridLines="0" workbookViewId="0">
      <selection activeCell="V32" sqref="V32"/>
    </sheetView>
  </sheetViews>
  <sheetFormatPr defaultColWidth="9" defaultRowHeight="10.5" customHeight="1" x14ac:dyDescent="0.25"/>
  <cols>
    <col min="1" max="1" width="24.25" style="72" customWidth="1"/>
    <col min="2" max="3" width="5.25" style="72" bestFit="1" customWidth="1"/>
    <col min="4" max="18" width="6" style="72" bestFit="1" customWidth="1"/>
    <col min="19" max="16384" width="9" style="72"/>
  </cols>
  <sheetData>
    <row r="1" spans="1:18" x14ac:dyDescent="0.25">
      <c r="A1" s="85" t="str">
        <f>ProjectValuation!A1</f>
        <v>Bisnis Truk Thermoking</v>
      </c>
    </row>
    <row r="2" spans="1:18" x14ac:dyDescent="0.25">
      <c r="A2" s="85" t="str">
        <f>ProjectValuation!A2</f>
        <v>Financial Pre-Feasibility Study</v>
      </c>
    </row>
    <row r="3" spans="1:18" x14ac:dyDescent="0.25">
      <c r="A3" s="79" t="s">
        <v>268</v>
      </c>
    </row>
    <row r="6" spans="1:18" ht="10.5" customHeight="1" x14ac:dyDescent="0.15">
      <c r="A6" s="68" t="s">
        <v>388</v>
      </c>
    </row>
    <row r="7" spans="1:18" ht="20.100000000000001" customHeight="1" x14ac:dyDescent="0.25">
      <c r="A7" s="74" t="s">
        <v>238</v>
      </c>
      <c r="B7" s="75">
        <v>-1</v>
      </c>
      <c r="C7" s="75">
        <v>0</v>
      </c>
      <c r="D7" s="75">
        <v>1</v>
      </c>
      <c r="E7" s="75">
        <f>D7+1</f>
        <v>2</v>
      </c>
      <c r="F7" s="75">
        <f t="shared" ref="F7:R7" si="0">E7+1</f>
        <v>3</v>
      </c>
      <c r="G7" s="75">
        <f t="shared" si="0"/>
        <v>4</v>
      </c>
      <c r="H7" s="75">
        <f t="shared" si="0"/>
        <v>5</v>
      </c>
      <c r="I7" s="75">
        <f t="shared" si="0"/>
        <v>6</v>
      </c>
      <c r="J7" s="75">
        <f t="shared" si="0"/>
        <v>7</v>
      </c>
      <c r="K7" s="75">
        <f t="shared" si="0"/>
        <v>8</v>
      </c>
      <c r="L7" s="75">
        <f t="shared" si="0"/>
        <v>9</v>
      </c>
      <c r="M7" s="75">
        <f t="shared" si="0"/>
        <v>10</v>
      </c>
      <c r="N7" s="75">
        <f t="shared" si="0"/>
        <v>11</v>
      </c>
      <c r="O7" s="75">
        <f>N7+1</f>
        <v>12</v>
      </c>
      <c r="P7" s="75">
        <f t="shared" si="0"/>
        <v>13</v>
      </c>
      <c r="Q7" s="75">
        <f t="shared" si="0"/>
        <v>14</v>
      </c>
      <c r="R7" s="75">
        <f t="shared" si="0"/>
        <v>15</v>
      </c>
    </row>
    <row r="8" spans="1:18" ht="10.5" customHeight="1" x14ac:dyDescent="0.25">
      <c r="A8" s="72" t="s">
        <v>240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</row>
    <row r="9" spans="1:18" ht="10.5" customHeight="1" x14ac:dyDescent="0.25">
      <c r="A9" s="80" t="s">
        <v>246</v>
      </c>
      <c r="B9" s="73"/>
      <c r="C9" s="73"/>
      <c r="D9" s="73">
        <f>CashFlow!C10/10^6</f>
        <v>3456</v>
      </c>
      <c r="E9" s="73">
        <f>CashFlow!D10/10^6</f>
        <v>3525.12</v>
      </c>
      <c r="F9" s="73">
        <f>CashFlow!E10/10^6</f>
        <v>3595.6224000000002</v>
      </c>
      <c r="G9" s="73">
        <f>CashFlow!F10/10^6</f>
        <v>3667.5348479999998</v>
      </c>
      <c r="H9" s="73" t="e">
        <f>CashFlow!#REF!/10^6</f>
        <v>#REF!</v>
      </c>
      <c r="I9" s="73" t="e">
        <f>CashFlow!#REF!/10^6</f>
        <v>#REF!</v>
      </c>
      <c r="J9" s="73" t="e">
        <f>CashFlow!#REF!/10^6</f>
        <v>#REF!</v>
      </c>
      <c r="K9" s="73" t="e">
        <f>CashFlow!#REF!/10^6</f>
        <v>#REF!</v>
      </c>
      <c r="L9" s="73" t="e">
        <f>CashFlow!#REF!/10^6</f>
        <v>#REF!</v>
      </c>
      <c r="M9" s="73" t="e">
        <f>CashFlow!#REF!/10^6</f>
        <v>#REF!</v>
      </c>
      <c r="N9" s="73" t="e">
        <f>CashFlow!#REF!/10^6</f>
        <v>#REF!</v>
      </c>
      <c r="O9" s="73" t="e">
        <f>CashFlow!#REF!/10^6</f>
        <v>#REF!</v>
      </c>
      <c r="P9" s="73" t="e">
        <f>CashFlow!#REF!/10^6</f>
        <v>#REF!</v>
      </c>
      <c r="Q9" s="73" t="e">
        <f>CashFlow!#REF!/10^6</f>
        <v>#REF!</v>
      </c>
      <c r="R9" s="73" t="e">
        <f>CashFlow!#REF!/10^6</f>
        <v>#REF!</v>
      </c>
    </row>
    <row r="10" spans="1:18" ht="10.5" customHeight="1" x14ac:dyDescent="0.25">
      <c r="A10" s="155" t="s">
        <v>497</v>
      </c>
      <c r="B10" s="73"/>
      <c r="C10" s="73"/>
      <c r="D10" s="73" t="e">
        <f>CashFlow!#REF!/10^6</f>
        <v>#REF!</v>
      </c>
      <c r="E10" s="73" t="e">
        <f>CashFlow!#REF!/10^6</f>
        <v>#REF!</v>
      </c>
      <c r="F10" s="73" t="e">
        <f>CashFlow!#REF!/10^6</f>
        <v>#REF!</v>
      </c>
      <c r="G10" s="73" t="e">
        <f>CashFlow!#REF!/10^6</f>
        <v>#REF!</v>
      </c>
      <c r="H10" s="73" t="e">
        <f>CashFlow!#REF!/10^6</f>
        <v>#REF!</v>
      </c>
      <c r="I10" s="73" t="e">
        <f>CashFlow!#REF!/10^6</f>
        <v>#REF!</v>
      </c>
      <c r="J10" s="73" t="e">
        <f>CashFlow!#REF!/10^6</f>
        <v>#REF!</v>
      </c>
      <c r="K10" s="73" t="e">
        <f>CashFlow!#REF!/10^6</f>
        <v>#REF!</v>
      </c>
      <c r="L10" s="73" t="e">
        <f>CashFlow!#REF!/10^6</f>
        <v>#REF!</v>
      </c>
      <c r="M10" s="73" t="e">
        <f>CashFlow!#REF!/10^6</f>
        <v>#REF!</v>
      </c>
      <c r="N10" s="73" t="e">
        <f>CashFlow!#REF!/10^6</f>
        <v>#REF!</v>
      </c>
      <c r="O10" s="73" t="e">
        <f>CashFlow!#REF!/10^6</f>
        <v>#REF!</v>
      </c>
      <c r="P10" s="73" t="e">
        <f>CashFlow!#REF!/10^6</f>
        <v>#REF!</v>
      </c>
      <c r="Q10" s="73" t="e">
        <f>CashFlow!#REF!/10^6</f>
        <v>#REF!</v>
      </c>
      <c r="R10" s="73" t="e">
        <f>CashFlow!#REF!/10^6</f>
        <v>#REF!</v>
      </c>
    </row>
    <row r="11" spans="1:18" ht="10.5" customHeight="1" x14ac:dyDescent="0.25">
      <c r="A11" s="80" t="s">
        <v>247</v>
      </c>
      <c r="B11" s="73"/>
      <c r="C11" s="73"/>
      <c r="D11" s="73">
        <f>CashFlow!C13/10^6</f>
        <v>-2604.0832</v>
      </c>
      <c r="E11" s="73" t="e">
        <f>CashFlow!#REF!/10^6</f>
        <v>#REF!</v>
      </c>
      <c r="F11" s="73" t="e">
        <f>CashFlow!#REF!/10^6</f>
        <v>#REF!</v>
      </c>
      <c r="G11" s="73" t="e">
        <f>CashFlow!#REF!/10^6</f>
        <v>#REF!</v>
      </c>
      <c r="H11" s="73" t="e">
        <f>CashFlow!#REF!/10^6</f>
        <v>#REF!</v>
      </c>
      <c r="I11" s="73" t="e">
        <f>CashFlow!#REF!/10^6</f>
        <v>#REF!</v>
      </c>
      <c r="J11" s="73" t="e">
        <f>CashFlow!#REF!/10^6</f>
        <v>#REF!</v>
      </c>
      <c r="K11" s="73" t="e">
        <f>CashFlow!#REF!/10^6</f>
        <v>#REF!</v>
      </c>
      <c r="L11" s="73" t="e">
        <f>CashFlow!#REF!/10^6</f>
        <v>#REF!</v>
      </c>
      <c r="M11" s="73" t="e">
        <f>CashFlow!#REF!/10^6</f>
        <v>#REF!</v>
      </c>
      <c r="N11" s="73" t="e">
        <f>CashFlow!#REF!/10^6</f>
        <v>#REF!</v>
      </c>
      <c r="O11" s="73" t="e">
        <f>CashFlow!#REF!/10^6</f>
        <v>#REF!</v>
      </c>
      <c r="P11" s="73" t="e">
        <f>CashFlow!#REF!/10^6</f>
        <v>#REF!</v>
      </c>
      <c r="Q11" s="73" t="e">
        <f>CashFlow!#REF!/10^6</f>
        <v>#REF!</v>
      </c>
      <c r="R11" s="73" t="e">
        <f>CashFlow!#REF!/10^6</f>
        <v>#REF!</v>
      </c>
    </row>
    <row r="12" spans="1:18" ht="10.5" customHeight="1" x14ac:dyDescent="0.25">
      <c r="A12" s="81" t="s">
        <v>367</v>
      </c>
      <c r="B12" s="73"/>
      <c r="C12" s="73"/>
      <c r="D12" s="73" t="e">
        <f>CashFlow!#REF!/10^6</f>
        <v>#REF!</v>
      </c>
      <c r="E12" s="73" t="e">
        <f>CashFlow!#REF!/10^6</f>
        <v>#REF!</v>
      </c>
      <c r="F12" s="73" t="e">
        <f>CashFlow!#REF!/10^6</f>
        <v>#REF!</v>
      </c>
      <c r="G12" s="73" t="e">
        <f>CashFlow!#REF!/10^6</f>
        <v>#REF!</v>
      </c>
      <c r="H12" s="73" t="e">
        <f>CashFlow!#REF!/10^6</f>
        <v>#REF!</v>
      </c>
      <c r="I12" s="73" t="e">
        <f>CashFlow!#REF!/10^6</f>
        <v>#REF!</v>
      </c>
      <c r="J12" s="73" t="e">
        <f>CashFlow!#REF!/10^6</f>
        <v>#REF!</v>
      </c>
      <c r="K12" s="73" t="e">
        <f>CashFlow!#REF!/10^6</f>
        <v>#REF!</v>
      </c>
      <c r="L12" s="73" t="e">
        <f>CashFlow!#REF!/10^6</f>
        <v>#REF!</v>
      </c>
      <c r="M12" s="73" t="e">
        <f>CashFlow!#REF!/10^6</f>
        <v>#REF!</v>
      </c>
      <c r="N12" s="73" t="e">
        <f>CashFlow!#REF!/10^6</f>
        <v>#REF!</v>
      </c>
      <c r="O12" s="73" t="e">
        <f>CashFlow!#REF!/10^6</f>
        <v>#REF!</v>
      </c>
      <c r="P12" s="73" t="e">
        <f>CashFlow!#REF!/10^6</f>
        <v>#REF!</v>
      </c>
      <c r="Q12" s="73" t="e">
        <f>CashFlow!#REF!/10^6</f>
        <v>#REF!</v>
      </c>
      <c r="R12" s="73" t="e">
        <f>CashFlow!#REF!/10^6</f>
        <v>#REF!</v>
      </c>
    </row>
    <row r="13" spans="1:18" ht="10.5" customHeight="1" x14ac:dyDescent="0.25">
      <c r="A13" s="81" t="s">
        <v>368</v>
      </c>
      <c r="B13" s="73"/>
      <c r="C13" s="73"/>
      <c r="D13" s="73" t="e">
        <f>CashFlow!#REF!/10^6</f>
        <v>#REF!</v>
      </c>
      <c r="E13" s="73" t="e">
        <f>CashFlow!#REF!/10^6</f>
        <v>#REF!</v>
      </c>
      <c r="F13" s="73" t="e">
        <f>CashFlow!#REF!/10^6</f>
        <v>#REF!</v>
      </c>
      <c r="G13" s="73" t="e">
        <f>CashFlow!#REF!/10^6</f>
        <v>#REF!</v>
      </c>
      <c r="H13" s="73" t="e">
        <f>CashFlow!#REF!/10^6</f>
        <v>#REF!</v>
      </c>
      <c r="I13" s="73" t="e">
        <f>CashFlow!#REF!/10^6</f>
        <v>#REF!</v>
      </c>
      <c r="J13" s="73" t="e">
        <f>CashFlow!#REF!/10^6</f>
        <v>#REF!</v>
      </c>
      <c r="K13" s="73" t="e">
        <f>CashFlow!#REF!/10^6</f>
        <v>#REF!</v>
      </c>
      <c r="L13" s="73" t="e">
        <f>CashFlow!#REF!/10^6</f>
        <v>#REF!</v>
      </c>
      <c r="M13" s="73" t="e">
        <f>CashFlow!#REF!/10^6</f>
        <v>#REF!</v>
      </c>
      <c r="N13" s="73" t="e">
        <f>CashFlow!#REF!/10^6</f>
        <v>#REF!</v>
      </c>
      <c r="O13" s="73" t="e">
        <f>CashFlow!#REF!/10^6</f>
        <v>#REF!</v>
      </c>
      <c r="P13" s="73" t="e">
        <f>CashFlow!#REF!/10^6</f>
        <v>#REF!</v>
      </c>
      <c r="Q13" s="73" t="e">
        <f>CashFlow!#REF!/10^6</f>
        <v>#REF!</v>
      </c>
      <c r="R13" s="73" t="e">
        <f>CashFlow!#REF!/10^6</f>
        <v>#REF!</v>
      </c>
    </row>
    <row r="14" spans="1:18" ht="10.5" customHeight="1" x14ac:dyDescent="0.25">
      <c r="A14" s="81" t="s">
        <v>248</v>
      </c>
      <c r="B14" s="73"/>
      <c r="C14" s="73"/>
      <c r="D14" s="92">
        <f>CashFlow!C15/10^6</f>
        <v>-37.703218960000001</v>
      </c>
      <c r="E14" s="92">
        <f>CashFlow!D15/10^6</f>
        <v>-80.081982640000007</v>
      </c>
      <c r="F14" s="92">
        <f>CashFlow!E15/10^6</f>
        <v>-82.873856137599986</v>
      </c>
      <c r="G14" s="92">
        <f>CashFlow!F15/10^6</f>
        <v>-85.721567105151976</v>
      </c>
      <c r="H14" s="92">
        <f>CashFlow!G15/10^6</f>
        <v>-88.626232292055064</v>
      </c>
      <c r="I14" s="92">
        <f>CashFlow!H15/10^6</f>
        <v>-107.08526542269612</v>
      </c>
      <c r="J14" s="92">
        <f>CashFlow!I15/10^6</f>
        <v>-109.96312769115005</v>
      </c>
      <c r="K14" s="92">
        <f>CashFlow!J15/10^6</f>
        <v>-112.89854720497307</v>
      </c>
      <c r="L14" s="92">
        <f>CashFlow!K15/10^6</f>
        <v>-115.89267510907251</v>
      </c>
      <c r="M14" s="92">
        <f>CashFlow!L15/10^6</f>
        <v>-118.94668557125398</v>
      </c>
      <c r="N14" s="92" t="e">
        <f>CashFlow!#REF!/10^6</f>
        <v>#REF!</v>
      </c>
      <c r="O14" s="92" t="e">
        <f>CashFlow!#REF!/10^6</f>
        <v>#REF!</v>
      </c>
      <c r="P14" s="92" t="e">
        <f>CashFlow!#REF!/10^6</f>
        <v>#REF!</v>
      </c>
      <c r="Q14" s="92" t="e">
        <f>CashFlow!#REF!/10^6</f>
        <v>#REF!</v>
      </c>
      <c r="R14" s="92" t="e">
        <f>CashFlow!#REF!/10^6</f>
        <v>#REF!</v>
      </c>
    </row>
    <row r="15" spans="1:18" ht="10.5" customHeight="1" x14ac:dyDescent="0.25">
      <c r="A15" s="78" t="s">
        <v>239</v>
      </c>
      <c r="D15" s="73" t="e">
        <f>SUM(D9:D14)</f>
        <v>#REF!</v>
      </c>
      <c r="E15" s="73" t="e">
        <f t="shared" ref="E15:R15" si="1">SUM(E9:E14)</f>
        <v>#REF!</v>
      </c>
      <c r="F15" s="73" t="e">
        <f t="shared" si="1"/>
        <v>#REF!</v>
      </c>
      <c r="G15" s="73" t="e">
        <f t="shared" si="1"/>
        <v>#REF!</v>
      </c>
      <c r="H15" s="73" t="e">
        <f t="shared" si="1"/>
        <v>#REF!</v>
      </c>
      <c r="I15" s="73" t="e">
        <f t="shared" si="1"/>
        <v>#REF!</v>
      </c>
      <c r="J15" s="73" t="e">
        <f t="shared" si="1"/>
        <v>#REF!</v>
      </c>
      <c r="K15" s="73" t="e">
        <f t="shared" si="1"/>
        <v>#REF!</v>
      </c>
      <c r="L15" s="73" t="e">
        <f t="shared" si="1"/>
        <v>#REF!</v>
      </c>
      <c r="M15" s="73" t="e">
        <f t="shared" si="1"/>
        <v>#REF!</v>
      </c>
      <c r="N15" s="73" t="e">
        <f t="shared" si="1"/>
        <v>#REF!</v>
      </c>
      <c r="O15" s="73" t="e">
        <f t="shared" si="1"/>
        <v>#REF!</v>
      </c>
      <c r="P15" s="73" t="e">
        <f t="shared" si="1"/>
        <v>#REF!</v>
      </c>
      <c r="Q15" s="73" t="e">
        <f t="shared" si="1"/>
        <v>#REF!</v>
      </c>
      <c r="R15" s="73" t="e">
        <f t="shared" si="1"/>
        <v>#REF!</v>
      </c>
    </row>
    <row r="16" spans="1:18" ht="10.5" customHeight="1" x14ac:dyDescent="0.2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1:18" ht="10.5" customHeight="1" x14ac:dyDescent="0.25">
      <c r="A17" s="72" t="s">
        <v>241</v>
      </c>
    </row>
    <row r="18" spans="1:18" ht="10.5" customHeight="1" x14ac:dyDescent="0.25">
      <c r="A18" s="72" t="s">
        <v>250</v>
      </c>
      <c r="B18" s="73" t="e">
        <f>CashFlow!#REF!/10^6</f>
        <v>#REF!</v>
      </c>
      <c r="C18" s="73">
        <f>CashFlow!B19/10^6</f>
        <v>3276.1680000000001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</row>
    <row r="19" spans="1:18" ht="10.5" customHeight="1" x14ac:dyDescent="0.25">
      <c r="A19" s="72" t="s">
        <v>263</v>
      </c>
      <c r="B19" s="92" t="e">
        <f>CashFlow!#REF!/10^6</f>
        <v>#REF!</v>
      </c>
      <c r="C19" s="92">
        <f>CashFlow!B20/10^6</f>
        <v>537.14959999999996</v>
      </c>
      <c r="D19" s="92">
        <f>CashFlow!C20/1000</f>
        <v>0</v>
      </c>
      <c r="E19" s="92">
        <f>CashFlow!D20/1000</f>
        <v>0</v>
      </c>
      <c r="F19" s="92">
        <f>CashFlow!E20/1000</f>
        <v>0</v>
      </c>
      <c r="G19" s="92">
        <f>CashFlow!F20/1000</f>
        <v>0</v>
      </c>
      <c r="H19" s="92"/>
      <c r="I19" s="92"/>
      <c r="J19" s="92"/>
      <c r="K19" s="92"/>
      <c r="L19" s="93"/>
      <c r="M19" s="93"/>
      <c r="N19" s="93"/>
      <c r="O19" s="93"/>
      <c r="P19" s="93"/>
      <c r="Q19" s="93"/>
      <c r="R19" s="93"/>
    </row>
    <row r="20" spans="1:18" ht="10.5" customHeight="1" x14ac:dyDescent="0.25">
      <c r="B20" s="73" t="e">
        <f t="shared" ref="B20:G20" si="2">SUM(B18:B19)</f>
        <v>#REF!</v>
      </c>
      <c r="C20" s="73">
        <f t="shared" si="2"/>
        <v>3813.3176000000003</v>
      </c>
      <c r="D20" s="73">
        <f t="shared" si="2"/>
        <v>0</v>
      </c>
      <c r="E20" s="73">
        <f t="shared" si="2"/>
        <v>0</v>
      </c>
      <c r="F20" s="73">
        <f t="shared" si="2"/>
        <v>0</v>
      </c>
      <c r="G20" s="73">
        <f t="shared" si="2"/>
        <v>0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</row>
    <row r="21" spans="1:18" ht="10.5" customHeight="1" x14ac:dyDescent="0.25"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 spans="1:18" ht="10.5" customHeight="1" x14ac:dyDescent="0.25">
      <c r="A22" s="72" t="s">
        <v>242</v>
      </c>
    </row>
    <row r="23" spans="1:18" ht="10.5" customHeight="1" x14ac:dyDescent="0.25">
      <c r="A23" s="83" t="s">
        <v>243</v>
      </c>
      <c r="B23" s="73" t="e">
        <f>CashFlow!#REF!/10^6</f>
        <v>#REF!</v>
      </c>
      <c r="C23" s="73">
        <f>CashFlow!B24/10^6</f>
        <v>-3276.1680000000001</v>
      </c>
      <c r="D23" s="73">
        <f>CashFlow!C24/10^6</f>
        <v>0</v>
      </c>
      <c r="E23" s="73">
        <f>CashFlow!D24/10^6</f>
        <v>0</v>
      </c>
      <c r="F23" s="73">
        <f>CashFlow!E24/10^6</f>
        <v>0</v>
      </c>
      <c r="G23" s="73">
        <f>CashFlow!F24/10^6</f>
        <v>0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</row>
    <row r="24" spans="1:18" ht="10.5" customHeight="1" x14ac:dyDescent="0.25">
      <c r="A24" s="72" t="s">
        <v>235</v>
      </c>
      <c r="B24" s="73" t="e">
        <f>CashFlow!#REF!/10^6</f>
        <v>#REF!</v>
      </c>
      <c r="C24" s="73" t="e">
        <f>CashFlow!#REF!/10^6</f>
        <v>#REF!</v>
      </c>
      <c r="D24" s="73" t="e">
        <f>CashFlow!#REF!/10^6</f>
        <v>#REF!</v>
      </c>
      <c r="E24" s="73" t="e">
        <f>CashFlow!#REF!/10^6</f>
        <v>#REF!</v>
      </c>
      <c r="F24" s="73" t="e">
        <f>CashFlow!#REF!/10^6</f>
        <v>#REF!</v>
      </c>
      <c r="G24" s="73" t="e">
        <f>CashFlow!#REF!/10^6</f>
        <v>#REF!</v>
      </c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0.5" customHeight="1" x14ac:dyDescent="0.25">
      <c r="A25" s="83" t="s">
        <v>245</v>
      </c>
      <c r="B25" s="73"/>
      <c r="C25" s="73"/>
      <c r="D25" s="73" t="e">
        <f>CashFlow!#REF!/10^6</f>
        <v>#REF!</v>
      </c>
      <c r="E25" s="73" t="e">
        <f>CashFlow!#REF!/10^6</f>
        <v>#REF!</v>
      </c>
      <c r="F25" s="73" t="e">
        <f>CashFlow!#REF!/10^6</f>
        <v>#REF!</v>
      </c>
      <c r="G25" s="73" t="e">
        <f>CashFlow!#REF!/10^6</f>
        <v>#REF!</v>
      </c>
      <c r="H25" s="73" t="e">
        <f>CashFlow!#REF!/10^6</f>
        <v>#REF!</v>
      </c>
      <c r="I25" s="73" t="e">
        <f>CashFlow!#REF!/10^6</f>
        <v>#REF!</v>
      </c>
      <c r="J25" s="73" t="e">
        <f>CashFlow!#REF!/10^6</f>
        <v>#REF!</v>
      </c>
      <c r="K25" s="73" t="e">
        <f>CashFlow!#REF!/10^6</f>
        <v>#REF!</v>
      </c>
      <c r="L25" s="73" t="e">
        <f>CashFlow!#REF!/10^6</f>
        <v>#REF!</v>
      </c>
      <c r="M25" s="73" t="e">
        <f>CashFlow!#REF!/10^6</f>
        <v>#REF!</v>
      </c>
      <c r="N25" s="73" t="e">
        <f>CashFlow!#REF!/10^6</f>
        <v>#REF!</v>
      </c>
      <c r="O25" s="73" t="e">
        <f>CashFlow!#REF!/10^6</f>
        <v>#REF!</v>
      </c>
      <c r="P25" s="73" t="e">
        <f>CashFlow!#REF!/10^6</f>
        <v>#REF!</v>
      </c>
      <c r="Q25" s="73" t="e">
        <f>CashFlow!#REF!/10^6</f>
        <v>#REF!</v>
      </c>
      <c r="R25" s="73" t="e">
        <f>CashFlow!#REF!/10^6</f>
        <v>#REF!</v>
      </c>
    </row>
    <row r="26" spans="1:18" ht="10.5" customHeight="1" x14ac:dyDescent="0.25">
      <c r="A26" s="83" t="s">
        <v>244</v>
      </c>
      <c r="B26" s="92"/>
      <c r="C26" s="92"/>
      <c r="D26" s="92" t="e">
        <f>CashFlow!#REF!/10^6</f>
        <v>#REF!</v>
      </c>
      <c r="E26" s="92" t="e">
        <f>CashFlow!#REF!/10^6</f>
        <v>#REF!</v>
      </c>
      <c r="F26" s="92" t="e">
        <f>CashFlow!#REF!/10^6</f>
        <v>#REF!</v>
      </c>
      <c r="G26" s="92" t="e">
        <f>CashFlow!#REF!/10^6</f>
        <v>#REF!</v>
      </c>
      <c r="H26" s="92" t="e">
        <f>CashFlow!#REF!/10^6</f>
        <v>#REF!</v>
      </c>
      <c r="I26" s="92" t="e">
        <f>CashFlow!#REF!/10^6</f>
        <v>#REF!</v>
      </c>
      <c r="J26" s="92" t="e">
        <f>CashFlow!#REF!/10^6</f>
        <v>#REF!</v>
      </c>
      <c r="K26" s="92" t="e">
        <f>CashFlow!#REF!/10^6</f>
        <v>#REF!</v>
      </c>
      <c r="L26" s="92" t="e">
        <f>CashFlow!#REF!/10^6</f>
        <v>#REF!</v>
      </c>
      <c r="M26" s="92" t="e">
        <f>CashFlow!#REF!/10^6</f>
        <v>#REF!</v>
      </c>
      <c r="N26" s="92" t="e">
        <f>CashFlow!#REF!/10^6</f>
        <v>#REF!</v>
      </c>
      <c r="O26" s="92" t="e">
        <f>CashFlow!#REF!/10^6</f>
        <v>#REF!</v>
      </c>
      <c r="P26" s="92" t="e">
        <f>CashFlow!#REF!/10^6</f>
        <v>#REF!</v>
      </c>
      <c r="Q26" s="92" t="e">
        <f>CashFlow!#REF!/10^6</f>
        <v>#REF!</v>
      </c>
      <c r="R26" s="92" t="e">
        <f>CashFlow!#REF!/10^6</f>
        <v>#REF!</v>
      </c>
    </row>
    <row r="27" spans="1:18" ht="10.5" customHeight="1" x14ac:dyDescent="0.25">
      <c r="B27" s="73" t="e">
        <f t="shared" ref="B27:D27" si="3">SUM(B23:B26)</f>
        <v>#REF!</v>
      </c>
      <c r="C27" s="73" t="e">
        <f t="shared" si="3"/>
        <v>#REF!</v>
      </c>
      <c r="D27" s="73" t="e">
        <f t="shared" si="3"/>
        <v>#REF!</v>
      </c>
      <c r="E27" s="73" t="e">
        <f t="shared" ref="E27:O27" si="4">SUM(E23:E26)</f>
        <v>#REF!</v>
      </c>
      <c r="F27" s="73" t="e">
        <f t="shared" si="4"/>
        <v>#REF!</v>
      </c>
      <c r="G27" s="73" t="e">
        <f t="shared" si="4"/>
        <v>#REF!</v>
      </c>
      <c r="H27" s="73" t="e">
        <f t="shared" si="4"/>
        <v>#REF!</v>
      </c>
      <c r="I27" s="73" t="e">
        <f t="shared" si="4"/>
        <v>#REF!</v>
      </c>
      <c r="J27" s="73" t="e">
        <f t="shared" si="4"/>
        <v>#REF!</v>
      </c>
      <c r="K27" s="73" t="e">
        <f t="shared" si="4"/>
        <v>#REF!</v>
      </c>
      <c r="L27" s="73" t="e">
        <f t="shared" si="4"/>
        <v>#REF!</v>
      </c>
      <c r="M27" s="73" t="e">
        <f t="shared" si="4"/>
        <v>#REF!</v>
      </c>
      <c r="N27" s="73" t="e">
        <f t="shared" si="4"/>
        <v>#REF!</v>
      </c>
      <c r="O27" s="73" t="e">
        <f t="shared" si="4"/>
        <v>#REF!</v>
      </c>
      <c r="P27" s="73" t="e">
        <f t="shared" ref="P27" si="5">SUM(P23:P26)</f>
        <v>#REF!</v>
      </c>
      <c r="Q27" s="73"/>
      <c r="R27" s="73"/>
    </row>
    <row r="28" spans="1:18" ht="10.5" customHeight="1" x14ac:dyDescent="0.25"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</row>
    <row r="29" spans="1:18" ht="10.5" customHeight="1" x14ac:dyDescent="0.25">
      <c r="A29" s="72" t="s">
        <v>249</v>
      </c>
      <c r="B29" s="73" t="e">
        <f>B14+B20+B27</f>
        <v>#REF!</v>
      </c>
      <c r="C29" s="73" t="e">
        <f>C14+C20+C27</f>
        <v>#REF!</v>
      </c>
      <c r="D29" s="73" t="e">
        <f>D15+D20+D27</f>
        <v>#REF!</v>
      </c>
      <c r="E29" s="73" t="e">
        <f t="shared" ref="E29:R29" si="6">E15+E20+E27</f>
        <v>#REF!</v>
      </c>
      <c r="F29" s="73" t="e">
        <f t="shared" si="6"/>
        <v>#REF!</v>
      </c>
      <c r="G29" s="73" t="e">
        <f t="shared" si="6"/>
        <v>#REF!</v>
      </c>
      <c r="H29" s="73" t="e">
        <f t="shared" si="6"/>
        <v>#REF!</v>
      </c>
      <c r="I29" s="73" t="e">
        <f t="shared" si="6"/>
        <v>#REF!</v>
      </c>
      <c r="J29" s="73" t="e">
        <f t="shared" si="6"/>
        <v>#REF!</v>
      </c>
      <c r="K29" s="73" t="e">
        <f t="shared" si="6"/>
        <v>#REF!</v>
      </c>
      <c r="L29" s="73" t="e">
        <f t="shared" si="6"/>
        <v>#REF!</v>
      </c>
      <c r="M29" s="73" t="e">
        <f t="shared" si="6"/>
        <v>#REF!</v>
      </c>
      <c r="N29" s="73" t="e">
        <f t="shared" si="6"/>
        <v>#REF!</v>
      </c>
      <c r="O29" s="73" t="e">
        <f t="shared" si="6"/>
        <v>#REF!</v>
      </c>
      <c r="P29" s="73" t="e">
        <f t="shared" si="6"/>
        <v>#REF!</v>
      </c>
      <c r="Q29" s="73" t="e">
        <f t="shared" si="6"/>
        <v>#REF!</v>
      </c>
      <c r="R29" s="73" t="e">
        <f t="shared" si="6"/>
        <v>#REF!</v>
      </c>
    </row>
    <row r="30" spans="1:18" ht="10.5" customHeight="1" x14ac:dyDescent="0.25">
      <c r="A30" s="72" t="s">
        <v>236</v>
      </c>
      <c r="B30" s="73">
        <v>0</v>
      </c>
      <c r="C30" s="73" t="e">
        <f t="shared" ref="C30:D30" si="7">B31</f>
        <v>#REF!</v>
      </c>
      <c r="D30" s="73" t="e">
        <f t="shared" si="7"/>
        <v>#REF!</v>
      </c>
      <c r="E30" s="73" t="e">
        <f t="shared" ref="E30" si="8">D31</f>
        <v>#REF!</v>
      </c>
      <c r="F30" s="73" t="e">
        <f t="shared" ref="F30" si="9">E31</f>
        <v>#REF!</v>
      </c>
      <c r="G30" s="73" t="e">
        <f t="shared" ref="G30" si="10">F31</f>
        <v>#REF!</v>
      </c>
      <c r="H30" s="73" t="e">
        <f t="shared" ref="H30" si="11">G31</f>
        <v>#REF!</v>
      </c>
      <c r="I30" s="73" t="e">
        <f t="shared" ref="I30" si="12">H31</f>
        <v>#REF!</v>
      </c>
      <c r="J30" s="73" t="e">
        <f t="shared" ref="J30" si="13">I31</f>
        <v>#REF!</v>
      </c>
      <c r="K30" s="73" t="e">
        <f t="shared" ref="K30" si="14">J31</f>
        <v>#REF!</v>
      </c>
      <c r="L30" s="73" t="e">
        <f t="shared" ref="L30" si="15">K31</f>
        <v>#REF!</v>
      </c>
      <c r="M30" s="73" t="e">
        <f t="shared" ref="M30" si="16">L31</f>
        <v>#REF!</v>
      </c>
      <c r="N30" s="73" t="e">
        <f t="shared" ref="N30" si="17">M31</f>
        <v>#REF!</v>
      </c>
      <c r="O30" s="73" t="e">
        <f t="shared" ref="O30" si="18">N31</f>
        <v>#REF!</v>
      </c>
      <c r="P30" s="73" t="e">
        <f t="shared" ref="P30" si="19">O31</f>
        <v>#REF!</v>
      </c>
      <c r="Q30" s="73" t="e">
        <f t="shared" ref="Q30" si="20">P31</f>
        <v>#REF!</v>
      </c>
      <c r="R30" s="73" t="e">
        <f t="shared" ref="R30" si="21">Q31</f>
        <v>#REF!</v>
      </c>
    </row>
    <row r="31" spans="1:18" ht="10.5" customHeight="1" x14ac:dyDescent="0.25">
      <c r="A31" s="72" t="s">
        <v>237</v>
      </c>
      <c r="B31" s="73" t="e">
        <f t="shared" ref="B31:D31" si="22">B30+B29</f>
        <v>#REF!</v>
      </c>
      <c r="C31" s="73" t="e">
        <f t="shared" si="22"/>
        <v>#REF!</v>
      </c>
      <c r="D31" s="73" t="e">
        <f t="shared" si="22"/>
        <v>#REF!</v>
      </c>
      <c r="E31" s="73" t="e">
        <f t="shared" ref="E31:P31" si="23">E30+E29</f>
        <v>#REF!</v>
      </c>
      <c r="F31" s="73" t="e">
        <f t="shared" si="23"/>
        <v>#REF!</v>
      </c>
      <c r="G31" s="73" t="e">
        <f t="shared" si="23"/>
        <v>#REF!</v>
      </c>
      <c r="H31" s="73" t="e">
        <f t="shared" si="23"/>
        <v>#REF!</v>
      </c>
      <c r="I31" s="73" t="e">
        <f t="shared" si="23"/>
        <v>#REF!</v>
      </c>
      <c r="J31" s="73" t="e">
        <f t="shared" si="23"/>
        <v>#REF!</v>
      </c>
      <c r="K31" s="73" t="e">
        <f t="shared" si="23"/>
        <v>#REF!</v>
      </c>
      <c r="L31" s="73" t="e">
        <f t="shared" si="23"/>
        <v>#REF!</v>
      </c>
      <c r="M31" s="73" t="e">
        <f t="shared" si="23"/>
        <v>#REF!</v>
      </c>
      <c r="N31" s="73" t="e">
        <f t="shared" si="23"/>
        <v>#REF!</v>
      </c>
      <c r="O31" s="73" t="e">
        <f t="shared" si="23"/>
        <v>#REF!</v>
      </c>
      <c r="P31" s="73" t="e">
        <f t="shared" si="23"/>
        <v>#REF!</v>
      </c>
      <c r="Q31" s="73" t="e">
        <f t="shared" ref="Q31:R31" si="24">Q30+Q29</f>
        <v>#REF!</v>
      </c>
      <c r="R31" s="73" t="e">
        <f t="shared" si="24"/>
        <v>#REF!</v>
      </c>
    </row>
    <row r="32" spans="1:18" ht="10.5" customHeight="1" x14ac:dyDescent="0.25">
      <c r="B32" s="82"/>
      <c r="C32" s="82"/>
      <c r="D32" s="84"/>
      <c r="E32" s="82"/>
      <c r="F32" s="82"/>
      <c r="G32" s="84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5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75" style="24" customWidth="1"/>
    <col min="2" max="2" width="5" style="24" customWidth="1"/>
    <col min="3" max="3" width="19" style="24" bestFit="1" customWidth="1"/>
    <col min="4" max="7" width="9" style="24"/>
    <col min="8" max="9" width="5.625" style="24" customWidth="1"/>
    <col min="10" max="11" width="23.25" style="24" customWidth="1"/>
    <col min="12" max="16384" width="9" style="24"/>
  </cols>
  <sheetData>
    <row r="1" spans="1:13" ht="14.25" x14ac:dyDescent="0.25">
      <c r="A1" s="23" t="s">
        <v>88</v>
      </c>
    </row>
    <row r="2" spans="1:13" ht="14.25" x14ac:dyDescent="0.25">
      <c r="A2" s="23" t="s">
        <v>142</v>
      </c>
    </row>
    <row r="3" spans="1:13" ht="14.25" x14ac:dyDescent="0.25">
      <c r="A3" s="23" t="s">
        <v>59</v>
      </c>
      <c r="C3" s="24" t="s">
        <v>147</v>
      </c>
    </row>
    <row r="4" spans="1:13" x14ac:dyDescent="0.15">
      <c r="C4" s="24" t="s">
        <v>148</v>
      </c>
    </row>
    <row r="7" spans="1:13" x14ac:dyDescent="0.15">
      <c r="A7" s="22" t="s">
        <v>137</v>
      </c>
      <c r="H7" s="22" t="s">
        <v>89</v>
      </c>
    </row>
    <row r="8" spans="1:13" x14ac:dyDescent="0.15">
      <c r="B8" s="24" t="s">
        <v>122</v>
      </c>
      <c r="D8" s="26" t="s">
        <v>129</v>
      </c>
      <c r="I8" s="24" t="s">
        <v>90</v>
      </c>
      <c r="M8" s="26" t="s">
        <v>129</v>
      </c>
    </row>
    <row r="9" spans="1:13" x14ac:dyDescent="0.15">
      <c r="B9" s="24" t="s">
        <v>123</v>
      </c>
      <c r="D9" s="27" t="s">
        <v>129</v>
      </c>
      <c r="I9" s="24" t="s">
        <v>91</v>
      </c>
      <c r="M9" s="26" t="s">
        <v>129</v>
      </c>
    </row>
    <row r="10" spans="1:13" x14ac:dyDescent="0.15">
      <c r="B10" s="24" t="s">
        <v>138</v>
      </c>
      <c r="D10" s="27" t="s">
        <v>129</v>
      </c>
      <c r="I10" s="24" t="s">
        <v>92</v>
      </c>
      <c r="M10" s="26" t="s">
        <v>129</v>
      </c>
    </row>
    <row r="11" spans="1:13" x14ac:dyDescent="0.15">
      <c r="D11" s="25"/>
      <c r="E11" s="25" t="s">
        <v>129</v>
      </c>
      <c r="I11" s="24" t="s">
        <v>93</v>
      </c>
    </row>
    <row r="12" spans="1:13" x14ac:dyDescent="0.15">
      <c r="A12" s="22" t="s">
        <v>139</v>
      </c>
      <c r="D12" s="25"/>
      <c r="J12" s="24" t="s">
        <v>78</v>
      </c>
      <c r="L12" s="26" t="s">
        <v>129</v>
      </c>
    </row>
    <row r="13" spans="1:13" x14ac:dyDescent="0.15">
      <c r="B13" s="24" t="s">
        <v>140</v>
      </c>
      <c r="D13" s="26" t="s">
        <v>129</v>
      </c>
      <c r="J13" s="24" t="s">
        <v>94</v>
      </c>
      <c r="L13" s="26" t="s">
        <v>129</v>
      </c>
    </row>
    <row r="14" spans="1:13" x14ac:dyDescent="0.15">
      <c r="B14" s="24" t="s">
        <v>141</v>
      </c>
      <c r="D14" s="27" t="s">
        <v>129</v>
      </c>
      <c r="J14" s="24" t="s">
        <v>95</v>
      </c>
      <c r="L14" s="26" t="s">
        <v>129</v>
      </c>
    </row>
    <row r="15" spans="1:13" x14ac:dyDescent="0.15">
      <c r="E15" s="26" t="s">
        <v>129</v>
      </c>
      <c r="J15" s="24" t="s">
        <v>96</v>
      </c>
      <c r="L15" s="26" t="s">
        <v>129</v>
      </c>
    </row>
    <row r="16" spans="1:13" x14ac:dyDescent="0.15">
      <c r="J16" s="24" t="s">
        <v>97</v>
      </c>
      <c r="L16" s="26" t="s">
        <v>129</v>
      </c>
    </row>
    <row r="17" spans="1:14" x14ac:dyDescent="0.15">
      <c r="A17" s="22" t="s">
        <v>143</v>
      </c>
      <c r="E17" s="28" t="s">
        <v>129</v>
      </c>
      <c r="J17" s="24" t="s">
        <v>98</v>
      </c>
      <c r="L17" s="26" t="s">
        <v>129</v>
      </c>
    </row>
    <row r="18" spans="1:14" x14ac:dyDescent="0.15">
      <c r="J18" s="24" t="s">
        <v>99</v>
      </c>
      <c r="L18" s="26" t="s">
        <v>129</v>
      </c>
    </row>
    <row r="19" spans="1:14" x14ac:dyDescent="0.15">
      <c r="L19" s="25"/>
      <c r="M19" s="26" t="s">
        <v>129</v>
      </c>
    </row>
    <row r="20" spans="1:14" x14ac:dyDescent="0.15">
      <c r="I20" s="24" t="s">
        <v>100</v>
      </c>
      <c r="M20" s="26" t="s">
        <v>129</v>
      </c>
    </row>
    <row r="21" spans="1:14" x14ac:dyDescent="0.15">
      <c r="I21" s="24" t="s">
        <v>101</v>
      </c>
      <c r="M21" s="26" t="s">
        <v>129</v>
      </c>
    </row>
    <row r="22" spans="1:14" x14ac:dyDescent="0.15">
      <c r="I22" s="24" t="s">
        <v>102</v>
      </c>
      <c r="M22" s="26" t="s">
        <v>129</v>
      </c>
    </row>
    <row r="23" spans="1:14" x14ac:dyDescent="0.15">
      <c r="I23" s="24" t="s">
        <v>103</v>
      </c>
      <c r="M23" s="26" t="s">
        <v>129</v>
      </c>
    </row>
    <row r="24" spans="1:14" x14ac:dyDescent="0.15">
      <c r="I24" s="24" t="s">
        <v>104</v>
      </c>
      <c r="M24" s="26" t="s">
        <v>129</v>
      </c>
    </row>
    <row r="25" spans="1:14" x14ac:dyDescent="0.15">
      <c r="N25" s="26" t="s">
        <v>129</v>
      </c>
    </row>
    <row r="26" spans="1:14" x14ac:dyDescent="0.15">
      <c r="H26" s="22" t="s">
        <v>105</v>
      </c>
    </row>
    <row r="27" spans="1:14" x14ac:dyDescent="0.15">
      <c r="I27" s="24" t="s">
        <v>63</v>
      </c>
      <c r="M27" s="26" t="s">
        <v>129</v>
      </c>
    </row>
    <row r="28" spans="1:14" x14ac:dyDescent="0.15">
      <c r="I28" s="24" t="s">
        <v>124</v>
      </c>
      <c r="M28" s="26" t="s">
        <v>129</v>
      </c>
    </row>
    <row r="29" spans="1:14" x14ac:dyDescent="0.15">
      <c r="I29" s="24" t="s">
        <v>125</v>
      </c>
      <c r="M29" s="26" t="s">
        <v>129</v>
      </c>
    </row>
    <row r="30" spans="1:14" x14ac:dyDescent="0.15">
      <c r="I30" s="24" t="s">
        <v>126</v>
      </c>
      <c r="M30" s="26" t="s">
        <v>129</v>
      </c>
    </row>
    <row r="31" spans="1:14" x14ac:dyDescent="0.15">
      <c r="I31" s="24" t="s">
        <v>127</v>
      </c>
      <c r="M31" s="26" t="s">
        <v>129</v>
      </c>
    </row>
    <row r="32" spans="1:14" x14ac:dyDescent="0.15">
      <c r="N32" s="26" t="s">
        <v>129</v>
      </c>
    </row>
    <row r="33" spans="8:15" x14ac:dyDescent="0.15">
      <c r="H33" s="22" t="s">
        <v>128</v>
      </c>
    </row>
    <row r="34" spans="8:15" x14ac:dyDescent="0.15">
      <c r="I34" s="24" t="s">
        <v>106</v>
      </c>
      <c r="M34" s="26" t="s">
        <v>129</v>
      </c>
    </row>
    <row r="35" spans="8:15" x14ac:dyDescent="0.15">
      <c r="I35" s="24" t="s">
        <v>107</v>
      </c>
      <c r="M35" s="26" t="s">
        <v>129</v>
      </c>
    </row>
    <row r="36" spans="8:15" x14ac:dyDescent="0.15">
      <c r="I36" s="24" t="s">
        <v>108</v>
      </c>
      <c r="M36" s="26" t="s">
        <v>129</v>
      </c>
    </row>
    <row r="37" spans="8:15" x14ac:dyDescent="0.15">
      <c r="I37" s="24" t="s">
        <v>109</v>
      </c>
      <c r="M37" s="26" t="s">
        <v>129</v>
      </c>
    </row>
    <row r="38" spans="8:15" x14ac:dyDescent="0.15">
      <c r="I38" s="24" t="s">
        <v>73</v>
      </c>
      <c r="M38" s="26" t="s">
        <v>129</v>
      </c>
    </row>
    <row r="39" spans="8:15" x14ac:dyDescent="0.15">
      <c r="I39" s="24" t="s">
        <v>110</v>
      </c>
      <c r="M39" s="26" t="s">
        <v>129</v>
      </c>
    </row>
    <row r="40" spans="8:15" x14ac:dyDescent="0.15">
      <c r="I40" s="24" t="s">
        <v>111</v>
      </c>
      <c r="M40" s="26" t="s">
        <v>129</v>
      </c>
    </row>
    <row r="41" spans="8:15" x14ac:dyDescent="0.15">
      <c r="I41" s="24" t="s">
        <v>112</v>
      </c>
      <c r="M41" s="26" t="s">
        <v>129</v>
      </c>
    </row>
    <row r="42" spans="8:15" x14ac:dyDescent="0.15">
      <c r="I42" s="24" t="s">
        <v>113</v>
      </c>
      <c r="M42" s="26" t="s">
        <v>129</v>
      </c>
    </row>
    <row r="43" spans="8:15" x14ac:dyDescent="0.15">
      <c r="I43" s="24" t="s">
        <v>114</v>
      </c>
      <c r="M43" s="26" t="s">
        <v>129</v>
      </c>
    </row>
    <row r="44" spans="8:15" x14ac:dyDescent="0.15">
      <c r="I44" s="24" t="s">
        <v>115</v>
      </c>
      <c r="M44" s="26" t="s">
        <v>129</v>
      </c>
    </row>
    <row r="45" spans="8:15" x14ac:dyDescent="0.15">
      <c r="N45" s="26" t="s">
        <v>129</v>
      </c>
    </row>
    <row r="46" spans="8:15" x14ac:dyDescent="0.15">
      <c r="H46" s="22" t="s">
        <v>146</v>
      </c>
      <c r="N46" s="25"/>
      <c r="O46" s="26" t="s">
        <v>129</v>
      </c>
    </row>
    <row r="48" spans="8:15" x14ac:dyDescent="0.15">
      <c r="H48" s="22" t="s">
        <v>116</v>
      </c>
    </row>
    <row r="49" spans="8:15" x14ac:dyDescent="0.15">
      <c r="I49" s="24" t="s">
        <v>130</v>
      </c>
      <c r="M49" s="26" t="s">
        <v>129</v>
      </c>
    </row>
    <row r="50" spans="8:15" x14ac:dyDescent="0.15">
      <c r="I50" s="24" t="s">
        <v>131</v>
      </c>
      <c r="M50" s="26" t="s">
        <v>129</v>
      </c>
    </row>
    <row r="51" spans="8:15" x14ac:dyDescent="0.15">
      <c r="I51" s="24" t="s">
        <v>132</v>
      </c>
      <c r="M51" s="26" t="s">
        <v>129</v>
      </c>
    </row>
    <row r="52" spans="8:15" x14ac:dyDescent="0.15">
      <c r="I52" s="24" t="s">
        <v>133</v>
      </c>
      <c r="M52" s="26" t="s">
        <v>129</v>
      </c>
    </row>
    <row r="53" spans="8:15" x14ac:dyDescent="0.15">
      <c r="I53" s="24" t="s">
        <v>134</v>
      </c>
      <c r="M53" s="26" t="s">
        <v>129</v>
      </c>
    </row>
    <row r="54" spans="8:15" x14ac:dyDescent="0.15">
      <c r="I54" s="24" t="s">
        <v>135</v>
      </c>
      <c r="M54" s="26" t="s">
        <v>129</v>
      </c>
    </row>
    <row r="55" spans="8:15" x14ac:dyDescent="0.15">
      <c r="N55" s="26" t="s">
        <v>129</v>
      </c>
    </row>
    <row r="56" spans="8:15" x14ac:dyDescent="0.15">
      <c r="H56" s="22" t="s">
        <v>136</v>
      </c>
    </row>
    <row r="57" spans="8:15" x14ac:dyDescent="0.15">
      <c r="I57" s="24" t="s">
        <v>117</v>
      </c>
      <c r="M57" s="26" t="s">
        <v>129</v>
      </c>
    </row>
    <row r="58" spans="8:15" x14ac:dyDescent="0.15">
      <c r="I58" s="24" t="s">
        <v>118</v>
      </c>
      <c r="M58" s="26" t="s">
        <v>129</v>
      </c>
    </row>
    <row r="59" spans="8:15" x14ac:dyDescent="0.15">
      <c r="I59" s="24" t="s">
        <v>119</v>
      </c>
      <c r="M59" s="26" t="s">
        <v>129</v>
      </c>
    </row>
    <row r="60" spans="8:15" x14ac:dyDescent="0.15">
      <c r="I60" s="24" t="s">
        <v>120</v>
      </c>
      <c r="M60" s="26" t="s">
        <v>129</v>
      </c>
    </row>
    <row r="61" spans="8:15" x14ac:dyDescent="0.15">
      <c r="I61" s="24" t="s">
        <v>121</v>
      </c>
      <c r="M61" s="26" t="s">
        <v>129</v>
      </c>
    </row>
    <row r="62" spans="8:15" x14ac:dyDescent="0.15">
      <c r="N62" s="26" t="s">
        <v>129</v>
      </c>
    </row>
    <row r="63" spans="8:15" x14ac:dyDescent="0.15">
      <c r="H63" s="22" t="s">
        <v>145</v>
      </c>
      <c r="O63" s="26" t="s">
        <v>129</v>
      </c>
    </row>
    <row r="65" spans="8:15" x14ac:dyDescent="0.15">
      <c r="H65" s="22" t="s">
        <v>144</v>
      </c>
      <c r="O65" s="26" t="s">
        <v>129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6"/>
  <sheetViews>
    <sheetView showGridLines="0" zoomScaleNormal="100" workbookViewId="0">
      <selection activeCell="V32" sqref="V32"/>
    </sheetView>
  </sheetViews>
  <sheetFormatPr defaultColWidth="9" defaultRowHeight="10.5" x14ac:dyDescent="0.15"/>
  <cols>
    <col min="1" max="1" width="4.625" style="29" customWidth="1"/>
    <col min="2" max="2" width="24" style="29" customWidth="1"/>
    <col min="3" max="5" width="9" style="29"/>
    <col min="6" max="6" width="2.25" style="29" customWidth="1"/>
    <col min="7" max="7" width="47.25" style="29" customWidth="1"/>
    <col min="8" max="8" width="11" style="29" customWidth="1"/>
    <col min="9" max="16384" width="9" style="29"/>
  </cols>
  <sheetData>
    <row r="1" spans="1:8" ht="14.25" x14ac:dyDescent="0.25">
      <c r="A1" s="23" t="s">
        <v>88</v>
      </c>
    </row>
    <row r="2" spans="1:8" ht="14.25" x14ac:dyDescent="0.25">
      <c r="A2" s="23" t="s">
        <v>303</v>
      </c>
    </row>
    <row r="3" spans="1:8" x14ac:dyDescent="0.15">
      <c r="A3" s="29" t="s">
        <v>269</v>
      </c>
    </row>
    <row r="6" spans="1:8" ht="14.25" x14ac:dyDescent="0.25">
      <c r="F6" s="23" t="s">
        <v>290</v>
      </c>
    </row>
    <row r="7" spans="1:8" x14ac:dyDescent="0.15">
      <c r="A7" s="29" t="s">
        <v>284</v>
      </c>
      <c r="C7" s="30"/>
      <c r="D7" s="30" t="s">
        <v>274</v>
      </c>
    </row>
    <row r="8" spans="1:8" x14ac:dyDescent="0.15">
      <c r="A8" s="29" t="s">
        <v>273</v>
      </c>
      <c r="C8" s="30"/>
      <c r="D8" s="30"/>
      <c r="F8" s="22" t="s">
        <v>89</v>
      </c>
    </row>
    <row r="9" spans="1:8" x14ac:dyDescent="0.15">
      <c r="B9" s="39" t="s">
        <v>270</v>
      </c>
      <c r="C9" s="30" t="s">
        <v>274</v>
      </c>
      <c r="D9" s="30"/>
      <c r="F9" s="22"/>
      <c r="G9" s="29" t="s">
        <v>90</v>
      </c>
      <c r="H9" s="33" t="s">
        <v>300</v>
      </c>
    </row>
    <row r="10" spans="1:8" x14ac:dyDescent="0.15">
      <c r="B10" s="39" t="s">
        <v>271</v>
      </c>
      <c r="C10" s="30" t="s">
        <v>274</v>
      </c>
      <c r="D10" s="30"/>
      <c r="F10" s="22"/>
      <c r="G10" s="29" t="s">
        <v>285</v>
      </c>
      <c r="H10" s="33" t="s">
        <v>300</v>
      </c>
    </row>
    <row r="11" spans="1:8" x14ac:dyDescent="0.15">
      <c r="B11" s="39" t="s">
        <v>77</v>
      </c>
      <c r="C11" s="30" t="s">
        <v>274</v>
      </c>
      <c r="D11" s="30"/>
      <c r="F11" s="22"/>
      <c r="G11" s="29" t="s">
        <v>54</v>
      </c>
      <c r="H11" s="33" t="s">
        <v>300</v>
      </c>
    </row>
    <row r="12" spans="1:8" x14ac:dyDescent="0.15">
      <c r="B12" s="39" t="s">
        <v>272</v>
      </c>
      <c r="C12" s="31" t="s">
        <v>275</v>
      </c>
      <c r="D12" s="30"/>
      <c r="F12" s="22"/>
      <c r="G12" s="46" t="s">
        <v>358</v>
      </c>
      <c r="H12" s="37" t="s">
        <v>300</v>
      </c>
    </row>
    <row r="13" spans="1:8" x14ac:dyDescent="0.15">
      <c r="A13" s="29" t="s">
        <v>165</v>
      </c>
      <c r="C13" s="30"/>
      <c r="D13" s="32" t="s">
        <v>275</v>
      </c>
      <c r="F13" s="22"/>
      <c r="H13" s="34"/>
    </row>
    <row r="14" spans="1:8" x14ac:dyDescent="0.15">
      <c r="A14" s="29" t="s">
        <v>283</v>
      </c>
      <c r="C14" s="30"/>
      <c r="D14" s="30" t="s">
        <v>274</v>
      </c>
      <c r="F14" s="22" t="s">
        <v>286</v>
      </c>
      <c r="H14" s="34"/>
    </row>
    <row r="15" spans="1:8" x14ac:dyDescent="0.15">
      <c r="A15" s="29" t="s">
        <v>276</v>
      </c>
      <c r="C15" s="30"/>
      <c r="D15" s="30"/>
      <c r="F15" s="22"/>
      <c r="G15" s="29" t="s">
        <v>176</v>
      </c>
      <c r="H15" s="33" t="s">
        <v>300</v>
      </c>
    </row>
    <row r="16" spans="1:8" x14ac:dyDescent="0.15">
      <c r="B16" s="39" t="s">
        <v>277</v>
      </c>
      <c r="C16" s="30" t="s">
        <v>274</v>
      </c>
      <c r="D16" s="30"/>
      <c r="F16" s="22"/>
      <c r="G16" s="29" t="s">
        <v>287</v>
      </c>
      <c r="H16" s="34" t="s">
        <v>299</v>
      </c>
    </row>
    <row r="17" spans="1:8" x14ac:dyDescent="0.15">
      <c r="B17" s="39" t="s">
        <v>278</v>
      </c>
      <c r="C17" s="30" t="s">
        <v>274</v>
      </c>
      <c r="F17" s="22"/>
      <c r="G17" s="40" t="s">
        <v>359</v>
      </c>
      <c r="H17" s="34" t="s">
        <v>299</v>
      </c>
    </row>
    <row r="18" spans="1:8" x14ac:dyDescent="0.15">
      <c r="A18" s="29" t="s">
        <v>279</v>
      </c>
      <c r="C18" s="30"/>
      <c r="D18" s="32" t="s">
        <v>275</v>
      </c>
      <c r="F18" s="22"/>
      <c r="G18" s="29" t="s">
        <v>288</v>
      </c>
      <c r="H18" s="35" t="s">
        <v>301</v>
      </c>
    </row>
    <row r="19" spans="1:8" x14ac:dyDescent="0.15">
      <c r="A19" s="29" t="s">
        <v>167</v>
      </c>
      <c r="C19" s="30"/>
      <c r="D19" s="30" t="s">
        <v>274</v>
      </c>
      <c r="F19" s="22"/>
      <c r="G19" s="29" t="s">
        <v>292</v>
      </c>
      <c r="H19" s="34" t="s">
        <v>299</v>
      </c>
    </row>
    <row r="20" spans="1:8" x14ac:dyDescent="0.15">
      <c r="A20" s="29" t="s">
        <v>280</v>
      </c>
      <c r="C20" s="30"/>
      <c r="D20" s="32" t="s">
        <v>275</v>
      </c>
      <c r="F20" s="22"/>
      <c r="G20" s="29" t="s">
        <v>101</v>
      </c>
      <c r="H20" s="34" t="s">
        <v>299</v>
      </c>
    </row>
    <row r="21" spans="1:8" x14ac:dyDescent="0.15">
      <c r="A21" s="29" t="s">
        <v>281</v>
      </c>
      <c r="C21" s="30"/>
      <c r="D21" s="30" t="s">
        <v>274</v>
      </c>
      <c r="F21" s="22"/>
      <c r="G21" s="36" t="s">
        <v>298</v>
      </c>
      <c r="H21" s="38" t="s">
        <v>299</v>
      </c>
    </row>
    <row r="22" spans="1:8" x14ac:dyDescent="0.15">
      <c r="A22" s="29" t="s">
        <v>282</v>
      </c>
      <c r="C22" s="30"/>
      <c r="D22" s="32" t="s">
        <v>275</v>
      </c>
      <c r="F22" s="22"/>
      <c r="H22" s="34"/>
    </row>
    <row r="23" spans="1:8" x14ac:dyDescent="0.15">
      <c r="A23" s="29" t="s">
        <v>171</v>
      </c>
      <c r="D23" s="30" t="s">
        <v>274</v>
      </c>
      <c r="F23" s="22" t="s">
        <v>289</v>
      </c>
      <c r="H23" s="34"/>
    </row>
    <row r="24" spans="1:8" x14ac:dyDescent="0.15">
      <c r="F24" s="22"/>
      <c r="G24" s="29" t="s">
        <v>176</v>
      </c>
      <c r="H24" s="33" t="s">
        <v>300</v>
      </c>
    </row>
    <row r="25" spans="1:8" x14ac:dyDescent="0.15">
      <c r="F25" s="22"/>
      <c r="G25" s="29" t="s">
        <v>291</v>
      </c>
      <c r="H25" s="34" t="s">
        <v>299</v>
      </c>
    </row>
    <row r="26" spans="1:8" x14ac:dyDescent="0.15">
      <c r="F26" s="22"/>
      <c r="G26" s="29" t="s">
        <v>293</v>
      </c>
      <c r="H26" s="34" t="s">
        <v>299</v>
      </c>
    </row>
    <row r="27" spans="1:8" x14ac:dyDescent="0.15">
      <c r="F27" s="22"/>
      <c r="G27" s="46" t="s">
        <v>360</v>
      </c>
      <c r="H27" s="38" t="s">
        <v>299</v>
      </c>
    </row>
    <row r="28" spans="1:8" x14ac:dyDescent="0.15">
      <c r="F28" s="22"/>
      <c r="H28" s="34"/>
    </row>
    <row r="29" spans="1:8" x14ac:dyDescent="0.15">
      <c r="F29" s="22" t="s">
        <v>294</v>
      </c>
      <c r="H29" s="34"/>
    </row>
    <row r="30" spans="1:8" x14ac:dyDescent="0.15">
      <c r="G30" s="29" t="s">
        <v>176</v>
      </c>
      <c r="H30" s="33" t="s">
        <v>300</v>
      </c>
    </row>
    <row r="31" spans="1:8" x14ac:dyDescent="0.15">
      <c r="G31" s="40" t="s">
        <v>361</v>
      </c>
      <c r="H31" s="34" t="s">
        <v>299</v>
      </c>
    </row>
    <row r="32" spans="1:8" x14ac:dyDescent="0.15">
      <c r="G32" s="29" t="s">
        <v>295</v>
      </c>
      <c r="H32" s="35" t="s">
        <v>301</v>
      </c>
    </row>
    <row r="33" spans="7:8" x14ac:dyDescent="0.15">
      <c r="G33" s="29" t="s">
        <v>296</v>
      </c>
      <c r="H33" s="34" t="s">
        <v>299</v>
      </c>
    </row>
    <row r="34" spans="7:8" x14ac:dyDescent="0.15">
      <c r="G34" s="29" t="s">
        <v>297</v>
      </c>
      <c r="H34" s="35" t="s">
        <v>301</v>
      </c>
    </row>
    <row r="35" spans="7:8" x14ac:dyDescent="0.15">
      <c r="G35" s="36" t="s">
        <v>302</v>
      </c>
      <c r="H35" s="38" t="s">
        <v>299</v>
      </c>
    </row>
    <row r="36" spans="7:8" x14ac:dyDescent="0.15">
      <c r="H36" s="34"/>
    </row>
  </sheetData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4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25" style="40" customWidth="1"/>
    <col min="2" max="2" width="2.75" style="40" customWidth="1"/>
    <col min="3" max="3" width="34.25" style="40" customWidth="1"/>
    <col min="4" max="4" width="9" style="40"/>
    <col min="5" max="5" width="3" style="40" customWidth="1"/>
    <col min="6" max="6" width="25.5" style="40" customWidth="1"/>
    <col min="7" max="10" width="9" style="40"/>
    <col min="11" max="11" width="22" style="40" customWidth="1"/>
    <col min="12" max="16384" width="9" style="40"/>
  </cols>
  <sheetData>
    <row r="1" spans="1:12" ht="14.25" x14ac:dyDescent="0.25">
      <c r="A1" s="23" t="s">
        <v>88</v>
      </c>
    </row>
    <row r="2" spans="1:12" ht="14.25" x14ac:dyDescent="0.25">
      <c r="A2" s="23" t="s">
        <v>304</v>
      </c>
    </row>
    <row r="5" spans="1:12" x14ac:dyDescent="0.15">
      <c r="A5" s="22" t="s">
        <v>305</v>
      </c>
      <c r="K5" s="22" t="s">
        <v>269</v>
      </c>
    </row>
    <row r="6" spans="1:12" x14ac:dyDescent="0.15">
      <c r="A6" s="40" t="s">
        <v>306</v>
      </c>
    </row>
    <row r="7" spans="1:12" x14ac:dyDescent="0.15">
      <c r="A7" s="40" t="s">
        <v>307</v>
      </c>
      <c r="K7" s="45" t="s">
        <v>353</v>
      </c>
      <c r="L7" s="43" t="s">
        <v>323</v>
      </c>
    </row>
    <row r="8" spans="1:12" x14ac:dyDescent="0.15">
      <c r="A8" s="40" t="s">
        <v>327</v>
      </c>
      <c r="K8" s="45" t="s">
        <v>165</v>
      </c>
      <c r="L8" s="44" t="s">
        <v>325</v>
      </c>
    </row>
    <row r="9" spans="1:12" x14ac:dyDescent="0.15">
      <c r="A9" s="40" t="s">
        <v>328</v>
      </c>
      <c r="K9" s="45" t="s">
        <v>283</v>
      </c>
      <c r="L9" s="43" t="s">
        <v>323</v>
      </c>
    </row>
    <row r="10" spans="1:12" x14ac:dyDescent="0.15">
      <c r="K10" s="45" t="s">
        <v>149</v>
      </c>
      <c r="L10" s="44" t="s">
        <v>325</v>
      </c>
    </row>
    <row r="11" spans="1:12" x14ac:dyDescent="0.15">
      <c r="A11" s="40" t="s">
        <v>309</v>
      </c>
      <c r="K11" s="45" t="s">
        <v>167</v>
      </c>
      <c r="L11" s="43" t="s">
        <v>323</v>
      </c>
    </row>
    <row r="12" spans="1:12" x14ac:dyDescent="0.15">
      <c r="B12" s="40" t="s">
        <v>271</v>
      </c>
      <c r="K12" s="45" t="s">
        <v>354</v>
      </c>
      <c r="L12" s="43" t="s">
        <v>323</v>
      </c>
    </row>
    <row r="13" spans="1:12" x14ac:dyDescent="0.15">
      <c r="C13" s="40" t="s">
        <v>310</v>
      </c>
      <c r="E13" s="22" t="s">
        <v>351</v>
      </c>
      <c r="K13" s="45" t="s">
        <v>355</v>
      </c>
      <c r="L13" s="43" t="s">
        <v>323</v>
      </c>
    </row>
    <row r="14" spans="1:12" x14ac:dyDescent="0.15">
      <c r="C14" s="40" t="s">
        <v>311</v>
      </c>
      <c r="E14" s="40" t="s">
        <v>319</v>
      </c>
      <c r="G14" s="41"/>
      <c r="H14" s="41" t="s">
        <v>323</v>
      </c>
      <c r="K14" s="45" t="s">
        <v>356</v>
      </c>
      <c r="L14" s="44" t="s">
        <v>325</v>
      </c>
    </row>
    <row r="15" spans="1:12" x14ac:dyDescent="0.15">
      <c r="C15" s="40" t="s">
        <v>312</v>
      </c>
      <c r="E15" s="40" t="s">
        <v>320</v>
      </c>
      <c r="G15" s="41"/>
      <c r="H15" s="41"/>
      <c r="K15" s="45" t="s">
        <v>281</v>
      </c>
      <c r="L15" s="43" t="s">
        <v>323</v>
      </c>
    </row>
    <row r="16" spans="1:12" x14ac:dyDescent="0.15">
      <c r="B16" s="40" t="s">
        <v>317</v>
      </c>
      <c r="F16" s="40" t="s">
        <v>308</v>
      </c>
      <c r="G16" s="41" t="s">
        <v>323</v>
      </c>
      <c r="H16" s="41"/>
      <c r="K16" s="45" t="s">
        <v>357</v>
      </c>
      <c r="L16" s="44" t="s">
        <v>325</v>
      </c>
    </row>
    <row r="17" spans="1:12" x14ac:dyDescent="0.15">
      <c r="C17" s="40" t="s">
        <v>330</v>
      </c>
      <c r="F17" s="40" t="s">
        <v>321</v>
      </c>
      <c r="G17" s="41" t="s">
        <v>323</v>
      </c>
      <c r="H17" s="41"/>
      <c r="K17" s="45" t="s">
        <v>171</v>
      </c>
      <c r="L17" s="43" t="s">
        <v>323</v>
      </c>
    </row>
    <row r="18" spans="1:12" x14ac:dyDescent="0.15">
      <c r="C18" s="40" t="s">
        <v>314</v>
      </c>
      <c r="E18" s="40" t="s">
        <v>322</v>
      </c>
      <c r="G18" s="41"/>
      <c r="H18" s="41" t="s">
        <v>323</v>
      </c>
    </row>
    <row r="19" spans="1:12" x14ac:dyDescent="0.15">
      <c r="C19" s="40" t="s">
        <v>313</v>
      </c>
      <c r="E19" s="40" t="s">
        <v>324</v>
      </c>
      <c r="G19" s="41"/>
      <c r="H19" s="42" t="s">
        <v>325</v>
      </c>
    </row>
    <row r="20" spans="1:12" x14ac:dyDescent="0.15">
      <c r="C20" s="40" t="s">
        <v>315</v>
      </c>
      <c r="E20" s="40" t="s">
        <v>326</v>
      </c>
      <c r="G20" s="41"/>
      <c r="H20" s="41" t="s">
        <v>323</v>
      </c>
    </row>
    <row r="21" spans="1:12" x14ac:dyDescent="0.15">
      <c r="C21" s="40" t="s">
        <v>316</v>
      </c>
    </row>
    <row r="22" spans="1:12" x14ac:dyDescent="0.15">
      <c r="C22" s="40" t="s">
        <v>101</v>
      </c>
    </row>
    <row r="24" spans="1:12" x14ac:dyDescent="0.15">
      <c r="A24" s="40" t="s">
        <v>318</v>
      </c>
    </row>
    <row r="25" spans="1:12" x14ac:dyDescent="0.15">
      <c r="B25" s="40" t="s">
        <v>329</v>
      </c>
    </row>
    <row r="26" spans="1:12" x14ac:dyDescent="0.15">
      <c r="C26" s="40" t="s">
        <v>342</v>
      </c>
    </row>
    <row r="27" spans="1:12" x14ac:dyDescent="0.15">
      <c r="C27" s="40" t="s">
        <v>331</v>
      </c>
    </row>
    <row r="28" spans="1:12" x14ac:dyDescent="0.15">
      <c r="C28" s="40" t="s">
        <v>335</v>
      </c>
    </row>
    <row r="29" spans="1:12" x14ac:dyDescent="0.15">
      <c r="C29" s="40" t="s">
        <v>336</v>
      </c>
    </row>
    <row r="30" spans="1:12" x14ac:dyDescent="0.15">
      <c r="C30" s="40" t="s">
        <v>339</v>
      </c>
    </row>
    <row r="31" spans="1:12" x14ac:dyDescent="0.15">
      <c r="C31" s="40" t="s">
        <v>334</v>
      </c>
      <c r="H31" s="41"/>
    </row>
    <row r="32" spans="1:12" x14ac:dyDescent="0.15">
      <c r="C32" s="40" t="s">
        <v>340</v>
      </c>
    </row>
    <row r="33" spans="2:8" x14ac:dyDescent="0.15">
      <c r="C33" s="40" t="s">
        <v>338</v>
      </c>
      <c r="E33" s="22" t="s">
        <v>350</v>
      </c>
    </row>
    <row r="34" spans="2:8" x14ac:dyDescent="0.15">
      <c r="C34" s="40" t="s">
        <v>332</v>
      </c>
      <c r="E34" s="40" t="s">
        <v>352</v>
      </c>
      <c r="G34" s="41" t="s">
        <v>323</v>
      </c>
    </row>
    <row r="35" spans="2:8" x14ac:dyDescent="0.15">
      <c r="C35" s="40" t="s">
        <v>333</v>
      </c>
      <c r="E35" s="40" t="s">
        <v>277</v>
      </c>
      <c r="G35" s="41" t="s">
        <v>323</v>
      </c>
    </row>
    <row r="36" spans="2:8" x14ac:dyDescent="0.15">
      <c r="C36" s="40" t="s">
        <v>337</v>
      </c>
      <c r="E36" s="40" t="s">
        <v>350</v>
      </c>
      <c r="H36" s="41" t="s">
        <v>323</v>
      </c>
    </row>
    <row r="37" spans="2:8" x14ac:dyDescent="0.15">
      <c r="C37" s="40" t="s">
        <v>347</v>
      </c>
    </row>
    <row r="38" spans="2:8" x14ac:dyDescent="0.15">
      <c r="C38" s="40" t="s">
        <v>348</v>
      </c>
    </row>
    <row r="39" spans="2:8" x14ac:dyDescent="0.15">
      <c r="C39" s="40" t="s">
        <v>349</v>
      </c>
    </row>
    <row r="40" spans="2:8" x14ac:dyDescent="0.15">
      <c r="B40" s="40" t="s">
        <v>341</v>
      </c>
    </row>
    <row r="41" spans="2:8" x14ac:dyDescent="0.15">
      <c r="C41" s="40" t="s">
        <v>343</v>
      </c>
    </row>
    <row r="42" spans="2:8" x14ac:dyDescent="0.15">
      <c r="C42" s="40" t="s">
        <v>344</v>
      </c>
    </row>
    <row r="43" spans="2:8" x14ac:dyDescent="0.15">
      <c r="C43" s="40" t="s">
        <v>345</v>
      </c>
    </row>
    <row r="44" spans="2:8" x14ac:dyDescent="0.15">
      <c r="C44" s="40" t="s">
        <v>346</v>
      </c>
    </row>
  </sheetData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showGridLines="0" workbookViewId="0">
      <selection activeCell="I15" sqref="I15"/>
    </sheetView>
  </sheetViews>
  <sheetFormatPr defaultColWidth="9.625" defaultRowHeight="10.5" x14ac:dyDescent="0.25"/>
  <cols>
    <col min="1" max="1" width="3.625" style="53" customWidth="1"/>
    <col min="2" max="2" width="18.5" style="53" customWidth="1"/>
    <col min="3" max="3" width="2.625" style="53" customWidth="1"/>
    <col min="4" max="4" width="8" style="53" customWidth="1"/>
    <col min="5" max="5" width="31.625" style="53" bestFit="1" customWidth="1"/>
    <col min="6" max="6" width="2.625" style="53" customWidth="1"/>
    <col min="7" max="8" width="9.625" style="53"/>
    <col min="9" max="9" width="24.75" style="52" bestFit="1" customWidth="1"/>
    <col min="10" max="10" width="4.5" style="53" customWidth="1"/>
    <col min="11" max="11" width="30.125" style="53" bestFit="1" customWidth="1"/>
    <col min="12" max="12" width="8.25" style="53" bestFit="1" customWidth="1"/>
    <col min="13" max="13" width="3.625" style="53" bestFit="1" customWidth="1"/>
    <col min="14" max="16384" width="9.625" style="53"/>
  </cols>
  <sheetData>
    <row r="1" spans="1:13" s="49" customFormat="1" ht="14.25" x14ac:dyDescent="0.25">
      <c r="A1" s="47" t="str">
        <f>Assumption!A1</f>
        <v>Bisnis Truk Thermoking</v>
      </c>
      <c r="B1" s="48"/>
      <c r="C1" s="48"/>
      <c r="D1" s="48"/>
      <c r="E1" s="48"/>
      <c r="F1" s="48"/>
      <c r="G1" s="48"/>
      <c r="I1" s="50"/>
    </row>
    <row r="2" spans="1:13" s="49" customFormat="1" ht="14.25" x14ac:dyDescent="0.25">
      <c r="A2" s="47" t="str">
        <f>Assumption!A2</f>
        <v>Financial Pre-Feasibility Study</v>
      </c>
      <c r="B2" s="48"/>
      <c r="C2" s="48"/>
      <c r="D2" s="48"/>
      <c r="E2" s="48"/>
      <c r="F2" s="48"/>
      <c r="G2" s="48"/>
      <c r="I2" s="50"/>
    </row>
    <row r="3" spans="1:13" s="49" customFormat="1" ht="14.25" x14ac:dyDescent="0.15">
      <c r="A3" s="51" t="s">
        <v>206</v>
      </c>
      <c r="B3" s="48"/>
      <c r="C3" s="48"/>
      <c r="D3" s="48"/>
      <c r="E3" s="48"/>
      <c r="F3" s="48"/>
      <c r="G3" s="48"/>
      <c r="I3" s="50"/>
    </row>
    <row r="4" spans="1:13" s="49" customFormat="1" x14ac:dyDescent="0.15">
      <c r="I4" s="50"/>
    </row>
    <row r="6" spans="1:13" ht="20.25" customHeight="1" x14ac:dyDescent="0.25">
      <c r="A6" s="54"/>
      <c r="B6" s="57"/>
      <c r="C6" s="57"/>
      <c r="D6" s="785" t="s">
        <v>221</v>
      </c>
      <c r="E6" s="785"/>
      <c r="F6" s="58"/>
      <c r="G6" s="786" t="s">
        <v>222</v>
      </c>
      <c r="H6" s="786"/>
      <c r="K6" s="57" t="s">
        <v>66</v>
      </c>
    </row>
    <row r="7" spans="1:13" x14ac:dyDescent="0.25">
      <c r="A7" s="52"/>
      <c r="D7" s="59" t="s">
        <v>220</v>
      </c>
      <c r="E7" s="59"/>
      <c r="F7" s="59"/>
      <c r="G7" s="59" t="s">
        <v>53</v>
      </c>
      <c r="H7" s="59" t="s">
        <v>220</v>
      </c>
    </row>
    <row r="8" spans="1:13" x14ac:dyDescent="0.25">
      <c r="A8" s="54" t="s">
        <v>215</v>
      </c>
      <c r="F8" s="59"/>
      <c r="K8" s="53" t="s">
        <v>218</v>
      </c>
      <c r="L8" s="60">
        <f>Assumption!E26</f>
        <v>3813317600</v>
      </c>
      <c r="M8" s="53" t="s">
        <v>53</v>
      </c>
    </row>
    <row r="9" spans="1:13" x14ac:dyDescent="0.25">
      <c r="B9" s="52" t="s">
        <v>90</v>
      </c>
      <c r="D9" s="59" t="s">
        <v>223</v>
      </c>
      <c r="E9" s="53" t="s">
        <v>183</v>
      </c>
      <c r="F9" s="59"/>
      <c r="G9" s="60" t="e">
        <f>#REF!</f>
        <v>#REF!</v>
      </c>
      <c r="H9" s="62" t="e">
        <f>G9/L9</f>
        <v>#REF!</v>
      </c>
      <c r="I9" s="52" t="s">
        <v>234</v>
      </c>
      <c r="K9" s="53" t="s">
        <v>217</v>
      </c>
      <c r="L9" s="60" t="e">
        <f>-1*(IncomeStatement!#REF!+IncomeStatement!#REF!)</f>
        <v>#REF!</v>
      </c>
      <c r="M9" s="53" t="s">
        <v>53</v>
      </c>
    </row>
    <row r="10" spans="1:13" x14ac:dyDescent="0.25">
      <c r="B10" s="52" t="s">
        <v>216</v>
      </c>
      <c r="F10" s="59"/>
      <c r="G10" s="60" t="e">
        <f>#REF!</f>
        <v>#REF!</v>
      </c>
      <c r="H10" s="63"/>
      <c r="I10" s="52" t="s">
        <v>234</v>
      </c>
      <c r="K10" s="53" t="s">
        <v>91</v>
      </c>
      <c r="L10" s="60" t="e">
        <f>#REF!</f>
        <v>#REF!</v>
      </c>
      <c r="M10" s="53" t="s">
        <v>53</v>
      </c>
    </row>
    <row r="11" spans="1:13" x14ac:dyDescent="0.25">
      <c r="B11" s="52" t="s">
        <v>54</v>
      </c>
      <c r="D11" s="64" t="s">
        <v>182</v>
      </c>
      <c r="E11" s="53" t="s">
        <v>183</v>
      </c>
      <c r="F11" s="59"/>
      <c r="G11" s="60" t="e">
        <f>#REF!</f>
        <v>#REF!</v>
      </c>
      <c r="H11" s="62" t="e">
        <f>G11/L9</f>
        <v>#REF!</v>
      </c>
      <c r="I11" s="52" t="s">
        <v>234</v>
      </c>
      <c r="K11" s="53" t="s">
        <v>219</v>
      </c>
      <c r="L11" s="60" t="e">
        <f>#REF!+#REF!+#REF!</f>
        <v>#REF!</v>
      </c>
      <c r="M11" s="53" t="s">
        <v>53</v>
      </c>
    </row>
    <row r="12" spans="1:13" x14ac:dyDescent="0.25">
      <c r="B12" s="52" t="s">
        <v>73</v>
      </c>
      <c r="F12" s="59"/>
      <c r="G12" s="60" t="e">
        <f>#REF!</f>
        <v>#REF!</v>
      </c>
      <c r="H12" s="63"/>
      <c r="I12" s="52" t="s">
        <v>234</v>
      </c>
      <c r="K12" s="53" t="s">
        <v>100</v>
      </c>
      <c r="L12" s="60" t="e">
        <f>#REF!</f>
        <v>#REF!</v>
      </c>
      <c r="M12" s="53" t="s">
        <v>53</v>
      </c>
    </row>
    <row r="13" spans="1:13" x14ac:dyDescent="0.25">
      <c r="A13" s="54" t="s">
        <v>76</v>
      </c>
      <c r="B13" s="52"/>
      <c r="F13" s="59"/>
      <c r="G13" s="60"/>
      <c r="H13" s="63"/>
    </row>
    <row r="14" spans="1:13" x14ac:dyDescent="0.25">
      <c r="B14" s="52" t="s">
        <v>91</v>
      </c>
      <c r="D14" s="59" t="s">
        <v>182</v>
      </c>
      <c r="E14" s="53" t="s">
        <v>183</v>
      </c>
      <c r="F14" s="59"/>
      <c r="G14" s="60" t="e">
        <f>#REF!</f>
        <v>#REF!</v>
      </c>
      <c r="H14" s="61" t="e">
        <f>G14/L9</f>
        <v>#REF!</v>
      </c>
      <c r="I14" s="52" t="s">
        <v>232</v>
      </c>
    </row>
    <row r="15" spans="1:13" x14ac:dyDescent="0.25">
      <c r="B15" s="52" t="s">
        <v>92</v>
      </c>
      <c r="D15" s="64" t="s">
        <v>182</v>
      </c>
      <c r="E15" s="53" t="s">
        <v>158</v>
      </c>
      <c r="F15" s="59"/>
      <c r="G15" s="60" t="e">
        <f>#REF!</f>
        <v>#REF!</v>
      </c>
      <c r="H15" s="62" t="e">
        <f>G15/L10</f>
        <v>#REF!</v>
      </c>
      <c r="I15" s="52" t="s">
        <v>232</v>
      </c>
    </row>
    <row r="16" spans="1:13" x14ac:dyDescent="0.25">
      <c r="B16" s="52" t="s">
        <v>100</v>
      </c>
      <c r="D16" s="65" t="s">
        <v>184</v>
      </c>
      <c r="E16" s="53" t="s">
        <v>156</v>
      </c>
      <c r="F16" s="59"/>
      <c r="G16" s="60" t="e">
        <f>#REF!</f>
        <v>#REF!</v>
      </c>
      <c r="H16" s="63" t="e">
        <f>G16/L8</f>
        <v>#REF!</v>
      </c>
      <c r="I16" s="52" t="s">
        <v>233</v>
      </c>
    </row>
    <row r="17" spans="1:9" x14ac:dyDescent="0.25">
      <c r="B17" s="52" t="s">
        <v>101</v>
      </c>
      <c r="D17" s="65" t="s">
        <v>185</v>
      </c>
      <c r="E17" s="53" t="s">
        <v>157</v>
      </c>
      <c r="F17" s="59"/>
      <c r="G17" s="60" t="e">
        <f>#REF!</f>
        <v>#REF!</v>
      </c>
      <c r="H17" s="62" t="e">
        <f>G17/L12</f>
        <v>#REF!</v>
      </c>
    </row>
    <row r="18" spans="1:9" x14ac:dyDescent="0.25">
      <c r="B18" s="52"/>
      <c r="D18" s="66" t="s">
        <v>186</v>
      </c>
      <c r="E18" s="53" t="s">
        <v>156</v>
      </c>
      <c r="F18" s="59"/>
      <c r="G18" s="60"/>
      <c r="H18" s="61" t="e">
        <f>G17/L8</f>
        <v>#REF!</v>
      </c>
    </row>
    <row r="19" spans="1:9" x14ac:dyDescent="0.25">
      <c r="B19" s="52" t="s">
        <v>102</v>
      </c>
      <c r="D19" s="65" t="s">
        <v>182</v>
      </c>
      <c r="E19" s="53" t="s">
        <v>158</v>
      </c>
      <c r="F19" s="59"/>
      <c r="G19" s="60" t="e">
        <f>#REF!</f>
        <v>#REF!</v>
      </c>
      <c r="H19" s="62" t="e">
        <f>G19/L10</f>
        <v>#REF!</v>
      </c>
      <c r="I19" s="52" t="s">
        <v>228</v>
      </c>
    </row>
    <row r="20" spans="1:9" x14ac:dyDescent="0.25">
      <c r="B20" s="52" t="s">
        <v>63</v>
      </c>
      <c r="D20" s="64"/>
      <c r="F20" s="59"/>
      <c r="G20" s="60"/>
      <c r="H20" s="63"/>
    </row>
    <row r="21" spans="1:9" x14ac:dyDescent="0.25">
      <c r="B21" s="52" t="s">
        <v>124</v>
      </c>
      <c r="D21" s="64" t="s">
        <v>187</v>
      </c>
      <c r="E21" s="53" t="s">
        <v>156</v>
      </c>
      <c r="F21" s="59"/>
      <c r="G21" s="60" t="e">
        <f>#REF!</f>
        <v>#REF!</v>
      </c>
      <c r="H21" s="61" t="e">
        <f>G21/L8</f>
        <v>#REF!</v>
      </c>
    </row>
    <row r="22" spans="1:9" x14ac:dyDescent="0.25">
      <c r="B22" s="52" t="s">
        <v>126</v>
      </c>
      <c r="D22" s="64" t="s">
        <v>188</v>
      </c>
      <c r="E22" s="53" t="s">
        <v>156</v>
      </c>
      <c r="F22" s="59"/>
      <c r="G22" s="60" t="e">
        <f>#REF!</f>
        <v>#REF!</v>
      </c>
      <c r="H22" s="61" t="e">
        <f>G22/L8</f>
        <v>#REF!</v>
      </c>
    </row>
    <row r="23" spans="1:9" x14ac:dyDescent="0.25">
      <c r="B23" s="52" t="s">
        <v>127</v>
      </c>
      <c r="D23" s="64" t="s">
        <v>189</v>
      </c>
      <c r="E23" s="53" t="s">
        <v>156</v>
      </c>
      <c r="F23" s="59"/>
      <c r="G23" s="60" t="e">
        <f>#REF!</f>
        <v>#REF!</v>
      </c>
      <c r="H23" s="61" t="e">
        <f>G23/L8</f>
        <v>#REF!</v>
      </c>
    </row>
    <row r="24" spans="1:9" x14ac:dyDescent="0.25">
      <c r="B24" s="52" t="s">
        <v>226</v>
      </c>
      <c r="D24" s="64" t="s">
        <v>191</v>
      </c>
      <c r="E24" s="53" t="s">
        <v>192</v>
      </c>
      <c r="F24" s="59"/>
      <c r="G24" s="60" t="e">
        <f>#REF!</f>
        <v>#REF!</v>
      </c>
      <c r="H24" s="61" t="e">
        <f>G24/L11</f>
        <v>#REF!</v>
      </c>
      <c r="I24" s="52" t="s">
        <v>231</v>
      </c>
    </row>
    <row r="25" spans="1:9" x14ac:dyDescent="0.25">
      <c r="B25" s="52"/>
      <c r="D25" s="64" t="s">
        <v>193</v>
      </c>
      <c r="E25" s="53" t="s">
        <v>183</v>
      </c>
      <c r="F25" s="59"/>
      <c r="G25" s="60"/>
      <c r="H25" s="61" t="e">
        <f>G24/L9</f>
        <v>#REF!</v>
      </c>
    </row>
    <row r="26" spans="1:9" x14ac:dyDescent="0.25">
      <c r="B26" s="52" t="s">
        <v>225</v>
      </c>
      <c r="D26" s="59" t="s">
        <v>195</v>
      </c>
      <c r="E26" s="53" t="s">
        <v>158</v>
      </c>
      <c r="F26" s="59"/>
      <c r="G26" s="60" t="e">
        <f>#REF!</f>
        <v>#REF!</v>
      </c>
      <c r="H26" s="62" t="e">
        <f>G26/L10</f>
        <v>#REF!</v>
      </c>
      <c r="I26" s="52" t="s">
        <v>227</v>
      </c>
    </row>
    <row r="27" spans="1:9" x14ac:dyDescent="0.25">
      <c r="B27" s="52"/>
      <c r="D27" s="59" t="s">
        <v>196</v>
      </c>
      <c r="E27" s="53" t="s">
        <v>183</v>
      </c>
      <c r="F27" s="59"/>
      <c r="G27" s="60"/>
      <c r="H27" s="61" t="e">
        <f>G26/L9</f>
        <v>#REF!</v>
      </c>
    </row>
    <row r="28" spans="1:9" x14ac:dyDescent="0.25">
      <c r="B28" s="52" t="s">
        <v>224</v>
      </c>
      <c r="D28" s="59" t="s">
        <v>198</v>
      </c>
      <c r="E28" s="53" t="s">
        <v>159</v>
      </c>
      <c r="F28" s="59"/>
      <c r="G28" s="60" t="e">
        <f>#REF!</f>
        <v>#REF!</v>
      </c>
      <c r="H28" s="61" t="e">
        <f>G28/L9</f>
        <v>#REF!</v>
      </c>
      <c r="I28" s="52" t="s">
        <v>229</v>
      </c>
    </row>
    <row r="31" spans="1:9" x14ac:dyDescent="0.25">
      <c r="A31" s="54" t="s">
        <v>66</v>
      </c>
    </row>
    <row r="32" spans="1:9" x14ac:dyDescent="0.25">
      <c r="A32" s="55" t="s">
        <v>190</v>
      </c>
      <c r="B32" s="56" t="s">
        <v>200</v>
      </c>
      <c r="C32" s="56"/>
    </row>
    <row r="33" spans="1:3" x14ac:dyDescent="0.25">
      <c r="A33" s="52"/>
      <c r="B33" s="53" t="s">
        <v>201</v>
      </c>
    </row>
    <row r="34" spans="1:3" x14ac:dyDescent="0.25">
      <c r="A34" s="55" t="s">
        <v>194</v>
      </c>
      <c r="B34" s="53" t="s">
        <v>202</v>
      </c>
    </row>
    <row r="35" spans="1:3" x14ac:dyDescent="0.25">
      <c r="A35" s="55" t="s">
        <v>197</v>
      </c>
      <c r="B35" s="53" t="s">
        <v>203</v>
      </c>
    </row>
    <row r="36" spans="1:3" x14ac:dyDescent="0.25">
      <c r="A36" s="52"/>
      <c r="B36" s="53" t="s">
        <v>204</v>
      </c>
    </row>
    <row r="37" spans="1:3" x14ac:dyDescent="0.25">
      <c r="A37" s="52"/>
      <c r="B37" s="53" t="s">
        <v>205</v>
      </c>
    </row>
    <row r="38" spans="1:3" x14ac:dyDescent="0.25">
      <c r="A38" s="55" t="s">
        <v>199</v>
      </c>
      <c r="B38" s="55" t="s">
        <v>207</v>
      </c>
      <c r="C38" s="55"/>
    </row>
    <row r="39" spans="1:3" x14ac:dyDescent="0.25">
      <c r="A39" s="52"/>
      <c r="B39" s="55" t="s">
        <v>212</v>
      </c>
      <c r="C39" s="55"/>
    </row>
    <row r="40" spans="1:3" x14ac:dyDescent="0.25">
      <c r="A40" s="55" t="s">
        <v>213</v>
      </c>
      <c r="B40" s="55" t="s">
        <v>208</v>
      </c>
      <c r="C40" s="55"/>
    </row>
    <row r="41" spans="1:3" x14ac:dyDescent="0.25">
      <c r="A41" s="52"/>
      <c r="B41" s="55" t="s">
        <v>209</v>
      </c>
      <c r="C41" s="55"/>
    </row>
    <row r="42" spans="1:3" x14ac:dyDescent="0.25">
      <c r="A42" s="55" t="s">
        <v>214</v>
      </c>
      <c r="B42" s="55" t="s">
        <v>210</v>
      </c>
      <c r="C42" s="55"/>
    </row>
    <row r="43" spans="1:3" x14ac:dyDescent="0.25">
      <c r="A43" s="52"/>
      <c r="B43" s="55" t="s">
        <v>211</v>
      </c>
      <c r="C43" s="55"/>
    </row>
    <row r="44" spans="1:3" x14ac:dyDescent="0.25">
      <c r="A44" s="55" t="s">
        <v>230</v>
      </c>
      <c r="B44" s="53" t="s">
        <v>173</v>
      </c>
    </row>
    <row r="45" spans="1:3" x14ac:dyDescent="0.25">
      <c r="A45" s="54"/>
      <c r="B45" s="53" t="s">
        <v>174</v>
      </c>
    </row>
    <row r="46" spans="1:3" x14ac:dyDescent="0.25">
      <c r="A46" s="54"/>
    </row>
    <row r="47" spans="1:3" x14ac:dyDescent="0.25">
      <c r="A47" s="54"/>
    </row>
  </sheetData>
  <mergeCells count="2">
    <mergeCell ref="D6:E6"/>
    <mergeCell ref="G6:H6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AB32"/>
  <sheetViews>
    <sheetView topLeftCell="A2" zoomScale="130" zoomScaleNormal="130" workbookViewId="0">
      <pane xSplit="3" ySplit="3" topLeftCell="L5" activePane="bottomRight" state="frozen"/>
      <selection activeCell="A2" sqref="A2"/>
      <selection pane="topRight" activeCell="D2" sqref="D2"/>
      <selection pane="bottomLeft" activeCell="A5" sqref="A5"/>
      <selection pane="bottomRight" activeCell="C12" sqref="C12"/>
    </sheetView>
  </sheetViews>
  <sheetFormatPr defaultColWidth="11" defaultRowHeight="15.75" x14ac:dyDescent="0.25"/>
  <cols>
    <col min="2" max="2" width="5.75" customWidth="1"/>
    <col min="3" max="3" width="60.75" customWidth="1"/>
    <col min="4" max="14" width="14.25" style="2" customWidth="1"/>
    <col min="15" max="15" width="15" style="2" bestFit="1" customWidth="1"/>
    <col min="16" max="22" width="14.25" customWidth="1"/>
    <col min="23" max="23" width="15.625" customWidth="1"/>
    <col min="24" max="24" width="16" customWidth="1"/>
    <col min="26" max="26" width="34" customWidth="1"/>
    <col min="27" max="27" width="10.75" style="2"/>
  </cols>
  <sheetData>
    <row r="2" spans="2:24" x14ac:dyDescent="0.25">
      <c r="B2" t="s">
        <v>0</v>
      </c>
    </row>
    <row r="4" spans="2:24" x14ac:dyDescent="0.25">
      <c r="B4" s="3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8" t="s">
        <v>23</v>
      </c>
    </row>
    <row r="5" spans="2:24" x14ac:dyDescent="0.25">
      <c r="B5" s="9">
        <v>1</v>
      </c>
      <c r="C5" t="s">
        <v>24</v>
      </c>
      <c r="D5" s="10">
        <v>1000000000</v>
      </c>
      <c r="X5" s="11">
        <f>SUM(D5:W5)</f>
        <v>1000000000</v>
      </c>
    </row>
    <row r="6" spans="2:24" x14ac:dyDescent="0.25">
      <c r="B6" s="9">
        <f>+B5+1</f>
        <v>2</v>
      </c>
      <c r="C6" t="s">
        <v>25</v>
      </c>
      <c r="E6" s="12">
        <v>150000000</v>
      </c>
      <c r="F6" s="12">
        <v>150000000</v>
      </c>
      <c r="G6" s="12">
        <v>150000000</v>
      </c>
      <c r="H6" s="12">
        <v>150000000</v>
      </c>
      <c r="I6" s="12">
        <v>150000000</v>
      </c>
      <c r="J6" s="12">
        <v>150000000</v>
      </c>
      <c r="K6" s="12">
        <v>150000000</v>
      </c>
      <c r="L6" s="12">
        <v>150000000</v>
      </c>
      <c r="M6" s="12">
        <v>150000000</v>
      </c>
      <c r="N6" s="12">
        <v>150000000</v>
      </c>
      <c r="O6" s="12">
        <v>150000000</v>
      </c>
      <c r="P6" s="12">
        <v>150000000</v>
      </c>
      <c r="Q6" s="12">
        <v>150000000</v>
      </c>
      <c r="R6" s="12">
        <v>150000000</v>
      </c>
      <c r="S6" s="12">
        <v>150000000</v>
      </c>
      <c r="T6" s="12">
        <v>150000000</v>
      </c>
      <c r="U6" s="12">
        <v>150000000</v>
      </c>
      <c r="V6" s="12">
        <v>150000000</v>
      </c>
      <c r="W6" s="12">
        <v>150000000</v>
      </c>
      <c r="X6" s="11">
        <f t="shared" ref="X6:X21" si="0">SUM(D6:W6)</f>
        <v>2850000000</v>
      </c>
    </row>
    <row r="7" spans="2:24" x14ac:dyDescent="0.25">
      <c r="B7" s="9">
        <f t="shared" ref="B7:B14" si="1">+B6+1</f>
        <v>3</v>
      </c>
      <c r="C7" t="s">
        <v>26</v>
      </c>
      <c r="E7" s="13">
        <v>50000000</v>
      </c>
      <c r="F7" s="13">
        <v>50000000</v>
      </c>
      <c r="G7" s="13">
        <v>50000000</v>
      </c>
      <c r="H7" s="13">
        <v>50000000</v>
      </c>
      <c r="I7" s="13">
        <v>50000000</v>
      </c>
      <c r="J7" s="13">
        <v>50000000</v>
      </c>
      <c r="K7" s="13">
        <v>50000000</v>
      </c>
      <c r="L7" s="13">
        <v>50000000</v>
      </c>
      <c r="M7" s="2">
        <v>100000000</v>
      </c>
      <c r="N7" s="2">
        <v>100000000</v>
      </c>
      <c r="O7" s="2">
        <v>100000000</v>
      </c>
      <c r="P7" s="2">
        <v>170000000</v>
      </c>
      <c r="Q7" s="2">
        <v>170000000</v>
      </c>
      <c r="R7" s="2">
        <v>170000000</v>
      </c>
      <c r="S7" s="2">
        <v>170000000</v>
      </c>
      <c r="T7" s="2">
        <v>170000000</v>
      </c>
      <c r="U7" s="2">
        <v>170000000</v>
      </c>
      <c r="V7" s="2">
        <v>170000000</v>
      </c>
      <c r="W7" s="2">
        <v>170000000</v>
      </c>
      <c r="X7" s="11">
        <f t="shared" si="0"/>
        <v>2060000000</v>
      </c>
    </row>
    <row r="8" spans="2:24" x14ac:dyDescent="0.25">
      <c r="B8" s="9">
        <f>+B7+1</f>
        <v>4</v>
      </c>
      <c r="C8" t="s">
        <v>27</v>
      </c>
      <c r="E8" s="13"/>
      <c r="F8" s="13"/>
      <c r="G8" s="13"/>
      <c r="H8" s="13"/>
      <c r="I8" s="13">
        <v>20000000</v>
      </c>
      <c r="J8" s="13">
        <v>20000000</v>
      </c>
      <c r="K8" s="13">
        <v>20000000</v>
      </c>
      <c r="L8" s="13">
        <v>20000000</v>
      </c>
      <c r="M8" s="13">
        <v>20000000</v>
      </c>
      <c r="N8" s="13">
        <v>20000000</v>
      </c>
      <c r="O8" s="13">
        <v>20000000</v>
      </c>
      <c r="P8" s="13">
        <v>20000000</v>
      </c>
      <c r="Q8" s="13">
        <v>20000000</v>
      </c>
      <c r="R8" s="13">
        <v>20000000</v>
      </c>
      <c r="S8" s="13">
        <v>20000000</v>
      </c>
      <c r="T8" s="13">
        <v>20000000</v>
      </c>
      <c r="U8" s="13">
        <v>20000000</v>
      </c>
      <c r="V8" s="13">
        <v>20000000</v>
      </c>
      <c r="W8" s="13">
        <v>20000000</v>
      </c>
      <c r="X8" s="11">
        <f t="shared" si="0"/>
        <v>300000000</v>
      </c>
    </row>
    <row r="9" spans="2:24" x14ac:dyDescent="0.25">
      <c r="B9" s="9">
        <f>+B8+1</f>
        <v>5</v>
      </c>
      <c r="C9" t="s">
        <v>28</v>
      </c>
      <c r="E9" s="2">
        <v>626784710</v>
      </c>
      <c r="G9" s="2">
        <v>629346630</v>
      </c>
      <c r="X9" s="11">
        <f t="shared" si="0"/>
        <v>1256131340</v>
      </c>
    </row>
    <row r="10" spans="2:24" x14ac:dyDescent="0.25">
      <c r="B10" s="9">
        <f t="shared" si="1"/>
        <v>6</v>
      </c>
      <c r="C10" t="s">
        <v>29</v>
      </c>
      <c r="E10" s="14">
        <v>400000000</v>
      </c>
      <c r="X10" s="15">
        <f t="shared" si="0"/>
        <v>400000000</v>
      </c>
    </row>
    <row r="11" spans="2:24" x14ac:dyDescent="0.25">
      <c r="B11" s="9">
        <f t="shared" si="1"/>
        <v>7</v>
      </c>
      <c r="C11" t="s">
        <v>30</v>
      </c>
      <c r="O11" s="14">
        <v>250000000</v>
      </c>
      <c r="X11" s="15">
        <f t="shared" si="0"/>
        <v>250000000</v>
      </c>
    </row>
    <row r="12" spans="2:24" x14ac:dyDescent="0.25">
      <c r="B12" s="9">
        <f t="shared" si="1"/>
        <v>8</v>
      </c>
      <c r="C12" t="s">
        <v>31</v>
      </c>
      <c r="P12" s="14">
        <v>467900000</v>
      </c>
      <c r="W12" s="2">
        <f>+P12*9</f>
        <v>4211100000</v>
      </c>
      <c r="X12" s="15">
        <f t="shared" si="0"/>
        <v>4679000000</v>
      </c>
    </row>
    <row r="13" spans="2:24" x14ac:dyDescent="0.25">
      <c r="B13" s="9">
        <f t="shared" si="1"/>
        <v>9</v>
      </c>
      <c r="C13" t="s">
        <v>32</v>
      </c>
      <c r="P13" s="14">
        <v>3000000000</v>
      </c>
      <c r="X13" s="15">
        <f t="shared" si="0"/>
        <v>3000000000</v>
      </c>
    </row>
    <row r="14" spans="2:24" x14ac:dyDescent="0.25">
      <c r="B14" s="9">
        <f t="shared" si="1"/>
        <v>10</v>
      </c>
      <c r="C14" t="s">
        <v>33</v>
      </c>
      <c r="O14" s="10">
        <v>7000000000</v>
      </c>
      <c r="R14" s="2"/>
      <c r="X14" s="15">
        <f t="shared" si="0"/>
        <v>7000000000</v>
      </c>
    </row>
    <row r="15" spans="2:24" x14ac:dyDescent="0.25">
      <c r="B15" s="9">
        <v>11</v>
      </c>
      <c r="C15" t="s">
        <v>34</v>
      </c>
      <c r="M15" s="2">
        <v>91119300</v>
      </c>
      <c r="O15" s="2">
        <v>200000000</v>
      </c>
      <c r="X15" s="11">
        <f t="shared" si="0"/>
        <v>291119300</v>
      </c>
    </row>
    <row r="16" spans="2:24" x14ac:dyDescent="0.25">
      <c r="B16" s="9">
        <v>12</v>
      </c>
      <c r="C16" t="s">
        <v>35</v>
      </c>
      <c r="E16" s="2">
        <v>300000000</v>
      </c>
      <c r="F16" s="2">
        <v>300000000</v>
      </c>
      <c r="G16" s="2">
        <v>300000000</v>
      </c>
      <c r="H16" s="2">
        <v>300000000</v>
      </c>
      <c r="I16" s="2">
        <v>300000000</v>
      </c>
      <c r="J16" s="2">
        <v>300000000</v>
      </c>
      <c r="K16" s="2">
        <v>300000000</v>
      </c>
      <c r="L16" s="2">
        <v>300000000</v>
      </c>
      <c r="M16" s="2">
        <v>300000000</v>
      </c>
      <c r="N16" s="2">
        <v>300000000</v>
      </c>
      <c r="O16" s="2">
        <v>300000000</v>
      </c>
      <c r="P16" s="2">
        <v>300000000</v>
      </c>
      <c r="Q16" s="2">
        <v>300000000</v>
      </c>
      <c r="R16" s="2">
        <v>300000000</v>
      </c>
      <c r="S16" s="2">
        <v>300000000</v>
      </c>
      <c r="T16" s="2">
        <v>300000000</v>
      </c>
      <c r="U16" s="2">
        <v>300000000</v>
      </c>
      <c r="V16" s="2">
        <v>300000000</v>
      </c>
      <c r="W16" s="2">
        <v>300000000</v>
      </c>
      <c r="X16" s="11">
        <f t="shared" si="0"/>
        <v>5700000000</v>
      </c>
    </row>
    <row r="17" spans="2:28" x14ac:dyDescent="0.25">
      <c r="B17" s="9"/>
      <c r="P17" s="2"/>
      <c r="Q17" s="2"/>
      <c r="R17" s="2"/>
      <c r="S17" s="2"/>
      <c r="T17" s="2"/>
      <c r="U17" s="2"/>
      <c r="V17" s="2"/>
      <c r="W17" s="2"/>
      <c r="X17" s="11"/>
    </row>
    <row r="18" spans="2:28" x14ac:dyDescent="0.25">
      <c r="B18" s="9">
        <v>13</v>
      </c>
      <c r="C18" t="s">
        <v>36</v>
      </c>
      <c r="N18" s="14">
        <v>420000000</v>
      </c>
      <c r="Q18" s="14">
        <f>420000000*2</f>
        <v>840000000</v>
      </c>
      <c r="S18" s="14">
        <f>420000000*2</f>
        <v>840000000</v>
      </c>
      <c r="T18" s="14">
        <f>+N18*4</f>
        <v>1680000000</v>
      </c>
      <c r="W18" s="15">
        <f>+N18</f>
        <v>420000000</v>
      </c>
      <c r="X18" s="11">
        <f t="shared" si="0"/>
        <v>4200000000</v>
      </c>
    </row>
    <row r="19" spans="2:28" x14ac:dyDescent="0.25">
      <c r="B19" s="9">
        <v>14</v>
      </c>
      <c r="C19" t="s">
        <v>37</v>
      </c>
      <c r="W19" s="2">
        <v>5000000000</v>
      </c>
      <c r="X19" s="11">
        <f t="shared" si="0"/>
        <v>5000000000</v>
      </c>
    </row>
    <row r="20" spans="2:28" x14ac:dyDescent="0.25">
      <c r="B20" s="9">
        <v>15</v>
      </c>
      <c r="C20" t="s">
        <v>38</v>
      </c>
      <c r="W20" s="2">
        <f>85000000000-X24+14000000000</f>
        <v>61573749360</v>
      </c>
      <c r="X20" s="11">
        <f t="shared" si="0"/>
        <v>61573749360</v>
      </c>
    </row>
    <row r="21" spans="2:28" x14ac:dyDescent="0.25">
      <c r="B21" s="9"/>
      <c r="X21" s="11">
        <f t="shared" si="0"/>
        <v>0</v>
      </c>
    </row>
    <row r="22" spans="2:28" x14ac:dyDescent="0.25">
      <c r="B22" s="16"/>
      <c r="C22" s="17" t="s">
        <v>23</v>
      </c>
      <c r="D22" s="18">
        <f t="shared" ref="D22:X22" si="2">SUM(D5:D21)</f>
        <v>1000000000</v>
      </c>
      <c r="E22" s="18">
        <f t="shared" si="2"/>
        <v>1526784710</v>
      </c>
      <c r="F22" s="18">
        <f t="shared" si="2"/>
        <v>500000000</v>
      </c>
      <c r="G22" s="18">
        <f t="shared" si="2"/>
        <v>1129346630</v>
      </c>
      <c r="H22" s="18">
        <f t="shared" si="2"/>
        <v>500000000</v>
      </c>
      <c r="I22" s="18">
        <f t="shared" si="2"/>
        <v>520000000</v>
      </c>
      <c r="J22" s="18">
        <f t="shared" si="2"/>
        <v>520000000</v>
      </c>
      <c r="K22" s="18">
        <f t="shared" si="2"/>
        <v>520000000</v>
      </c>
      <c r="L22" s="18">
        <f t="shared" si="2"/>
        <v>520000000</v>
      </c>
      <c r="M22" s="18">
        <f t="shared" si="2"/>
        <v>661119300</v>
      </c>
      <c r="N22" s="18">
        <f t="shared" si="2"/>
        <v>990000000</v>
      </c>
      <c r="O22" s="18">
        <f t="shared" si="2"/>
        <v>8020000000</v>
      </c>
      <c r="P22" s="18">
        <f t="shared" si="2"/>
        <v>4107900000</v>
      </c>
      <c r="Q22" s="18">
        <f t="shared" si="2"/>
        <v>1480000000</v>
      </c>
      <c r="R22" s="18">
        <f t="shared" si="2"/>
        <v>640000000</v>
      </c>
      <c r="S22" s="18">
        <f t="shared" si="2"/>
        <v>1480000000</v>
      </c>
      <c r="T22" s="18">
        <f t="shared" si="2"/>
        <v>2320000000</v>
      </c>
      <c r="U22" s="18">
        <f t="shared" si="2"/>
        <v>640000000</v>
      </c>
      <c r="V22" s="18">
        <f t="shared" si="2"/>
        <v>640000000</v>
      </c>
      <c r="W22" s="18">
        <f t="shared" si="2"/>
        <v>71844849360</v>
      </c>
      <c r="X22" s="19">
        <f t="shared" si="2"/>
        <v>99560000000</v>
      </c>
    </row>
    <row r="23" spans="2:28" x14ac:dyDescent="0.25">
      <c r="B23" s="9"/>
    </row>
    <row r="24" spans="2:28" x14ac:dyDescent="0.25">
      <c r="B24" s="9"/>
      <c r="X24" s="11">
        <v>37426250640</v>
      </c>
    </row>
    <row r="25" spans="2:28" x14ac:dyDescent="0.25">
      <c r="Z25" t="s">
        <v>39</v>
      </c>
      <c r="AA25" s="2">
        <v>14500</v>
      </c>
      <c r="AB25" t="s">
        <v>42</v>
      </c>
    </row>
    <row r="26" spans="2:28" x14ac:dyDescent="0.25">
      <c r="Z26" t="s">
        <v>40</v>
      </c>
      <c r="AA26" s="1">
        <v>6.61</v>
      </c>
      <c r="AB26" t="s">
        <v>41</v>
      </c>
    </row>
    <row r="27" spans="2:28" x14ac:dyDescent="0.25">
      <c r="Z27" t="s">
        <v>43</v>
      </c>
      <c r="AA27" s="1">
        <f>+[6]VPC!$O$28</f>
        <v>165.8725230666667</v>
      </c>
      <c r="AB27" t="s">
        <v>51</v>
      </c>
    </row>
    <row r="28" spans="2:28" x14ac:dyDescent="0.25">
      <c r="Z28" t="s">
        <v>44</v>
      </c>
      <c r="AA28" s="2">
        <v>20000</v>
      </c>
      <c r="AB28" s="20" t="s">
        <v>46</v>
      </c>
    </row>
    <row r="29" spans="2:28" x14ac:dyDescent="0.25">
      <c r="Z29" t="s">
        <v>49</v>
      </c>
      <c r="AA29" s="2">
        <v>420</v>
      </c>
      <c r="AB29" s="20" t="s">
        <v>50</v>
      </c>
    </row>
    <row r="30" spans="2:28" x14ac:dyDescent="0.25">
      <c r="Z30" t="s">
        <v>45</v>
      </c>
      <c r="AA30" s="2">
        <v>20000</v>
      </c>
      <c r="AB30" s="20" t="s">
        <v>46</v>
      </c>
    </row>
    <row r="31" spans="2:28" x14ac:dyDescent="0.25">
      <c r="Z31" t="s">
        <v>47</v>
      </c>
      <c r="AA31" s="21">
        <v>0.02</v>
      </c>
      <c r="AB31" s="20" t="s">
        <v>46</v>
      </c>
    </row>
    <row r="32" spans="2:28" x14ac:dyDescent="0.25">
      <c r="Z32" t="s">
        <v>48</v>
      </c>
      <c r="AA32" s="21">
        <v>0.05</v>
      </c>
      <c r="AB32" s="20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AF104"/>
  <sheetViews>
    <sheetView showGridLines="0" zoomScaleNormal="100" workbookViewId="0">
      <pane ySplit="7" topLeftCell="A23" activePane="bottomLeft" state="frozen"/>
      <selection pane="bottomLeft" activeCell="F86" sqref="F86"/>
    </sheetView>
  </sheetViews>
  <sheetFormatPr defaultColWidth="8.75" defaultRowHeight="11.25" x14ac:dyDescent="0.2"/>
  <cols>
    <col min="1" max="1" width="5" style="198" bestFit="1" customWidth="1"/>
    <col min="2" max="2" width="5" style="198" customWidth="1"/>
    <col min="3" max="5" width="6.625" style="218" customWidth="1"/>
    <col min="6" max="6" width="26.875" style="218" bestFit="1" customWidth="1"/>
    <col min="7" max="10" width="6.625" style="218" customWidth="1"/>
    <col min="11" max="11" width="1.625" style="218" customWidth="1"/>
    <col min="12" max="15" width="6.625" style="218" customWidth="1"/>
    <col min="16" max="16" width="1.625" style="218" customWidth="1"/>
    <col min="17" max="20" width="6.625" style="218" customWidth="1"/>
    <col min="21" max="16384" width="8.75" style="198"/>
  </cols>
  <sheetData>
    <row r="1" spans="1:32" x14ac:dyDescent="0.2">
      <c r="A1" s="269" t="str">
        <f>[7]Assumption!A1</f>
        <v>Bisnis Kapal Tangkap Beku</v>
      </c>
    </row>
    <row r="2" spans="1:32" x14ac:dyDescent="0.2">
      <c r="A2" s="269" t="str">
        <f>[7]Assumption!A2</f>
        <v>Financial Pre-Feasibility Study</v>
      </c>
    </row>
    <row r="3" spans="1:32" x14ac:dyDescent="0.2">
      <c r="A3" s="271" t="s">
        <v>697</v>
      </c>
    </row>
    <row r="5" spans="1:32" x14ac:dyDescent="0.2">
      <c r="C5" s="218" t="s">
        <v>1019</v>
      </c>
    </row>
    <row r="6" spans="1:32" s="399" customFormat="1" ht="15.4" customHeight="1" x14ac:dyDescent="0.25">
      <c r="A6" s="399" t="s">
        <v>698</v>
      </c>
      <c r="B6" s="272"/>
      <c r="C6" s="787" t="s">
        <v>699</v>
      </c>
      <c r="D6" s="787"/>
      <c r="E6" s="787"/>
      <c r="F6" s="400"/>
      <c r="G6" s="788" t="s">
        <v>700</v>
      </c>
      <c r="H6" s="788"/>
      <c r="I6" s="788"/>
      <c r="J6" s="788"/>
      <c r="K6" s="414"/>
      <c r="L6" s="789" t="s">
        <v>701</v>
      </c>
      <c r="M6" s="789"/>
      <c r="N6" s="789"/>
      <c r="O6" s="789"/>
      <c r="P6" s="414"/>
      <c r="Q6" s="790" t="s">
        <v>702</v>
      </c>
      <c r="R6" s="790"/>
      <c r="S6" s="790"/>
      <c r="T6" s="79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</row>
    <row r="7" spans="1:32" s="399" customFormat="1" ht="22.9" customHeight="1" x14ac:dyDescent="0.25">
      <c r="B7" s="400"/>
      <c r="C7" s="406" t="s">
        <v>693</v>
      </c>
      <c r="D7" s="406" t="s">
        <v>694</v>
      </c>
      <c r="E7" s="407" t="s">
        <v>696</v>
      </c>
      <c r="F7" s="400" t="s">
        <v>635</v>
      </c>
      <c r="G7" s="408" t="s">
        <v>693</v>
      </c>
      <c r="H7" s="408" t="s">
        <v>694</v>
      </c>
      <c r="I7" s="408" t="s">
        <v>695</v>
      </c>
      <c r="J7" s="409" t="s">
        <v>696</v>
      </c>
      <c r="K7" s="414"/>
      <c r="L7" s="410" t="s">
        <v>693</v>
      </c>
      <c r="M7" s="410" t="s">
        <v>694</v>
      </c>
      <c r="N7" s="410" t="s">
        <v>695</v>
      </c>
      <c r="O7" s="411" t="s">
        <v>696</v>
      </c>
      <c r="P7" s="414"/>
      <c r="Q7" s="412" t="s">
        <v>693</v>
      </c>
      <c r="R7" s="412" t="s">
        <v>694</v>
      </c>
      <c r="S7" s="412" t="s">
        <v>695</v>
      </c>
      <c r="T7" s="413" t="s">
        <v>696</v>
      </c>
      <c r="U7" s="300"/>
      <c r="V7" s="300"/>
      <c r="W7" s="300"/>
      <c r="X7" s="300"/>
      <c r="Y7" s="300"/>
      <c r="Z7" s="300"/>
      <c r="AA7" s="300"/>
      <c r="AB7" s="300"/>
      <c r="AC7" s="300"/>
      <c r="AD7" s="300"/>
      <c r="AE7" s="300"/>
      <c r="AF7" s="300"/>
    </row>
    <row r="8" spans="1:32" x14ac:dyDescent="0.2">
      <c r="A8" s="218">
        <v>1</v>
      </c>
      <c r="B8" s="218"/>
      <c r="C8" s="398">
        <v>0</v>
      </c>
      <c r="D8" s="398">
        <f>C8</f>
        <v>0</v>
      </c>
      <c r="E8" s="398">
        <v>0</v>
      </c>
      <c r="F8" s="218" t="s">
        <v>1020</v>
      </c>
      <c r="G8" s="218">
        <v>8</v>
      </c>
      <c r="H8" s="218">
        <f>G8</f>
        <v>8</v>
      </c>
      <c r="J8" s="218">
        <f>G8</f>
        <v>8</v>
      </c>
      <c r="L8" s="397">
        <v>4</v>
      </c>
      <c r="M8" s="397">
        <f>L8</f>
        <v>4</v>
      </c>
      <c r="N8" s="397"/>
      <c r="O8" s="397"/>
      <c r="Q8" s="398">
        <v>6</v>
      </c>
      <c r="R8" s="398">
        <f>Q8</f>
        <v>6</v>
      </c>
      <c r="S8" s="398"/>
      <c r="T8" s="398"/>
    </row>
    <row r="9" spans="1:32" x14ac:dyDescent="0.2">
      <c r="A9" s="402">
        <v>2</v>
      </c>
      <c r="B9" s="218"/>
      <c r="C9" s="403">
        <v>0</v>
      </c>
      <c r="D9" s="403">
        <f>C9+D8</f>
        <v>0</v>
      </c>
      <c r="E9" s="403">
        <f>E8+C9</f>
        <v>0</v>
      </c>
      <c r="F9" s="218" t="s">
        <v>1020</v>
      </c>
      <c r="G9" s="402">
        <v>8</v>
      </c>
      <c r="H9" s="402">
        <f>G9+H8</f>
        <v>16</v>
      </c>
      <c r="I9" s="402"/>
      <c r="J9" s="402">
        <f>J8+G9</f>
        <v>16</v>
      </c>
      <c r="L9" s="404">
        <v>4</v>
      </c>
      <c r="M9" s="404">
        <f>L9+M8</f>
        <v>8</v>
      </c>
      <c r="N9" s="404"/>
      <c r="O9" s="404"/>
      <c r="Q9" s="403">
        <f>Q8</f>
        <v>6</v>
      </c>
      <c r="R9" s="403">
        <f>Q9+R8</f>
        <v>12</v>
      </c>
      <c r="S9" s="403"/>
      <c r="T9" s="403"/>
    </row>
    <row r="10" spans="1:32" x14ac:dyDescent="0.2">
      <c r="A10" s="402">
        <v>3</v>
      </c>
      <c r="B10" s="218"/>
      <c r="C10" s="403">
        <f t="shared" ref="C10" si="0">C9</f>
        <v>0</v>
      </c>
      <c r="D10" s="403">
        <f t="shared" ref="D10:D73" si="1">C10+D9</f>
        <v>0</v>
      </c>
      <c r="E10" s="403">
        <f t="shared" ref="E10:E73" si="2">E9+C10</f>
        <v>0</v>
      </c>
      <c r="F10" s="218" t="s">
        <v>1020</v>
      </c>
      <c r="G10" s="402">
        <v>8</v>
      </c>
      <c r="H10" s="402">
        <f t="shared" ref="H10:H37" si="3">G10+H9</f>
        <v>24</v>
      </c>
      <c r="I10" s="402">
        <v>20</v>
      </c>
      <c r="J10" s="402">
        <f>H10-I10</f>
        <v>4</v>
      </c>
      <c r="L10" s="404">
        <v>4</v>
      </c>
      <c r="M10" s="404">
        <f t="shared" ref="M10:M37" si="4">L10+M9</f>
        <v>12</v>
      </c>
      <c r="N10" s="404"/>
      <c r="O10" s="404">
        <f>M10-N10</f>
        <v>12</v>
      </c>
      <c r="Q10" s="403">
        <f t="shared" ref="Q10:Q11" si="5">Q9</f>
        <v>6</v>
      </c>
      <c r="R10" s="403">
        <f t="shared" ref="R10:R37" si="6">Q10+R9</f>
        <v>18</v>
      </c>
      <c r="S10" s="403"/>
      <c r="T10" s="403">
        <f>R10-S10</f>
        <v>18</v>
      </c>
    </row>
    <row r="11" spans="1:32" x14ac:dyDescent="0.2">
      <c r="A11" s="402">
        <v>4</v>
      </c>
      <c r="B11" s="218"/>
      <c r="C11" s="403">
        <f>C10</f>
        <v>0</v>
      </c>
      <c r="D11" s="403">
        <f>C11+D10</f>
        <v>0</v>
      </c>
      <c r="E11" s="403">
        <f t="shared" si="2"/>
        <v>0</v>
      </c>
      <c r="F11" s="218" t="s">
        <v>1020</v>
      </c>
      <c r="G11" s="402">
        <v>8</v>
      </c>
      <c r="H11" s="402">
        <f t="shared" si="3"/>
        <v>32</v>
      </c>
      <c r="I11" s="402"/>
      <c r="J11" s="402">
        <f>J10+G11</f>
        <v>12</v>
      </c>
      <c r="L11" s="404">
        <v>4</v>
      </c>
      <c r="M11" s="404">
        <f t="shared" si="4"/>
        <v>16</v>
      </c>
      <c r="N11" s="404"/>
      <c r="O11" s="404">
        <f>O10+L11</f>
        <v>16</v>
      </c>
      <c r="Q11" s="403">
        <f t="shared" si="5"/>
        <v>6</v>
      </c>
      <c r="R11" s="403">
        <f t="shared" si="6"/>
        <v>24</v>
      </c>
      <c r="S11" s="403"/>
      <c r="T11" s="403">
        <f>T10+Q11</f>
        <v>24</v>
      </c>
    </row>
    <row r="12" spans="1:32" x14ac:dyDescent="0.2">
      <c r="A12" s="402">
        <v>5</v>
      </c>
      <c r="B12" s="218"/>
      <c r="C12" s="403">
        <v>0</v>
      </c>
      <c r="D12" s="403">
        <f t="shared" si="1"/>
        <v>0</v>
      </c>
      <c r="E12" s="403">
        <f t="shared" si="2"/>
        <v>0</v>
      </c>
      <c r="F12" s="218" t="s">
        <v>1020</v>
      </c>
      <c r="G12" s="402">
        <v>0</v>
      </c>
      <c r="H12" s="402">
        <f t="shared" si="3"/>
        <v>32</v>
      </c>
      <c r="I12" s="402"/>
      <c r="J12" s="402">
        <f t="shared" ref="J12:J13" si="7">J11+G12</f>
        <v>12</v>
      </c>
      <c r="L12" s="404">
        <v>0</v>
      </c>
      <c r="M12" s="404">
        <f t="shared" si="4"/>
        <v>16</v>
      </c>
      <c r="N12" s="404"/>
      <c r="O12" s="404">
        <f t="shared" ref="O12:O13" si="8">O11+L12</f>
        <v>16</v>
      </c>
      <c r="Q12" s="403">
        <v>0</v>
      </c>
      <c r="R12" s="403">
        <f t="shared" si="6"/>
        <v>24</v>
      </c>
      <c r="S12" s="403">
        <v>20</v>
      </c>
      <c r="T12" s="403">
        <f>T11-S12+Q12</f>
        <v>4</v>
      </c>
    </row>
    <row r="13" spans="1:32" x14ac:dyDescent="0.2">
      <c r="A13" s="402">
        <v>6</v>
      </c>
      <c r="B13" s="218"/>
      <c r="C13" s="403">
        <v>0</v>
      </c>
      <c r="D13" s="403">
        <f t="shared" si="1"/>
        <v>0</v>
      </c>
      <c r="E13" s="403">
        <f t="shared" si="2"/>
        <v>0</v>
      </c>
      <c r="F13" s="218" t="s">
        <v>1020</v>
      </c>
      <c r="G13" s="402">
        <v>8</v>
      </c>
      <c r="H13" s="402">
        <f t="shared" si="3"/>
        <v>40</v>
      </c>
      <c r="I13" s="402"/>
      <c r="J13" s="402">
        <f t="shared" si="7"/>
        <v>20</v>
      </c>
      <c r="L13" s="404">
        <v>4</v>
      </c>
      <c r="M13" s="404">
        <f t="shared" si="4"/>
        <v>20</v>
      </c>
      <c r="N13" s="404"/>
      <c r="O13" s="404">
        <f t="shared" si="8"/>
        <v>20</v>
      </c>
      <c r="Q13" s="403">
        <v>6</v>
      </c>
      <c r="R13" s="403">
        <f t="shared" si="6"/>
        <v>30</v>
      </c>
      <c r="S13" s="403"/>
      <c r="T13" s="403">
        <f>T12+Q13</f>
        <v>10</v>
      </c>
    </row>
    <row r="14" spans="1:32" x14ac:dyDescent="0.2">
      <c r="A14" s="402">
        <v>7</v>
      </c>
      <c r="B14" s="218"/>
      <c r="C14" s="403">
        <v>0</v>
      </c>
      <c r="D14" s="403">
        <f t="shared" si="1"/>
        <v>0</v>
      </c>
      <c r="E14" s="403">
        <f t="shared" si="2"/>
        <v>0</v>
      </c>
      <c r="F14" s="218" t="s">
        <v>1020</v>
      </c>
      <c r="G14" s="402">
        <v>8</v>
      </c>
      <c r="H14" s="402">
        <f t="shared" si="3"/>
        <v>48</v>
      </c>
      <c r="I14" s="402">
        <v>20</v>
      </c>
      <c r="J14" s="402">
        <f>G14</f>
        <v>8</v>
      </c>
      <c r="L14" s="404">
        <v>4</v>
      </c>
      <c r="M14" s="404">
        <f t="shared" si="4"/>
        <v>24</v>
      </c>
      <c r="N14" s="404">
        <v>20</v>
      </c>
      <c r="O14" s="404">
        <f>L14</f>
        <v>4</v>
      </c>
      <c r="Q14" s="403">
        <v>6</v>
      </c>
      <c r="R14" s="403">
        <f t="shared" si="6"/>
        <v>36</v>
      </c>
      <c r="S14" s="403"/>
      <c r="T14" s="403">
        <f t="shared" ref="T14:T15" si="9">T13+Q14</f>
        <v>16</v>
      </c>
    </row>
    <row r="15" spans="1:32" x14ac:dyDescent="0.2">
      <c r="A15" s="402">
        <v>8</v>
      </c>
      <c r="B15" s="218"/>
      <c r="C15" s="403">
        <v>0</v>
      </c>
      <c r="D15" s="403">
        <f t="shared" si="1"/>
        <v>0</v>
      </c>
      <c r="E15" s="403">
        <f t="shared" si="2"/>
        <v>0</v>
      </c>
      <c r="F15" s="218" t="s">
        <v>1020</v>
      </c>
      <c r="G15" s="402">
        <v>8</v>
      </c>
      <c r="H15" s="402">
        <f t="shared" si="3"/>
        <v>56</v>
      </c>
      <c r="I15" s="402"/>
      <c r="J15" s="402">
        <f>J14+G15</f>
        <v>16</v>
      </c>
      <c r="L15" s="404">
        <v>4</v>
      </c>
      <c r="M15" s="404">
        <f t="shared" si="4"/>
        <v>28</v>
      </c>
      <c r="N15" s="404"/>
      <c r="O15" s="404">
        <f>O14+L15</f>
        <v>8</v>
      </c>
      <c r="Q15" s="403">
        <v>6</v>
      </c>
      <c r="R15" s="403">
        <f t="shared" si="6"/>
        <v>42</v>
      </c>
      <c r="S15" s="403"/>
      <c r="T15" s="403">
        <f t="shared" si="9"/>
        <v>22</v>
      </c>
    </row>
    <row r="16" spans="1:32" x14ac:dyDescent="0.2">
      <c r="A16" s="402">
        <v>9</v>
      </c>
      <c r="B16" s="218"/>
      <c r="C16" s="403">
        <v>0</v>
      </c>
      <c r="D16" s="403">
        <f t="shared" si="1"/>
        <v>0</v>
      </c>
      <c r="E16" s="403">
        <f t="shared" si="2"/>
        <v>0</v>
      </c>
      <c r="F16" s="218" t="s">
        <v>1020</v>
      </c>
      <c r="G16" s="402">
        <v>8</v>
      </c>
      <c r="H16" s="402">
        <f t="shared" si="3"/>
        <v>64</v>
      </c>
      <c r="I16" s="402"/>
      <c r="J16" s="402">
        <f>J15+G16</f>
        <v>24</v>
      </c>
      <c r="L16" s="404">
        <v>4</v>
      </c>
      <c r="M16" s="404">
        <f t="shared" si="4"/>
        <v>32</v>
      </c>
      <c r="N16" s="404"/>
      <c r="O16" s="404">
        <f>O15+L16</f>
        <v>12</v>
      </c>
      <c r="Q16" s="403">
        <v>6</v>
      </c>
      <c r="R16" s="403">
        <f t="shared" si="6"/>
        <v>48</v>
      </c>
      <c r="S16" s="403">
        <v>20</v>
      </c>
      <c r="T16" s="403">
        <f>T15-S16+Q16</f>
        <v>8</v>
      </c>
    </row>
    <row r="17" spans="1:23" x14ac:dyDescent="0.2">
      <c r="A17" s="402">
        <v>10</v>
      </c>
      <c r="B17" s="218"/>
      <c r="C17" s="403">
        <v>0</v>
      </c>
      <c r="D17" s="403">
        <f t="shared" si="1"/>
        <v>0</v>
      </c>
      <c r="E17" s="403">
        <f t="shared" si="2"/>
        <v>0</v>
      </c>
      <c r="F17" s="218" t="s">
        <v>1020</v>
      </c>
      <c r="G17" s="402">
        <v>8</v>
      </c>
      <c r="H17" s="402">
        <f t="shared" si="3"/>
        <v>72</v>
      </c>
      <c r="I17" s="402">
        <v>20</v>
      </c>
      <c r="J17" s="402">
        <f>(J16-I17)+G17</f>
        <v>12</v>
      </c>
      <c r="L17" s="404">
        <v>4</v>
      </c>
      <c r="M17" s="404">
        <f t="shared" si="4"/>
        <v>36</v>
      </c>
      <c r="N17" s="404"/>
      <c r="O17" s="404">
        <f>(O16-N17)+L17</f>
        <v>16</v>
      </c>
      <c r="Q17" s="403">
        <v>6</v>
      </c>
      <c r="R17" s="403">
        <f t="shared" si="6"/>
        <v>54</v>
      </c>
      <c r="S17" s="403"/>
      <c r="T17" s="403">
        <f>(T16-S17)+Q17</f>
        <v>14</v>
      </c>
    </row>
    <row r="18" spans="1:23" x14ac:dyDescent="0.2">
      <c r="A18" s="402">
        <v>11</v>
      </c>
      <c r="B18" s="218"/>
      <c r="C18" s="403">
        <v>0</v>
      </c>
      <c r="D18" s="403">
        <f t="shared" si="1"/>
        <v>0</v>
      </c>
      <c r="E18" s="403">
        <f t="shared" si="2"/>
        <v>0</v>
      </c>
      <c r="F18" s="218" t="s">
        <v>1020</v>
      </c>
      <c r="G18" s="402">
        <v>8</v>
      </c>
      <c r="H18" s="402">
        <f t="shared" si="3"/>
        <v>80</v>
      </c>
      <c r="I18" s="402"/>
      <c r="J18" s="402">
        <f>J17+G18</f>
        <v>20</v>
      </c>
      <c r="L18" s="404">
        <v>4</v>
      </c>
      <c r="M18" s="404">
        <f t="shared" si="4"/>
        <v>40</v>
      </c>
      <c r="N18" s="404"/>
      <c r="O18" s="404">
        <f>O17+L18</f>
        <v>20</v>
      </c>
      <c r="Q18" s="403">
        <v>6</v>
      </c>
      <c r="R18" s="403">
        <f t="shared" si="6"/>
        <v>60</v>
      </c>
      <c r="S18" s="403"/>
      <c r="T18" s="403">
        <f>T17+Q18</f>
        <v>20</v>
      </c>
    </row>
    <row r="19" spans="1:23" x14ac:dyDescent="0.2">
      <c r="A19" s="402">
        <v>12</v>
      </c>
      <c r="B19" s="218"/>
      <c r="C19" s="403">
        <v>0</v>
      </c>
      <c r="D19" s="403">
        <f t="shared" si="1"/>
        <v>0</v>
      </c>
      <c r="E19" s="403">
        <f t="shared" si="2"/>
        <v>0</v>
      </c>
      <c r="F19" s="218" t="s">
        <v>1020</v>
      </c>
      <c r="G19" s="402">
        <v>0</v>
      </c>
      <c r="H19" s="402">
        <f t="shared" si="3"/>
        <v>80</v>
      </c>
      <c r="I19" s="402">
        <v>20</v>
      </c>
      <c r="J19" s="402">
        <v>0</v>
      </c>
      <c r="L19" s="404">
        <v>0</v>
      </c>
      <c r="M19" s="404">
        <f t="shared" si="4"/>
        <v>40</v>
      </c>
      <c r="N19" s="404">
        <v>20</v>
      </c>
      <c r="O19" s="404">
        <v>0</v>
      </c>
      <c r="Q19" s="403">
        <v>0</v>
      </c>
      <c r="R19" s="403">
        <f t="shared" si="6"/>
        <v>60</v>
      </c>
      <c r="S19" s="403">
        <v>20</v>
      </c>
      <c r="T19" s="403">
        <v>0</v>
      </c>
    </row>
    <row r="20" spans="1:23" x14ac:dyDescent="0.2">
      <c r="A20" s="402">
        <v>13</v>
      </c>
      <c r="B20" s="218"/>
      <c r="C20" s="403">
        <v>0</v>
      </c>
      <c r="D20" s="403">
        <f t="shared" si="1"/>
        <v>0</v>
      </c>
      <c r="E20" s="403">
        <f t="shared" si="2"/>
        <v>0</v>
      </c>
      <c r="F20" s="218" t="s">
        <v>1020</v>
      </c>
      <c r="G20" s="402">
        <v>8</v>
      </c>
      <c r="H20" s="402">
        <f t="shared" si="3"/>
        <v>88</v>
      </c>
      <c r="I20" s="402"/>
      <c r="J20" s="402">
        <f>G20</f>
        <v>8</v>
      </c>
      <c r="L20" s="404">
        <v>4</v>
      </c>
      <c r="M20" s="404">
        <f t="shared" si="4"/>
        <v>44</v>
      </c>
      <c r="N20" s="404"/>
      <c r="O20" s="404">
        <f>L20</f>
        <v>4</v>
      </c>
      <c r="Q20" s="403">
        <v>6</v>
      </c>
      <c r="R20" s="403">
        <f t="shared" si="6"/>
        <v>66</v>
      </c>
      <c r="S20" s="403"/>
      <c r="T20" s="403">
        <f>Q20</f>
        <v>6</v>
      </c>
    </row>
    <row r="21" spans="1:23" x14ac:dyDescent="0.2">
      <c r="A21" s="402">
        <v>14</v>
      </c>
      <c r="B21" s="218"/>
      <c r="C21" s="403">
        <v>0</v>
      </c>
      <c r="D21" s="403">
        <f t="shared" si="1"/>
        <v>0</v>
      </c>
      <c r="E21" s="403">
        <f t="shared" si="2"/>
        <v>0</v>
      </c>
      <c r="F21" s="218" t="s">
        <v>1020</v>
      </c>
      <c r="G21" s="402">
        <v>8</v>
      </c>
      <c r="H21" s="402">
        <f t="shared" si="3"/>
        <v>96</v>
      </c>
      <c r="I21" s="402"/>
      <c r="J21" s="402">
        <f>J20+G21</f>
        <v>16</v>
      </c>
      <c r="L21" s="404">
        <v>4</v>
      </c>
      <c r="M21" s="404">
        <f t="shared" si="4"/>
        <v>48</v>
      </c>
      <c r="N21" s="404"/>
      <c r="O21" s="404">
        <f>O20+L21</f>
        <v>8</v>
      </c>
      <c r="Q21" s="403">
        <v>6</v>
      </c>
      <c r="R21" s="403">
        <f t="shared" si="6"/>
        <v>72</v>
      </c>
      <c r="S21" s="403"/>
      <c r="T21" s="403">
        <f>T20+Q21</f>
        <v>12</v>
      </c>
    </row>
    <row r="22" spans="1:23" x14ac:dyDescent="0.2">
      <c r="A22" s="402">
        <v>15</v>
      </c>
      <c r="B22" s="218"/>
      <c r="C22" s="403">
        <v>0</v>
      </c>
      <c r="D22" s="403">
        <f t="shared" si="1"/>
        <v>0</v>
      </c>
      <c r="E22" s="403">
        <f t="shared" si="2"/>
        <v>0</v>
      </c>
      <c r="F22" s="218" t="s">
        <v>1020</v>
      </c>
      <c r="G22" s="402">
        <v>8</v>
      </c>
      <c r="H22" s="402">
        <f t="shared" si="3"/>
        <v>104</v>
      </c>
      <c r="I22" s="402"/>
      <c r="J22" s="402">
        <f>J21+G22</f>
        <v>24</v>
      </c>
      <c r="L22" s="404">
        <v>4</v>
      </c>
      <c r="M22" s="404">
        <f t="shared" si="4"/>
        <v>52</v>
      </c>
      <c r="N22" s="404"/>
      <c r="O22" s="404">
        <f>O21+L22</f>
        <v>12</v>
      </c>
      <c r="Q22" s="403">
        <v>6</v>
      </c>
      <c r="R22" s="403">
        <f t="shared" si="6"/>
        <v>78</v>
      </c>
      <c r="S22" s="403"/>
      <c r="T22" s="403">
        <f>T21+Q22</f>
        <v>18</v>
      </c>
    </row>
    <row r="23" spans="1:23" x14ac:dyDescent="0.2">
      <c r="A23" s="402">
        <v>16</v>
      </c>
      <c r="B23" s="218"/>
      <c r="C23" s="403">
        <v>0</v>
      </c>
      <c r="D23" s="403">
        <f t="shared" si="1"/>
        <v>0</v>
      </c>
      <c r="E23" s="403">
        <f t="shared" si="2"/>
        <v>0</v>
      </c>
      <c r="F23" s="218" t="s">
        <v>1021</v>
      </c>
      <c r="G23" s="402">
        <v>8</v>
      </c>
      <c r="H23" s="402">
        <f t="shared" si="3"/>
        <v>112</v>
      </c>
      <c r="I23" s="402">
        <v>20</v>
      </c>
      <c r="J23" s="402">
        <f>(J22-I23)+G23</f>
        <v>12</v>
      </c>
      <c r="L23" s="404">
        <v>4</v>
      </c>
      <c r="M23" s="404">
        <f t="shared" si="4"/>
        <v>56</v>
      </c>
      <c r="N23" s="404"/>
      <c r="O23" s="404">
        <f>(O22-N23)+L23</f>
        <v>16</v>
      </c>
      <c r="Q23" s="403">
        <v>6</v>
      </c>
      <c r="R23" s="403">
        <f t="shared" si="6"/>
        <v>84</v>
      </c>
      <c r="S23" s="403"/>
      <c r="T23" s="403">
        <f>(T22-S23)+Q23</f>
        <v>24</v>
      </c>
    </row>
    <row r="24" spans="1:23" x14ac:dyDescent="0.2">
      <c r="A24" s="402">
        <v>17</v>
      </c>
      <c r="B24" s="218"/>
      <c r="C24" s="403">
        <v>0</v>
      </c>
      <c r="D24" s="403">
        <f t="shared" si="1"/>
        <v>0</v>
      </c>
      <c r="E24" s="403">
        <f t="shared" si="2"/>
        <v>0</v>
      </c>
      <c r="F24" s="218" t="s">
        <v>1021</v>
      </c>
      <c r="G24" s="402">
        <v>8</v>
      </c>
      <c r="H24" s="402">
        <f t="shared" si="3"/>
        <v>120</v>
      </c>
      <c r="I24" s="402"/>
      <c r="J24" s="402">
        <f>J23+G24</f>
        <v>20</v>
      </c>
      <c r="L24" s="404">
        <v>4</v>
      </c>
      <c r="M24" s="404">
        <f t="shared" si="4"/>
        <v>60</v>
      </c>
      <c r="N24" s="404"/>
      <c r="O24" s="404">
        <f>O23+L24</f>
        <v>20</v>
      </c>
      <c r="Q24" s="403">
        <v>6</v>
      </c>
      <c r="R24" s="403">
        <f t="shared" si="6"/>
        <v>90</v>
      </c>
      <c r="S24" s="403">
        <v>20</v>
      </c>
      <c r="T24" s="403">
        <f>T23-S24+Q24</f>
        <v>10</v>
      </c>
    </row>
    <row r="25" spans="1:23" x14ac:dyDescent="0.2">
      <c r="A25" s="402">
        <v>18</v>
      </c>
      <c r="B25" s="218"/>
      <c r="C25" s="403">
        <v>0</v>
      </c>
      <c r="D25" s="403">
        <f t="shared" si="1"/>
        <v>0</v>
      </c>
      <c r="E25" s="403">
        <f t="shared" si="2"/>
        <v>0</v>
      </c>
      <c r="F25" s="218" t="s">
        <v>1021</v>
      </c>
      <c r="G25" s="402">
        <v>8</v>
      </c>
      <c r="H25" s="402">
        <f t="shared" si="3"/>
        <v>128</v>
      </c>
      <c r="I25" s="402">
        <v>20</v>
      </c>
      <c r="J25" s="402">
        <f>G25</f>
        <v>8</v>
      </c>
      <c r="L25" s="404">
        <v>4</v>
      </c>
      <c r="M25" s="404">
        <f t="shared" si="4"/>
        <v>64</v>
      </c>
      <c r="N25" s="404">
        <v>20</v>
      </c>
      <c r="O25" s="404">
        <f>L25</f>
        <v>4</v>
      </c>
      <c r="Q25" s="403">
        <v>6</v>
      </c>
      <c r="R25" s="403">
        <f t="shared" si="6"/>
        <v>96</v>
      </c>
      <c r="S25" s="403"/>
      <c r="T25" s="403">
        <f>T24+Q25</f>
        <v>16</v>
      </c>
    </row>
    <row r="26" spans="1:23" x14ac:dyDescent="0.2">
      <c r="A26" s="402">
        <v>19</v>
      </c>
      <c r="B26" s="218"/>
      <c r="C26" s="403">
        <v>0</v>
      </c>
      <c r="D26" s="403">
        <f t="shared" si="1"/>
        <v>0</v>
      </c>
      <c r="E26" s="403">
        <f t="shared" si="2"/>
        <v>0</v>
      </c>
      <c r="F26" s="218" t="s">
        <v>1021</v>
      </c>
      <c r="G26" s="402">
        <v>0</v>
      </c>
      <c r="H26" s="402">
        <f t="shared" si="3"/>
        <v>128</v>
      </c>
      <c r="I26" s="402"/>
      <c r="J26" s="402">
        <f>J25+G26</f>
        <v>8</v>
      </c>
      <c r="L26" s="404">
        <v>0</v>
      </c>
      <c r="M26" s="404">
        <f t="shared" si="4"/>
        <v>64</v>
      </c>
      <c r="N26" s="404"/>
      <c r="O26" s="404">
        <f>O25+L26</f>
        <v>4</v>
      </c>
      <c r="Q26" s="403">
        <v>0</v>
      </c>
      <c r="R26" s="403">
        <f t="shared" si="6"/>
        <v>96</v>
      </c>
      <c r="S26" s="403"/>
      <c r="T26" s="403">
        <f>T25+Q26</f>
        <v>16</v>
      </c>
    </row>
    <row r="27" spans="1:23" x14ac:dyDescent="0.2">
      <c r="A27" s="402">
        <v>20</v>
      </c>
      <c r="B27" s="218">
        <v>1</v>
      </c>
      <c r="C27" s="403">
        <v>0</v>
      </c>
      <c r="D27" s="403">
        <f t="shared" si="1"/>
        <v>0</v>
      </c>
      <c r="E27" s="403">
        <f t="shared" si="2"/>
        <v>0</v>
      </c>
      <c r="F27" s="218" t="s">
        <v>1022</v>
      </c>
      <c r="G27" s="402">
        <v>8</v>
      </c>
      <c r="H27" s="402">
        <f t="shared" si="3"/>
        <v>136</v>
      </c>
      <c r="I27" s="402"/>
      <c r="J27" s="402">
        <f>J26+G27</f>
        <v>16</v>
      </c>
      <c r="L27" s="404">
        <v>4</v>
      </c>
      <c r="M27" s="404">
        <f t="shared" si="4"/>
        <v>68</v>
      </c>
      <c r="N27" s="404"/>
      <c r="O27" s="404">
        <f>O26+L27</f>
        <v>8</v>
      </c>
      <c r="Q27" s="403">
        <v>6</v>
      </c>
      <c r="R27" s="403">
        <f t="shared" si="6"/>
        <v>102</v>
      </c>
      <c r="S27" s="403"/>
      <c r="T27" s="403">
        <f>T26+Q27</f>
        <v>22</v>
      </c>
      <c r="V27" s="198">
        <v>19</v>
      </c>
      <c r="W27" s="198" t="s">
        <v>1023</v>
      </c>
    </row>
    <row r="28" spans="1:23" x14ac:dyDescent="0.2">
      <c r="A28" s="402">
        <v>21</v>
      </c>
      <c r="B28" s="218">
        <v>2</v>
      </c>
      <c r="C28" s="403">
        <v>5</v>
      </c>
      <c r="D28" s="403">
        <f t="shared" si="1"/>
        <v>5</v>
      </c>
      <c r="E28" s="403">
        <f t="shared" si="2"/>
        <v>5</v>
      </c>
      <c r="F28" s="218" t="s">
        <v>1022</v>
      </c>
      <c r="G28" s="402">
        <v>8</v>
      </c>
      <c r="H28" s="402">
        <f t="shared" si="3"/>
        <v>144</v>
      </c>
      <c r="I28" s="402"/>
      <c r="J28" s="402">
        <f>J27+G28</f>
        <v>24</v>
      </c>
      <c r="L28" s="404">
        <v>4</v>
      </c>
      <c r="M28" s="404">
        <f t="shared" si="4"/>
        <v>72</v>
      </c>
      <c r="N28" s="404"/>
      <c r="O28" s="404">
        <f>O27+L28</f>
        <v>12</v>
      </c>
      <c r="Q28" s="403">
        <v>6</v>
      </c>
      <c r="R28" s="403">
        <f t="shared" si="6"/>
        <v>108</v>
      </c>
      <c r="S28" s="403">
        <v>20</v>
      </c>
      <c r="T28" s="403">
        <f>T27-S28+Q28</f>
        <v>8</v>
      </c>
      <c r="V28" s="198">
        <v>60</v>
      </c>
      <c r="W28" s="198" t="s">
        <v>1024</v>
      </c>
    </row>
    <row r="29" spans="1:23" x14ac:dyDescent="0.2">
      <c r="A29" s="402">
        <v>22</v>
      </c>
      <c r="B29" s="218">
        <v>3</v>
      </c>
      <c r="C29" s="403">
        <v>5</v>
      </c>
      <c r="D29" s="403">
        <f t="shared" si="1"/>
        <v>10</v>
      </c>
      <c r="E29" s="403">
        <f t="shared" si="2"/>
        <v>10</v>
      </c>
      <c r="F29" s="218" t="s">
        <v>1022</v>
      </c>
      <c r="G29" s="402">
        <v>8</v>
      </c>
      <c r="H29" s="402">
        <f t="shared" si="3"/>
        <v>152</v>
      </c>
      <c r="I29" s="402">
        <v>20</v>
      </c>
      <c r="J29" s="402">
        <f>(J28-I29)+G29</f>
        <v>12</v>
      </c>
      <c r="L29" s="404">
        <v>4</v>
      </c>
      <c r="M29" s="404">
        <f t="shared" si="4"/>
        <v>76</v>
      </c>
      <c r="N29" s="404"/>
      <c r="O29" s="404">
        <f>(O28-N29)+L29</f>
        <v>16</v>
      </c>
      <c r="Q29" s="403">
        <v>6</v>
      </c>
      <c r="R29" s="403">
        <f t="shared" si="6"/>
        <v>114</v>
      </c>
      <c r="S29" s="403"/>
      <c r="T29" s="403">
        <f>(T28-S29)+Q29</f>
        <v>14</v>
      </c>
      <c r="V29" s="198">
        <v>11</v>
      </c>
      <c r="W29" s="198" t="s">
        <v>1025</v>
      </c>
    </row>
    <row r="30" spans="1:23" x14ac:dyDescent="0.2">
      <c r="A30" s="402">
        <v>23</v>
      </c>
      <c r="B30" s="218">
        <v>4</v>
      </c>
      <c r="C30" s="403">
        <v>5</v>
      </c>
      <c r="D30" s="403">
        <f t="shared" si="1"/>
        <v>15</v>
      </c>
      <c r="E30" s="403">
        <f t="shared" si="2"/>
        <v>15</v>
      </c>
      <c r="F30" s="218" t="s">
        <v>1022</v>
      </c>
      <c r="G30" s="402">
        <v>8</v>
      </c>
      <c r="H30" s="402">
        <f t="shared" si="3"/>
        <v>160</v>
      </c>
      <c r="I30" s="402"/>
      <c r="J30" s="402">
        <f>J29+G30</f>
        <v>20</v>
      </c>
      <c r="L30" s="404">
        <v>4</v>
      </c>
      <c r="M30" s="404">
        <f t="shared" si="4"/>
        <v>80</v>
      </c>
      <c r="N30" s="404"/>
      <c r="O30" s="404">
        <f>O29+L30</f>
        <v>20</v>
      </c>
      <c r="Q30" s="403">
        <v>6</v>
      </c>
      <c r="R30" s="403">
        <f t="shared" si="6"/>
        <v>120</v>
      </c>
      <c r="S30" s="403"/>
      <c r="T30" s="403">
        <f>T29+Q30</f>
        <v>20</v>
      </c>
      <c r="V30" s="198">
        <f>SUM(V27:V29)</f>
        <v>90</v>
      </c>
    </row>
    <row r="31" spans="1:23" x14ac:dyDescent="0.2">
      <c r="A31" s="402">
        <v>24</v>
      </c>
      <c r="B31" s="218">
        <v>5</v>
      </c>
      <c r="C31" s="403">
        <v>5</v>
      </c>
      <c r="D31" s="403">
        <f t="shared" si="1"/>
        <v>20</v>
      </c>
      <c r="E31" s="403">
        <f t="shared" si="2"/>
        <v>20</v>
      </c>
      <c r="F31" s="218" t="s">
        <v>1022</v>
      </c>
      <c r="G31" s="402">
        <v>8</v>
      </c>
      <c r="H31" s="402">
        <f t="shared" si="3"/>
        <v>168</v>
      </c>
      <c r="I31" s="402">
        <v>20</v>
      </c>
      <c r="J31" s="402">
        <f>G31</f>
        <v>8</v>
      </c>
      <c r="L31" s="404">
        <v>4</v>
      </c>
      <c r="M31" s="404">
        <f t="shared" si="4"/>
        <v>84</v>
      </c>
      <c r="N31" s="404">
        <v>20</v>
      </c>
      <c r="O31" s="404">
        <f>L31</f>
        <v>4</v>
      </c>
      <c r="Q31" s="403">
        <v>6</v>
      </c>
      <c r="R31" s="403">
        <f t="shared" si="6"/>
        <v>126</v>
      </c>
      <c r="S31" s="403">
        <v>20</v>
      </c>
      <c r="T31" s="403">
        <f>Q31</f>
        <v>6</v>
      </c>
    </row>
    <row r="32" spans="1:23" x14ac:dyDescent="0.2">
      <c r="A32" s="402">
        <v>25</v>
      </c>
      <c r="B32" s="218">
        <v>6</v>
      </c>
      <c r="C32" s="403">
        <v>5</v>
      </c>
      <c r="D32" s="403">
        <f t="shared" si="1"/>
        <v>25</v>
      </c>
      <c r="E32" s="403">
        <f t="shared" si="2"/>
        <v>25</v>
      </c>
      <c r="F32" s="218" t="s">
        <v>1022</v>
      </c>
      <c r="G32" s="402">
        <v>8</v>
      </c>
      <c r="H32" s="402">
        <f t="shared" si="3"/>
        <v>176</v>
      </c>
      <c r="I32" s="402"/>
      <c r="J32" s="402">
        <f>J31+G32</f>
        <v>16</v>
      </c>
      <c r="L32" s="404">
        <v>4</v>
      </c>
      <c r="M32" s="404">
        <f t="shared" si="4"/>
        <v>88</v>
      </c>
      <c r="N32" s="404"/>
      <c r="O32" s="404">
        <f>O31+L32</f>
        <v>8</v>
      </c>
      <c r="Q32" s="403">
        <v>6</v>
      </c>
      <c r="R32" s="403">
        <f t="shared" si="6"/>
        <v>132</v>
      </c>
      <c r="S32" s="403"/>
      <c r="T32" s="403">
        <f>T31+Q32</f>
        <v>12</v>
      </c>
    </row>
    <row r="33" spans="1:20" x14ac:dyDescent="0.2">
      <c r="A33" s="402">
        <v>26</v>
      </c>
      <c r="B33" s="218">
        <v>7</v>
      </c>
      <c r="C33" s="403">
        <v>0</v>
      </c>
      <c r="D33" s="403">
        <f t="shared" si="1"/>
        <v>25</v>
      </c>
      <c r="E33" s="403">
        <f t="shared" si="2"/>
        <v>25</v>
      </c>
      <c r="F33" s="218" t="s">
        <v>1022</v>
      </c>
      <c r="G33" s="402">
        <v>0</v>
      </c>
      <c r="H33" s="402">
        <f t="shared" si="3"/>
        <v>176</v>
      </c>
      <c r="I33" s="402"/>
      <c r="J33" s="402">
        <f>J32+G33</f>
        <v>16</v>
      </c>
      <c r="L33" s="404">
        <v>0</v>
      </c>
      <c r="M33" s="404">
        <f t="shared" si="4"/>
        <v>88</v>
      </c>
      <c r="N33" s="404"/>
      <c r="O33" s="404">
        <f>O32+L33</f>
        <v>8</v>
      </c>
      <c r="Q33" s="403">
        <v>0</v>
      </c>
      <c r="R33" s="403">
        <f t="shared" si="6"/>
        <v>132</v>
      </c>
      <c r="S33" s="403"/>
      <c r="T33" s="403">
        <f>T32+Q33</f>
        <v>12</v>
      </c>
    </row>
    <row r="34" spans="1:20" x14ac:dyDescent="0.2">
      <c r="A34" s="402">
        <v>27</v>
      </c>
      <c r="B34" s="218">
        <v>8</v>
      </c>
      <c r="C34" s="403">
        <v>5</v>
      </c>
      <c r="D34" s="403">
        <f t="shared" si="1"/>
        <v>30</v>
      </c>
      <c r="E34" s="403">
        <f t="shared" si="2"/>
        <v>30</v>
      </c>
      <c r="F34" s="218" t="s">
        <v>1022</v>
      </c>
      <c r="G34" s="402">
        <v>8</v>
      </c>
      <c r="H34" s="402">
        <f t="shared" si="3"/>
        <v>184</v>
      </c>
      <c r="I34" s="402"/>
      <c r="J34" s="402">
        <f>J33+G34</f>
        <v>24</v>
      </c>
      <c r="L34" s="404">
        <v>4</v>
      </c>
      <c r="M34" s="404">
        <f t="shared" si="4"/>
        <v>92</v>
      </c>
      <c r="N34" s="404"/>
      <c r="O34" s="404">
        <f>O33+L34</f>
        <v>12</v>
      </c>
      <c r="Q34" s="403">
        <v>6</v>
      </c>
      <c r="R34" s="403">
        <f t="shared" si="6"/>
        <v>138</v>
      </c>
      <c r="S34" s="403"/>
      <c r="T34" s="403">
        <f>T33+Q34</f>
        <v>18</v>
      </c>
    </row>
    <row r="35" spans="1:20" x14ac:dyDescent="0.2">
      <c r="A35" s="402">
        <v>28</v>
      </c>
      <c r="B35" s="218">
        <v>9</v>
      </c>
      <c r="C35" s="403">
        <v>5</v>
      </c>
      <c r="D35" s="403">
        <f t="shared" si="1"/>
        <v>35</v>
      </c>
      <c r="E35" s="403">
        <f t="shared" si="2"/>
        <v>35</v>
      </c>
      <c r="F35" s="218" t="s">
        <v>1022</v>
      </c>
      <c r="G35" s="402">
        <v>8</v>
      </c>
      <c r="H35" s="402">
        <f t="shared" si="3"/>
        <v>192</v>
      </c>
      <c r="I35" s="402">
        <v>20</v>
      </c>
      <c r="J35" s="402">
        <f>J34-I35+G35</f>
        <v>12</v>
      </c>
      <c r="L35" s="404">
        <v>4</v>
      </c>
      <c r="M35" s="404">
        <f t="shared" si="4"/>
        <v>96</v>
      </c>
      <c r="N35" s="404"/>
      <c r="O35" s="404">
        <f>O34-N35+L35</f>
        <v>16</v>
      </c>
      <c r="Q35" s="403">
        <v>6</v>
      </c>
      <c r="R35" s="403">
        <f t="shared" si="6"/>
        <v>144</v>
      </c>
      <c r="S35" s="403"/>
      <c r="T35" s="403">
        <f>T34-S35+Q35</f>
        <v>24</v>
      </c>
    </row>
    <row r="36" spans="1:20" x14ac:dyDescent="0.2">
      <c r="A36" s="402">
        <v>29</v>
      </c>
      <c r="B36" s="218">
        <v>10</v>
      </c>
      <c r="C36" s="403">
        <v>0</v>
      </c>
      <c r="D36" s="403">
        <f t="shared" si="1"/>
        <v>35</v>
      </c>
      <c r="E36" s="403">
        <f t="shared" si="2"/>
        <v>35</v>
      </c>
      <c r="F36" s="218" t="s">
        <v>1022</v>
      </c>
      <c r="G36" s="402">
        <v>0</v>
      </c>
      <c r="H36" s="402">
        <f t="shared" si="3"/>
        <v>192</v>
      </c>
      <c r="I36" s="402"/>
      <c r="J36" s="402">
        <f>J35+G36</f>
        <v>12</v>
      </c>
      <c r="L36" s="404">
        <v>0</v>
      </c>
      <c r="M36" s="404">
        <f t="shared" si="4"/>
        <v>96</v>
      </c>
      <c r="N36" s="404"/>
      <c r="O36" s="404">
        <f>O35+L36</f>
        <v>16</v>
      </c>
      <c r="Q36" s="403">
        <v>0</v>
      </c>
      <c r="R36" s="403">
        <f t="shared" si="6"/>
        <v>144</v>
      </c>
      <c r="S36" s="403">
        <v>20</v>
      </c>
      <c r="T36" s="403">
        <f>T35-S36+Q36</f>
        <v>4</v>
      </c>
    </row>
    <row r="37" spans="1:20" x14ac:dyDescent="0.2">
      <c r="A37" s="402">
        <v>30</v>
      </c>
      <c r="B37" s="218">
        <v>11</v>
      </c>
      <c r="C37" s="403">
        <v>0</v>
      </c>
      <c r="D37" s="403">
        <f t="shared" si="1"/>
        <v>35</v>
      </c>
      <c r="E37" s="403">
        <f t="shared" si="2"/>
        <v>35</v>
      </c>
      <c r="F37" s="218" t="s">
        <v>1022</v>
      </c>
      <c r="G37" s="402">
        <v>0</v>
      </c>
      <c r="H37" s="402">
        <f t="shared" si="3"/>
        <v>192</v>
      </c>
      <c r="I37" s="402">
        <v>20</v>
      </c>
      <c r="J37" s="402">
        <f>G37</f>
        <v>0</v>
      </c>
      <c r="L37" s="404">
        <v>0</v>
      </c>
      <c r="M37" s="404">
        <f t="shared" si="4"/>
        <v>96</v>
      </c>
      <c r="N37" s="404">
        <v>20</v>
      </c>
      <c r="O37" s="404">
        <f>L37</f>
        <v>0</v>
      </c>
      <c r="Q37" s="403">
        <v>0</v>
      </c>
      <c r="R37" s="403">
        <f t="shared" si="6"/>
        <v>144</v>
      </c>
      <c r="S37" s="403"/>
      <c r="T37" s="403">
        <f>T36+Q37</f>
        <v>4</v>
      </c>
    </row>
    <row r="38" spans="1:20" x14ac:dyDescent="0.2">
      <c r="A38" s="402">
        <v>31</v>
      </c>
      <c r="B38" s="218">
        <v>12</v>
      </c>
      <c r="C38" s="403">
        <v>0</v>
      </c>
      <c r="D38" s="403">
        <f t="shared" si="1"/>
        <v>35</v>
      </c>
      <c r="E38" s="403">
        <f t="shared" si="2"/>
        <v>35</v>
      </c>
      <c r="F38" s="218" t="s">
        <v>1022</v>
      </c>
    </row>
    <row r="39" spans="1:20" x14ac:dyDescent="0.2">
      <c r="A39" s="402">
        <v>32</v>
      </c>
      <c r="B39" s="218">
        <v>13</v>
      </c>
      <c r="C39" s="403">
        <v>0</v>
      </c>
      <c r="D39" s="403">
        <f t="shared" si="1"/>
        <v>35</v>
      </c>
      <c r="E39" s="403">
        <f t="shared" si="2"/>
        <v>35</v>
      </c>
      <c r="F39" s="218" t="s">
        <v>1022</v>
      </c>
    </row>
    <row r="40" spans="1:20" x14ac:dyDescent="0.2">
      <c r="A40" s="402">
        <v>33</v>
      </c>
      <c r="B40" s="218">
        <v>14</v>
      </c>
      <c r="C40" s="403">
        <v>0</v>
      </c>
      <c r="D40" s="403">
        <f t="shared" si="1"/>
        <v>35</v>
      </c>
      <c r="E40" s="403">
        <f t="shared" si="2"/>
        <v>35</v>
      </c>
      <c r="F40" s="218" t="s">
        <v>1022</v>
      </c>
    </row>
    <row r="41" spans="1:20" x14ac:dyDescent="0.2">
      <c r="A41" s="402">
        <v>34</v>
      </c>
      <c r="B41" s="218">
        <v>15</v>
      </c>
      <c r="C41" s="403">
        <v>0</v>
      </c>
      <c r="D41" s="403">
        <f t="shared" si="1"/>
        <v>35</v>
      </c>
      <c r="E41" s="403">
        <f t="shared" si="2"/>
        <v>35</v>
      </c>
      <c r="F41" s="218" t="s">
        <v>1022</v>
      </c>
    </row>
    <row r="42" spans="1:20" x14ac:dyDescent="0.2">
      <c r="A42" s="402">
        <v>35</v>
      </c>
      <c r="B42" s="218">
        <v>16</v>
      </c>
      <c r="C42" s="403">
        <v>0</v>
      </c>
      <c r="D42" s="403">
        <f t="shared" si="1"/>
        <v>35</v>
      </c>
      <c r="E42" s="403">
        <f t="shared" si="2"/>
        <v>35</v>
      </c>
      <c r="F42" s="218" t="s">
        <v>1022</v>
      </c>
    </row>
    <row r="43" spans="1:20" x14ac:dyDescent="0.2">
      <c r="A43" s="402">
        <v>36</v>
      </c>
      <c r="B43" s="218">
        <v>17</v>
      </c>
      <c r="C43" s="403">
        <v>0</v>
      </c>
      <c r="D43" s="403">
        <f t="shared" si="1"/>
        <v>35</v>
      </c>
      <c r="E43" s="403">
        <f t="shared" si="2"/>
        <v>35</v>
      </c>
      <c r="F43" s="218" t="s">
        <v>1022</v>
      </c>
    </row>
    <row r="44" spans="1:20" x14ac:dyDescent="0.2">
      <c r="A44" s="402">
        <v>37</v>
      </c>
      <c r="B44" s="218">
        <v>18</v>
      </c>
      <c r="C44" s="403">
        <v>0</v>
      </c>
      <c r="D44" s="403">
        <f t="shared" si="1"/>
        <v>35</v>
      </c>
      <c r="E44" s="403">
        <f t="shared" si="2"/>
        <v>35</v>
      </c>
      <c r="F44" s="218" t="s">
        <v>1022</v>
      </c>
    </row>
    <row r="45" spans="1:20" x14ac:dyDescent="0.2">
      <c r="A45" s="402">
        <v>38</v>
      </c>
      <c r="B45" s="218">
        <v>19</v>
      </c>
      <c r="C45" s="403">
        <v>0</v>
      </c>
      <c r="D45" s="403">
        <f t="shared" si="1"/>
        <v>35</v>
      </c>
      <c r="E45" s="403">
        <f t="shared" si="2"/>
        <v>35</v>
      </c>
      <c r="F45" s="218" t="s">
        <v>1022</v>
      </c>
    </row>
    <row r="46" spans="1:20" x14ac:dyDescent="0.2">
      <c r="A46" s="402">
        <v>39</v>
      </c>
      <c r="B46" s="218">
        <v>20</v>
      </c>
      <c r="C46" s="403">
        <v>0</v>
      </c>
      <c r="D46" s="403">
        <f t="shared" si="1"/>
        <v>35</v>
      </c>
      <c r="E46" s="403">
        <f t="shared" si="2"/>
        <v>35</v>
      </c>
      <c r="F46" s="218" t="s">
        <v>1022</v>
      </c>
    </row>
    <row r="47" spans="1:20" x14ac:dyDescent="0.2">
      <c r="A47" s="402">
        <v>40</v>
      </c>
      <c r="B47" s="218">
        <v>21</v>
      </c>
      <c r="C47" s="403">
        <v>0</v>
      </c>
      <c r="D47" s="403">
        <f t="shared" si="1"/>
        <v>35</v>
      </c>
      <c r="E47" s="403">
        <f t="shared" si="2"/>
        <v>35</v>
      </c>
      <c r="F47" s="218" t="s">
        <v>1022</v>
      </c>
    </row>
    <row r="48" spans="1:20" x14ac:dyDescent="0.2">
      <c r="A48" s="402">
        <v>41</v>
      </c>
      <c r="B48" s="218">
        <v>22</v>
      </c>
      <c r="C48" s="403">
        <v>0</v>
      </c>
      <c r="D48" s="403">
        <f t="shared" si="1"/>
        <v>35</v>
      </c>
      <c r="E48" s="403">
        <f t="shared" si="2"/>
        <v>35</v>
      </c>
      <c r="F48" s="218" t="s">
        <v>1022</v>
      </c>
    </row>
    <row r="49" spans="1:6" x14ac:dyDescent="0.2">
      <c r="A49" s="402">
        <v>42</v>
      </c>
      <c r="B49" s="218">
        <v>23</v>
      </c>
      <c r="C49" s="403">
        <v>0</v>
      </c>
      <c r="D49" s="403">
        <f t="shared" si="1"/>
        <v>35</v>
      </c>
      <c r="E49" s="403">
        <f t="shared" si="2"/>
        <v>35</v>
      </c>
      <c r="F49" s="218" t="s">
        <v>1022</v>
      </c>
    </row>
    <row r="50" spans="1:6" x14ac:dyDescent="0.2">
      <c r="A50" s="402">
        <v>43</v>
      </c>
      <c r="B50" s="218">
        <v>24</v>
      </c>
      <c r="C50" s="403">
        <v>0</v>
      </c>
      <c r="D50" s="403">
        <f t="shared" si="1"/>
        <v>35</v>
      </c>
      <c r="E50" s="403">
        <f t="shared" si="2"/>
        <v>35</v>
      </c>
      <c r="F50" s="218" t="s">
        <v>1022</v>
      </c>
    </row>
    <row r="51" spans="1:6" x14ac:dyDescent="0.2">
      <c r="A51" s="402">
        <v>44</v>
      </c>
      <c r="B51" s="218">
        <v>25</v>
      </c>
      <c r="C51" s="403">
        <v>0</v>
      </c>
      <c r="D51" s="403">
        <f t="shared" si="1"/>
        <v>35</v>
      </c>
      <c r="E51" s="403">
        <f t="shared" si="2"/>
        <v>35</v>
      </c>
      <c r="F51" s="218" t="s">
        <v>1022</v>
      </c>
    </row>
    <row r="52" spans="1:6" x14ac:dyDescent="0.2">
      <c r="A52" s="402">
        <v>45</v>
      </c>
      <c r="B52" s="218">
        <v>26</v>
      </c>
      <c r="C52" s="403">
        <v>0</v>
      </c>
      <c r="D52" s="403">
        <f t="shared" si="1"/>
        <v>35</v>
      </c>
      <c r="E52" s="403">
        <f t="shared" si="2"/>
        <v>35</v>
      </c>
      <c r="F52" s="218" t="s">
        <v>1022</v>
      </c>
    </row>
    <row r="53" spans="1:6" x14ac:dyDescent="0.2">
      <c r="A53" s="402">
        <v>46</v>
      </c>
      <c r="B53" s="218">
        <v>27</v>
      </c>
      <c r="C53" s="403">
        <v>0</v>
      </c>
      <c r="D53" s="403">
        <f t="shared" si="1"/>
        <v>35</v>
      </c>
      <c r="E53" s="403">
        <f t="shared" si="2"/>
        <v>35</v>
      </c>
      <c r="F53" s="218" t="s">
        <v>1022</v>
      </c>
    </row>
    <row r="54" spans="1:6" x14ac:dyDescent="0.2">
      <c r="A54" s="402">
        <v>47</v>
      </c>
      <c r="B54" s="218">
        <v>28</v>
      </c>
      <c r="C54" s="403">
        <v>0</v>
      </c>
      <c r="D54" s="403">
        <f t="shared" si="1"/>
        <v>35</v>
      </c>
      <c r="E54" s="403">
        <f t="shared" si="2"/>
        <v>35</v>
      </c>
      <c r="F54" s="218" t="s">
        <v>1022</v>
      </c>
    </row>
    <row r="55" spans="1:6" x14ac:dyDescent="0.2">
      <c r="A55" s="402">
        <v>48</v>
      </c>
      <c r="B55" s="218">
        <v>29</v>
      </c>
      <c r="C55" s="403">
        <v>0</v>
      </c>
      <c r="D55" s="403">
        <f t="shared" si="1"/>
        <v>35</v>
      </c>
      <c r="E55" s="403">
        <f t="shared" si="2"/>
        <v>35</v>
      </c>
      <c r="F55" s="218" t="s">
        <v>1022</v>
      </c>
    </row>
    <row r="56" spans="1:6" x14ac:dyDescent="0.2">
      <c r="A56" s="402">
        <v>49</v>
      </c>
      <c r="B56" s="218">
        <v>30</v>
      </c>
      <c r="C56" s="403">
        <v>0</v>
      </c>
      <c r="D56" s="403">
        <f t="shared" si="1"/>
        <v>35</v>
      </c>
      <c r="E56" s="403">
        <f t="shared" si="2"/>
        <v>35</v>
      </c>
      <c r="F56" s="218" t="s">
        <v>1022</v>
      </c>
    </row>
    <row r="57" spans="1:6" x14ac:dyDescent="0.2">
      <c r="A57" s="402">
        <v>50</v>
      </c>
      <c r="B57" s="218">
        <v>31</v>
      </c>
      <c r="C57" s="403">
        <v>0</v>
      </c>
      <c r="D57" s="403">
        <f t="shared" si="1"/>
        <v>35</v>
      </c>
      <c r="E57" s="403">
        <f t="shared" si="2"/>
        <v>35</v>
      </c>
      <c r="F57" s="218" t="s">
        <v>1022</v>
      </c>
    </row>
    <row r="58" spans="1:6" x14ac:dyDescent="0.2">
      <c r="A58" s="402">
        <v>51</v>
      </c>
      <c r="B58" s="218">
        <v>32</v>
      </c>
      <c r="C58" s="403">
        <v>0</v>
      </c>
      <c r="D58" s="403">
        <f t="shared" si="1"/>
        <v>35</v>
      </c>
      <c r="E58" s="403">
        <f t="shared" si="2"/>
        <v>35</v>
      </c>
      <c r="F58" s="218" t="s">
        <v>1022</v>
      </c>
    </row>
    <row r="59" spans="1:6" x14ac:dyDescent="0.2">
      <c r="A59" s="402">
        <v>52</v>
      </c>
      <c r="B59" s="218">
        <v>33</v>
      </c>
      <c r="C59" s="403">
        <v>0</v>
      </c>
      <c r="D59" s="403">
        <f t="shared" si="1"/>
        <v>35</v>
      </c>
      <c r="E59" s="403">
        <f t="shared" si="2"/>
        <v>35</v>
      </c>
      <c r="F59" s="218" t="s">
        <v>1022</v>
      </c>
    </row>
    <row r="60" spans="1:6" x14ac:dyDescent="0.2">
      <c r="A60" s="402">
        <v>53</v>
      </c>
      <c r="B60" s="218">
        <v>34</v>
      </c>
      <c r="C60" s="403">
        <v>0</v>
      </c>
      <c r="D60" s="403">
        <f t="shared" si="1"/>
        <v>35</v>
      </c>
      <c r="E60" s="403">
        <f t="shared" si="2"/>
        <v>35</v>
      </c>
      <c r="F60" s="218" t="s">
        <v>1022</v>
      </c>
    </row>
    <row r="61" spans="1:6" x14ac:dyDescent="0.2">
      <c r="A61" s="402">
        <v>54</v>
      </c>
      <c r="B61" s="218">
        <v>35</v>
      </c>
      <c r="C61" s="403">
        <v>0</v>
      </c>
      <c r="D61" s="403">
        <f t="shared" si="1"/>
        <v>35</v>
      </c>
      <c r="E61" s="403">
        <f t="shared" si="2"/>
        <v>35</v>
      </c>
      <c r="F61" s="218" t="s">
        <v>1022</v>
      </c>
    </row>
    <row r="62" spans="1:6" x14ac:dyDescent="0.2">
      <c r="A62" s="402">
        <v>55</v>
      </c>
      <c r="B62" s="218">
        <v>36</v>
      </c>
      <c r="C62" s="403">
        <v>0</v>
      </c>
      <c r="D62" s="403">
        <f t="shared" si="1"/>
        <v>35</v>
      </c>
      <c r="E62" s="403">
        <f t="shared" si="2"/>
        <v>35</v>
      </c>
      <c r="F62" s="218" t="s">
        <v>1022</v>
      </c>
    </row>
    <row r="63" spans="1:6" x14ac:dyDescent="0.2">
      <c r="A63" s="402">
        <v>56</v>
      </c>
      <c r="B63" s="218">
        <v>37</v>
      </c>
      <c r="C63" s="403">
        <v>0</v>
      </c>
      <c r="D63" s="403">
        <f t="shared" si="1"/>
        <v>35</v>
      </c>
      <c r="E63" s="403">
        <f t="shared" si="2"/>
        <v>35</v>
      </c>
      <c r="F63" s="218" t="s">
        <v>1022</v>
      </c>
    </row>
    <row r="64" spans="1:6" x14ac:dyDescent="0.2">
      <c r="A64" s="402">
        <v>57</v>
      </c>
      <c r="B64" s="218">
        <v>38</v>
      </c>
      <c r="C64" s="403">
        <v>0</v>
      </c>
      <c r="D64" s="403">
        <f t="shared" si="1"/>
        <v>35</v>
      </c>
      <c r="E64" s="403">
        <f t="shared" si="2"/>
        <v>35</v>
      </c>
      <c r="F64" s="218" t="s">
        <v>1022</v>
      </c>
    </row>
    <row r="65" spans="1:20" x14ac:dyDescent="0.2">
      <c r="A65" s="402">
        <v>58</v>
      </c>
      <c r="B65" s="218">
        <v>39</v>
      </c>
      <c r="C65" s="403">
        <v>0</v>
      </c>
      <c r="D65" s="403">
        <f t="shared" si="1"/>
        <v>35</v>
      </c>
      <c r="E65" s="403">
        <f t="shared" si="2"/>
        <v>35</v>
      </c>
      <c r="F65" s="218" t="s">
        <v>1022</v>
      </c>
    </row>
    <row r="66" spans="1:20" x14ac:dyDescent="0.2">
      <c r="A66" s="402">
        <v>59</v>
      </c>
      <c r="B66" s="218">
        <v>40</v>
      </c>
      <c r="C66" s="403">
        <v>0</v>
      </c>
      <c r="D66" s="403">
        <f t="shared" si="1"/>
        <v>35</v>
      </c>
      <c r="E66" s="403">
        <f t="shared" si="2"/>
        <v>35</v>
      </c>
      <c r="F66" s="218" t="s">
        <v>1022</v>
      </c>
    </row>
    <row r="67" spans="1:20" x14ac:dyDescent="0.2">
      <c r="A67" s="402">
        <v>60</v>
      </c>
      <c r="B67" s="218">
        <v>41</v>
      </c>
      <c r="C67" s="403">
        <v>0</v>
      </c>
      <c r="D67" s="403">
        <f t="shared" si="1"/>
        <v>35</v>
      </c>
      <c r="E67" s="403">
        <f t="shared" si="2"/>
        <v>35</v>
      </c>
      <c r="F67" s="218" t="s">
        <v>1022</v>
      </c>
    </row>
    <row r="68" spans="1:20" x14ac:dyDescent="0.2">
      <c r="A68" s="402">
        <v>61</v>
      </c>
      <c r="B68" s="218">
        <v>42</v>
      </c>
      <c r="C68" s="403">
        <v>0</v>
      </c>
      <c r="D68" s="403">
        <f t="shared" si="1"/>
        <v>35</v>
      </c>
      <c r="E68" s="403">
        <f t="shared" si="2"/>
        <v>35</v>
      </c>
      <c r="F68" s="218" t="s">
        <v>1022</v>
      </c>
    </row>
    <row r="69" spans="1:20" x14ac:dyDescent="0.2">
      <c r="A69" s="402">
        <v>62</v>
      </c>
      <c r="B69" s="218">
        <v>43</v>
      </c>
      <c r="C69" s="403">
        <v>0</v>
      </c>
      <c r="D69" s="403">
        <f t="shared" si="1"/>
        <v>35</v>
      </c>
      <c r="E69" s="403">
        <f t="shared" si="2"/>
        <v>35</v>
      </c>
      <c r="F69" s="218" t="s">
        <v>1022</v>
      </c>
    </row>
    <row r="70" spans="1:20" x14ac:dyDescent="0.2">
      <c r="A70" s="402">
        <v>63</v>
      </c>
      <c r="B70" s="218">
        <v>44</v>
      </c>
      <c r="C70" s="403">
        <v>0</v>
      </c>
      <c r="D70" s="403">
        <f t="shared" si="1"/>
        <v>35</v>
      </c>
      <c r="E70" s="403">
        <f t="shared" si="2"/>
        <v>35</v>
      </c>
      <c r="F70" s="218" t="s">
        <v>1022</v>
      </c>
    </row>
    <row r="71" spans="1:20" x14ac:dyDescent="0.2">
      <c r="A71" s="402">
        <v>64</v>
      </c>
      <c r="B71" s="218">
        <v>45</v>
      </c>
      <c r="C71" s="403">
        <v>0</v>
      </c>
      <c r="D71" s="403">
        <f t="shared" si="1"/>
        <v>35</v>
      </c>
      <c r="E71" s="403">
        <f t="shared" si="2"/>
        <v>35</v>
      </c>
      <c r="F71" s="218" t="s">
        <v>1022</v>
      </c>
    </row>
    <row r="72" spans="1:20" x14ac:dyDescent="0.2">
      <c r="A72" s="402">
        <v>65</v>
      </c>
      <c r="B72" s="218">
        <v>46</v>
      </c>
      <c r="C72" s="403">
        <v>0</v>
      </c>
      <c r="D72" s="403">
        <f t="shared" si="1"/>
        <v>35</v>
      </c>
      <c r="E72" s="403">
        <f t="shared" si="2"/>
        <v>35</v>
      </c>
      <c r="F72" s="218" t="s">
        <v>1022</v>
      </c>
    </row>
    <row r="73" spans="1:20" x14ac:dyDescent="0.2">
      <c r="A73" s="402">
        <v>66</v>
      </c>
      <c r="B73" s="218">
        <v>47</v>
      </c>
      <c r="C73" s="403">
        <v>0</v>
      </c>
      <c r="D73" s="403">
        <f t="shared" si="1"/>
        <v>35</v>
      </c>
      <c r="E73" s="403">
        <f t="shared" si="2"/>
        <v>35</v>
      </c>
      <c r="F73" s="218" t="s">
        <v>1022</v>
      </c>
    </row>
    <row r="74" spans="1:20" x14ac:dyDescent="0.2">
      <c r="A74" s="402">
        <v>67</v>
      </c>
      <c r="B74" s="218">
        <v>48</v>
      </c>
      <c r="C74" s="403">
        <v>0</v>
      </c>
      <c r="D74" s="403">
        <f t="shared" ref="D74:D98" si="10">C74+D73</f>
        <v>35</v>
      </c>
      <c r="E74" s="403">
        <f t="shared" ref="E74:E98" si="11">E73+C74</f>
        <v>35</v>
      </c>
      <c r="F74" s="218" t="s">
        <v>1022</v>
      </c>
    </row>
    <row r="75" spans="1:20" x14ac:dyDescent="0.2">
      <c r="A75" s="402">
        <v>68</v>
      </c>
      <c r="B75" s="218">
        <v>49</v>
      </c>
      <c r="C75" s="403">
        <v>0</v>
      </c>
      <c r="D75" s="403">
        <f t="shared" si="10"/>
        <v>35</v>
      </c>
      <c r="E75" s="403">
        <f t="shared" si="11"/>
        <v>35</v>
      </c>
      <c r="F75" s="218" t="s">
        <v>1022</v>
      </c>
    </row>
    <row r="76" spans="1:20" x14ac:dyDescent="0.2">
      <c r="A76" s="402">
        <v>69</v>
      </c>
      <c r="B76" s="218">
        <v>50</v>
      </c>
      <c r="C76" s="403">
        <v>0</v>
      </c>
      <c r="D76" s="403">
        <f t="shared" si="10"/>
        <v>35</v>
      </c>
      <c r="E76" s="403">
        <f t="shared" si="11"/>
        <v>35</v>
      </c>
      <c r="F76" s="218" t="s">
        <v>1022</v>
      </c>
    </row>
    <row r="77" spans="1:20" x14ac:dyDescent="0.2">
      <c r="A77" s="402">
        <v>70</v>
      </c>
      <c r="B77" s="218">
        <v>51</v>
      </c>
      <c r="C77" s="403">
        <v>0</v>
      </c>
      <c r="D77" s="403">
        <f t="shared" si="10"/>
        <v>35</v>
      </c>
      <c r="E77" s="403">
        <f t="shared" si="11"/>
        <v>35</v>
      </c>
      <c r="F77" s="218" t="s">
        <v>1022</v>
      </c>
    </row>
    <row r="78" spans="1:20" x14ac:dyDescent="0.2">
      <c r="A78" s="402">
        <v>71</v>
      </c>
      <c r="B78" s="218">
        <v>52</v>
      </c>
      <c r="C78" s="403">
        <v>0</v>
      </c>
      <c r="D78" s="403">
        <f t="shared" si="10"/>
        <v>35</v>
      </c>
      <c r="E78" s="403">
        <f t="shared" si="11"/>
        <v>35</v>
      </c>
      <c r="F78" s="218" t="s">
        <v>1022</v>
      </c>
    </row>
    <row r="79" spans="1:20" x14ac:dyDescent="0.2">
      <c r="A79" s="402">
        <v>72</v>
      </c>
      <c r="B79" s="218">
        <v>53</v>
      </c>
      <c r="C79" s="403">
        <v>0</v>
      </c>
      <c r="D79" s="403">
        <f t="shared" si="10"/>
        <v>35</v>
      </c>
      <c r="E79" s="403">
        <f t="shared" si="11"/>
        <v>35</v>
      </c>
      <c r="F79" s="218" t="s">
        <v>1022</v>
      </c>
    </row>
    <row r="80" spans="1:20" x14ac:dyDescent="0.2">
      <c r="A80" s="402">
        <v>73</v>
      </c>
      <c r="B80" s="218">
        <v>54</v>
      </c>
      <c r="C80" s="403">
        <v>0</v>
      </c>
      <c r="D80" s="403">
        <f t="shared" si="10"/>
        <v>35</v>
      </c>
      <c r="E80" s="403">
        <f t="shared" si="11"/>
        <v>35</v>
      </c>
      <c r="F80" s="218" t="s">
        <v>1022</v>
      </c>
      <c r="G80" s="417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417"/>
      <c r="T80" s="417"/>
    </row>
    <row r="81" spans="1:6" x14ac:dyDescent="0.2">
      <c r="A81" s="402">
        <v>74</v>
      </c>
      <c r="B81" s="218">
        <v>55</v>
      </c>
      <c r="C81" s="403">
        <v>0</v>
      </c>
      <c r="D81" s="403">
        <f t="shared" si="10"/>
        <v>35</v>
      </c>
      <c r="E81" s="403">
        <f t="shared" si="11"/>
        <v>35</v>
      </c>
      <c r="F81" s="218" t="s">
        <v>1022</v>
      </c>
    </row>
    <row r="82" spans="1:6" x14ac:dyDescent="0.2">
      <c r="A82" s="402">
        <v>75</v>
      </c>
      <c r="B82" s="218">
        <v>56</v>
      </c>
      <c r="C82" s="403">
        <v>0</v>
      </c>
      <c r="D82" s="403">
        <f t="shared" si="10"/>
        <v>35</v>
      </c>
      <c r="E82" s="403">
        <f t="shared" si="11"/>
        <v>35</v>
      </c>
      <c r="F82" s="218" t="s">
        <v>1022</v>
      </c>
    </row>
    <row r="83" spans="1:6" x14ac:dyDescent="0.2">
      <c r="A83" s="402">
        <v>76</v>
      </c>
      <c r="B83" s="218">
        <v>57</v>
      </c>
      <c r="C83" s="403">
        <v>0</v>
      </c>
      <c r="D83" s="403">
        <f t="shared" si="10"/>
        <v>35</v>
      </c>
      <c r="E83" s="403">
        <f t="shared" si="11"/>
        <v>35</v>
      </c>
      <c r="F83" s="218" t="s">
        <v>1022</v>
      </c>
    </row>
    <row r="84" spans="1:6" x14ac:dyDescent="0.2">
      <c r="A84" s="402">
        <v>77</v>
      </c>
      <c r="B84" s="218">
        <v>58</v>
      </c>
      <c r="C84" s="403">
        <v>0</v>
      </c>
      <c r="D84" s="403">
        <f t="shared" si="10"/>
        <v>35</v>
      </c>
      <c r="E84" s="403">
        <f t="shared" si="11"/>
        <v>35</v>
      </c>
      <c r="F84" s="218" t="s">
        <v>1022</v>
      </c>
    </row>
    <row r="85" spans="1:6" x14ac:dyDescent="0.2">
      <c r="A85" s="402">
        <v>78</v>
      </c>
      <c r="B85" s="218">
        <v>59</v>
      </c>
      <c r="C85" s="403">
        <v>0</v>
      </c>
      <c r="D85" s="403">
        <f t="shared" si="10"/>
        <v>35</v>
      </c>
      <c r="E85" s="403">
        <f t="shared" si="11"/>
        <v>35</v>
      </c>
      <c r="F85" s="218" t="s">
        <v>1022</v>
      </c>
    </row>
    <row r="86" spans="1:6" x14ac:dyDescent="0.2">
      <c r="A86" s="402">
        <v>79</v>
      </c>
      <c r="B86" s="218">
        <v>60</v>
      </c>
      <c r="C86" s="403">
        <v>0</v>
      </c>
      <c r="D86" s="403">
        <f t="shared" si="10"/>
        <v>35</v>
      </c>
      <c r="E86" s="403">
        <f t="shared" si="11"/>
        <v>35</v>
      </c>
      <c r="F86" s="218" t="s">
        <v>1022</v>
      </c>
    </row>
    <row r="87" spans="1:6" x14ac:dyDescent="0.2">
      <c r="A87" s="402">
        <v>80</v>
      </c>
      <c r="B87" s="218"/>
      <c r="C87" s="403">
        <v>0</v>
      </c>
      <c r="D87" s="403">
        <f t="shared" si="10"/>
        <v>35</v>
      </c>
      <c r="E87" s="403">
        <f t="shared" si="11"/>
        <v>35</v>
      </c>
      <c r="F87" s="218" t="s">
        <v>1026</v>
      </c>
    </row>
    <row r="88" spans="1:6" x14ac:dyDescent="0.2">
      <c r="A88" s="402">
        <v>81</v>
      </c>
      <c r="B88" s="218"/>
      <c r="C88" s="403">
        <v>0</v>
      </c>
      <c r="D88" s="403">
        <f t="shared" si="10"/>
        <v>35</v>
      </c>
      <c r="E88" s="403">
        <f t="shared" si="11"/>
        <v>35</v>
      </c>
      <c r="F88" s="218" t="s">
        <v>1026</v>
      </c>
    </row>
    <row r="89" spans="1:6" x14ac:dyDescent="0.2">
      <c r="A89" s="402">
        <v>82</v>
      </c>
      <c r="B89" s="218"/>
      <c r="C89" s="403">
        <v>0</v>
      </c>
      <c r="D89" s="403">
        <f t="shared" si="10"/>
        <v>35</v>
      </c>
      <c r="E89" s="403">
        <f t="shared" si="11"/>
        <v>35</v>
      </c>
      <c r="F89" s="218" t="s">
        <v>1026</v>
      </c>
    </row>
    <row r="90" spans="1:6" x14ac:dyDescent="0.2">
      <c r="A90" s="402">
        <v>83</v>
      </c>
      <c r="B90" s="218"/>
      <c r="C90" s="403">
        <v>0</v>
      </c>
      <c r="D90" s="403">
        <f t="shared" si="10"/>
        <v>35</v>
      </c>
      <c r="E90" s="403">
        <f t="shared" si="11"/>
        <v>35</v>
      </c>
      <c r="F90" s="218" t="s">
        <v>1026</v>
      </c>
    </row>
    <row r="91" spans="1:6" x14ac:dyDescent="0.2">
      <c r="A91" s="402">
        <v>84</v>
      </c>
      <c r="B91" s="218"/>
      <c r="C91" s="403">
        <v>0</v>
      </c>
      <c r="D91" s="403">
        <f t="shared" si="10"/>
        <v>35</v>
      </c>
      <c r="E91" s="403">
        <f t="shared" si="11"/>
        <v>35</v>
      </c>
      <c r="F91" s="218" t="s">
        <v>1027</v>
      </c>
    </row>
    <row r="92" spans="1:6" x14ac:dyDescent="0.2">
      <c r="A92" s="402">
        <v>85</v>
      </c>
      <c r="B92" s="218"/>
      <c r="C92" s="403">
        <v>0</v>
      </c>
      <c r="D92" s="403">
        <f t="shared" si="10"/>
        <v>35</v>
      </c>
      <c r="E92" s="403">
        <f t="shared" si="11"/>
        <v>35</v>
      </c>
      <c r="F92" s="218" t="s">
        <v>1027</v>
      </c>
    </row>
    <row r="93" spans="1:6" x14ac:dyDescent="0.2">
      <c r="A93" s="402">
        <v>86</v>
      </c>
      <c r="B93" s="218"/>
      <c r="C93" s="403">
        <v>0</v>
      </c>
      <c r="D93" s="403">
        <f t="shared" si="10"/>
        <v>35</v>
      </c>
      <c r="E93" s="403">
        <f t="shared" si="11"/>
        <v>35</v>
      </c>
      <c r="F93" s="218" t="s">
        <v>1027</v>
      </c>
    </row>
    <row r="94" spans="1:6" x14ac:dyDescent="0.2">
      <c r="A94" s="402">
        <v>87</v>
      </c>
      <c r="B94" s="218"/>
      <c r="C94" s="403">
        <v>0</v>
      </c>
      <c r="D94" s="403">
        <f t="shared" si="10"/>
        <v>35</v>
      </c>
      <c r="E94" s="403">
        <f t="shared" si="11"/>
        <v>35</v>
      </c>
      <c r="F94" s="218" t="s">
        <v>1027</v>
      </c>
    </row>
    <row r="95" spans="1:6" x14ac:dyDescent="0.2">
      <c r="A95" s="402">
        <v>88</v>
      </c>
      <c r="B95" s="218"/>
      <c r="C95" s="403">
        <v>0</v>
      </c>
      <c r="D95" s="403">
        <f t="shared" si="10"/>
        <v>35</v>
      </c>
      <c r="E95" s="403">
        <f t="shared" si="11"/>
        <v>35</v>
      </c>
      <c r="F95" s="218" t="s">
        <v>1027</v>
      </c>
    </row>
    <row r="96" spans="1:6" x14ac:dyDescent="0.2">
      <c r="A96" s="402">
        <v>89</v>
      </c>
      <c r="B96" s="218"/>
      <c r="C96" s="403">
        <v>0</v>
      </c>
      <c r="D96" s="403">
        <f t="shared" si="10"/>
        <v>35</v>
      </c>
      <c r="E96" s="403">
        <f t="shared" si="11"/>
        <v>35</v>
      </c>
      <c r="F96" s="218" t="s">
        <v>1027</v>
      </c>
    </row>
    <row r="97" spans="1:20" x14ac:dyDescent="0.2">
      <c r="A97" s="402">
        <v>90</v>
      </c>
      <c r="C97" s="403">
        <v>0</v>
      </c>
      <c r="D97" s="403">
        <f t="shared" si="10"/>
        <v>35</v>
      </c>
      <c r="E97" s="403">
        <f t="shared" si="11"/>
        <v>35</v>
      </c>
      <c r="F97" s="218" t="s">
        <v>1027</v>
      </c>
    </row>
    <row r="98" spans="1:20" x14ac:dyDescent="0.2">
      <c r="C98" s="403">
        <v>0</v>
      </c>
      <c r="D98" s="403">
        <f t="shared" si="10"/>
        <v>35</v>
      </c>
      <c r="E98" s="403">
        <f t="shared" si="11"/>
        <v>35</v>
      </c>
      <c r="G98" s="218" t="s">
        <v>1028</v>
      </c>
    </row>
    <row r="102" spans="1:20" x14ac:dyDescent="0.2">
      <c r="A102" s="416"/>
      <c r="B102" s="417"/>
      <c r="C102" s="418"/>
      <c r="D102" s="418"/>
      <c r="E102" s="418"/>
      <c r="F102" s="417"/>
      <c r="G102" s="416"/>
      <c r="H102" s="416"/>
      <c r="I102" s="416"/>
      <c r="J102" s="416"/>
      <c r="K102" s="417"/>
      <c r="L102" s="418"/>
      <c r="M102" s="418"/>
      <c r="N102" s="418"/>
      <c r="O102" s="418"/>
      <c r="P102" s="417"/>
      <c r="Q102" s="418"/>
      <c r="R102" s="418"/>
      <c r="S102" s="418"/>
      <c r="T102" s="418"/>
    </row>
    <row r="103" spans="1:20" x14ac:dyDescent="0.2">
      <c r="A103" s="405" t="s">
        <v>703</v>
      </c>
      <c r="B103" s="269"/>
      <c r="C103" s="415"/>
      <c r="D103" s="415"/>
      <c r="E103" s="415"/>
      <c r="F103" s="401"/>
      <c r="G103" s="415"/>
      <c r="H103" s="415"/>
      <c r="I103" s="415">
        <f>H37</f>
        <v>192</v>
      </c>
      <c r="J103" s="415"/>
      <c r="K103" s="401"/>
      <c r="L103" s="415"/>
      <c r="M103" s="415"/>
      <c r="N103" s="415">
        <f>M37</f>
        <v>96</v>
      </c>
      <c r="O103" s="415"/>
      <c r="P103" s="401"/>
      <c r="Q103" s="415"/>
      <c r="R103" s="415"/>
      <c r="S103" s="415">
        <f>R37</f>
        <v>144</v>
      </c>
      <c r="T103" s="402"/>
    </row>
    <row r="104" spans="1:20" x14ac:dyDescent="0.2">
      <c r="A104" s="405" t="s">
        <v>704</v>
      </c>
      <c r="B104" s="269"/>
      <c r="C104" s="415"/>
      <c r="D104" s="415"/>
      <c r="E104" s="415"/>
      <c r="F104" s="401"/>
      <c r="G104" s="415"/>
      <c r="H104" s="415"/>
      <c r="I104" s="415">
        <v>11</v>
      </c>
      <c r="J104" s="415"/>
      <c r="K104" s="401"/>
      <c r="L104" s="415"/>
      <c r="M104" s="415"/>
      <c r="N104" s="415">
        <v>5</v>
      </c>
      <c r="O104" s="415"/>
      <c r="P104" s="401"/>
      <c r="Q104" s="415"/>
      <c r="R104" s="415"/>
      <c r="S104" s="415">
        <v>7</v>
      </c>
      <c r="T104" s="402"/>
    </row>
  </sheetData>
  <mergeCells count="4">
    <mergeCell ref="C6:E6"/>
    <mergeCell ref="G6:J6"/>
    <mergeCell ref="L6:O6"/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</vt:i4>
      </vt:variant>
    </vt:vector>
  </HeadingPairs>
  <TitlesOfParts>
    <vt:vector size="32" baseType="lpstr">
      <vt:lpstr>Assumption</vt:lpstr>
      <vt:lpstr>Rincian Tarif Toll</vt:lpstr>
      <vt:lpstr>ProjectValuation</vt:lpstr>
      <vt:lpstr>Variable Cost</vt:lpstr>
      <vt:lpstr>Ovh Cost</vt:lpstr>
      <vt:lpstr>Revenue</vt:lpstr>
      <vt:lpstr>IncomeStatement</vt:lpstr>
      <vt:lpstr>WorkingCapital</vt:lpstr>
      <vt:lpstr>CashFlow</vt:lpstr>
      <vt:lpstr>Revenue Thermoking</vt:lpstr>
      <vt:lpstr>Dividen</vt:lpstr>
      <vt:lpstr>EquityChange</vt:lpstr>
      <vt:lpstr>CapitalInvestment</vt:lpstr>
      <vt:lpstr>CostofCapital</vt:lpstr>
      <vt:lpstr>FreightCost</vt:lpstr>
      <vt:lpstr>SG&amp;A Truck Thermoking</vt:lpstr>
      <vt:lpstr>Salary</vt:lpstr>
      <vt:lpstr>Sensitivity</vt:lpstr>
      <vt:lpstr>LoanInterest</vt:lpstr>
      <vt:lpstr>Anuitas Loan</vt:lpstr>
      <vt:lpstr>Loan Flat</vt:lpstr>
      <vt:lpstr>Depreciation</vt:lpstr>
      <vt:lpstr>TransportReference</vt:lpstr>
      <vt:lpstr>Lamp P&amp;L</vt:lpstr>
      <vt:lpstr>Lamp CF</vt:lpstr>
      <vt:lpstr>Theory</vt:lpstr>
      <vt:lpstr>FullCosting</vt:lpstr>
      <vt:lpstr>Costs&amp;Expenses</vt:lpstr>
      <vt:lpstr>CostChecking</vt:lpstr>
      <vt:lpstr>Cost</vt:lpstr>
      <vt:lpstr>Supply schedule</vt:lpstr>
      <vt:lpstr>'Anuitas Loan'!Print_Area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pt pema</cp:lastModifiedBy>
  <cp:lastPrinted>2024-01-12T11:22:54Z</cp:lastPrinted>
  <dcterms:created xsi:type="dcterms:W3CDTF">2020-06-20T11:38:45Z</dcterms:created>
  <dcterms:modified xsi:type="dcterms:W3CDTF">2024-02-13T04:51:57Z</dcterms:modified>
</cp:coreProperties>
</file>