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8_{65CD12C9-A890-46A2-B9D2-3DBA89EC016A}" xr6:coauthVersionLast="47" xr6:coauthVersionMax="47" xr10:uidLastSave="{00000000-0000-0000-0000-000000000000}"/>
  <bookViews>
    <workbookView xWindow="-120" yWindow="-120" windowWidth="29040" windowHeight="15720" xr2:uid="{934A418D-23FE-4594-9CB0-67EE76D10A0A}"/>
  </bookViews>
  <sheets>
    <sheet name="data pdf" sheetId="1" r:id="rId1"/>
  </sheets>
  <definedNames>
    <definedName name="_xlnm._FilterDatabase" localSheetId="0" hidden="1">'data pdf'!$A$2:$AT$16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6" i="1" l="1"/>
  <c r="H125" i="1"/>
  <c r="F125" i="1"/>
  <c r="Q124" i="1"/>
  <c r="O124" i="1"/>
  <c r="P114" i="1"/>
  <c r="O123" i="1" s="1"/>
  <c r="K106" i="1"/>
  <c r="AF105" i="1"/>
  <c r="AD105" i="1"/>
  <c r="X105" i="1"/>
  <c r="W105" i="1"/>
  <c r="S105" i="1"/>
  <c r="J105" i="1"/>
  <c r="AU105" i="1" s="1"/>
  <c r="I105" i="1"/>
  <c r="I104" i="1"/>
  <c r="H104" i="1"/>
  <c r="I103" i="1"/>
  <c r="H103" i="1"/>
  <c r="I102" i="1"/>
  <c r="H102" i="1"/>
  <c r="I101" i="1"/>
  <c r="H101" i="1"/>
  <c r="I100" i="1"/>
  <c r="H100" i="1"/>
  <c r="AC99" i="1"/>
  <c r="X99" i="1"/>
  <c r="W99" i="1"/>
  <c r="S99" i="1"/>
  <c r="I99" i="1"/>
  <c r="J99" i="1" s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AD92" i="1"/>
  <c r="AC92" i="1"/>
  <c r="X92" i="1"/>
  <c r="W92" i="1"/>
  <c r="S92" i="1"/>
  <c r="I92" i="1"/>
  <c r="J92" i="1" s="1"/>
  <c r="AE92" i="1" s="1"/>
  <c r="AF92" i="1" s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AD84" i="1"/>
  <c r="AE84" i="1" s="1"/>
  <c r="AF84" i="1" s="1"/>
  <c r="AC84" i="1"/>
  <c r="X84" i="1"/>
  <c r="W84" i="1"/>
  <c r="S84" i="1"/>
  <c r="I84" i="1"/>
  <c r="J84" i="1" s="1"/>
  <c r="AU84" i="1" s="1"/>
  <c r="H84" i="1"/>
  <c r="AD83" i="1"/>
  <c r="AC83" i="1"/>
  <c r="X83" i="1"/>
  <c r="R83" i="1"/>
  <c r="W83" i="1" s="1"/>
  <c r="I83" i="1"/>
  <c r="J83" i="1" s="1"/>
  <c r="AU83" i="1" s="1"/>
  <c r="H83" i="1"/>
  <c r="AD82" i="1"/>
  <c r="X82" i="1"/>
  <c r="R82" i="1"/>
  <c r="AC82" i="1" s="1"/>
  <c r="AU82" i="1" s="1"/>
  <c r="J82" i="1"/>
  <c r="I82" i="1"/>
  <c r="H82" i="1"/>
  <c r="I81" i="1"/>
  <c r="H81" i="1"/>
  <c r="I80" i="1"/>
  <c r="H80" i="1"/>
  <c r="I79" i="1"/>
  <c r="H79" i="1"/>
  <c r="I78" i="1"/>
  <c r="H78" i="1"/>
  <c r="AD77" i="1"/>
  <c r="AC77" i="1"/>
  <c r="X77" i="1"/>
  <c r="W77" i="1"/>
  <c r="S77" i="1"/>
  <c r="I77" i="1"/>
  <c r="J77" i="1" s="1"/>
  <c r="AE77" i="1" s="1"/>
  <c r="AF77" i="1" s="1"/>
  <c r="H77" i="1"/>
  <c r="I76" i="1"/>
  <c r="H76" i="1"/>
  <c r="I75" i="1"/>
  <c r="I74" i="1"/>
  <c r="J73" i="1" s="1"/>
  <c r="AE73" i="1" s="1"/>
  <c r="AF73" i="1" s="1"/>
  <c r="AD73" i="1"/>
  <c r="AU73" i="1" s="1"/>
  <c r="AC73" i="1"/>
  <c r="X73" i="1"/>
  <c r="W73" i="1"/>
  <c r="S73" i="1"/>
  <c r="I73" i="1"/>
  <c r="I72" i="1"/>
  <c r="H72" i="1"/>
  <c r="I71" i="1"/>
  <c r="I70" i="1"/>
  <c r="H70" i="1"/>
  <c r="AD69" i="1"/>
  <c r="AC69" i="1"/>
  <c r="X69" i="1"/>
  <c r="W69" i="1"/>
  <c r="S69" i="1"/>
  <c r="I69" i="1"/>
  <c r="J69" i="1" s="1"/>
  <c r="AE69" i="1" s="1"/>
  <c r="AF69" i="1" s="1"/>
  <c r="I68" i="1"/>
  <c r="I67" i="1"/>
  <c r="H67" i="1"/>
  <c r="I66" i="1"/>
  <c r="H66" i="1"/>
  <c r="I65" i="1"/>
  <c r="I64" i="1"/>
  <c r="I63" i="1"/>
  <c r="H63" i="1"/>
  <c r="AD62" i="1"/>
  <c r="AU62" i="1" s="1"/>
  <c r="AC62" i="1"/>
  <c r="X62" i="1"/>
  <c r="W62" i="1"/>
  <c r="S62" i="1"/>
  <c r="J62" i="1"/>
  <c r="AE62" i="1" s="1"/>
  <c r="AF62" i="1" s="1"/>
  <c r="I60" i="1"/>
  <c r="I59" i="1"/>
  <c r="I58" i="1"/>
  <c r="I57" i="1"/>
  <c r="I56" i="1"/>
  <c r="I55" i="1"/>
  <c r="I54" i="1"/>
  <c r="I53" i="1"/>
  <c r="H53" i="1"/>
  <c r="I52" i="1"/>
  <c r="H52" i="1"/>
  <c r="I51" i="1"/>
  <c r="AD50" i="1"/>
  <c r="AC50" i="1"/>
  <c r="X50" i="1"/>
  <c r="W50" i="1"/>
  <c r="S50" i="1"/>
  <c r="I50" i="1"/>
  <c r="J50" i="1" s="1"/>
  <c r="AD49" i="1"/>
  <c r="AC49" i="1"/>
  <c r="X49" i="1"/>
  <c r="W49" i="1"/>
  <c r="R49" i="1"/>
  <c r="S49" i="1" s="1"/>
  <c r="I49" i="1"/>
  <c r="J49" i="1" s="1"/>
  <c r="H49" i="1"/>
  <c r="I48" i="1"/>
  <c r="I47" i="1"/>
  <c r="I46" i="1"/>
  <c r="I45" i="1"/>
  <c r="H45" i="1"/>
  <c r="I44" i="1"/>
  <c r="I43" i="1"/>
  <c r="I42" i="1"/>
  <c r="I41" i="1"/>
  <c r="H41" i="1"/>
  <c r="I40" i="1"/>
  <c r="I39" i="1"/>
  <c r="I38" i="1"/>
  <c r="I37" i="1"/>
  <c r="H37" i="1"/>
  <c r="AD36" i="1"/>
  <c r="AC36" i="1"/>
  <c r="X36" i="1"/>
  <c r="W36" i="1"/>
  <c r="S36" i="1"/>
  <c r="I36" i="1"/>
  <c r="J36" i="1" s="1"/>
  <c r="H36" i="1"/>
  <c r="I35" i="1"/>
  <c r="I34" i="1"/>
  <c r="I33" i="1"/>
  <c r="I32" i="1"/>
  <c r="H32" i="1"/>
  <c r="I31" i="1"/>
  <c r="I30" i="1"/>
  <c r="I29" i="1"/>
  <c r="AD28" i="1"/>
  <c r="AC28" i="1"/>
  <c r="AB28" i="1"/>
  <c r="AA28" i="1"/>
  <c r="X28" i="1"/>
  <c r="W28" i="1"/>
  <c r="S28" i="1"/>
  <c r="I28" i="1"/>
  <c r="J28" i="1" s="1"/>
  <c r="G28" i="1"/>
  <c r="I26" i="1"/>
  <c r="G26" i="1"/>
  <c r="I25" i="1"/>
  <c r="G25" i="1"/>
  <c r="I24" i="1"/>
  <c r="G24" i="1"/>
  <c r="AD23" i="1"/>
  <c r="AU23" i="1" s="1"/>
  <c r="AC23" i="1"/>
  <c r="X23" i="1"/>
  <c r="W23" i="1"/>
  <c r="S23" i="1"/>
  <c r="I23" i="1"/>
  <c r="J23" i="1" s="1"/>
  <c r="AE23" i="1" s="1"/>
  <c r="AF23" i="1" s="1"/>
  <c r="G23" i="1"/>
  <c r="I22" i="1"/>
  <c r="AD21" i="1"/>
  <c r="AU21" i="1" s="1"/>
  <c r="AC21" i="1"/>
  <c r="AE21" i="1" s="1"/>
  <c r="AF21" i="1" s="1"/>
  <c r="X21" i="1"/>
  <c r="W21" i="1"/>
  <c r="S21" i="1"/>
  <c r="J21" i="1"/>
  <c r="I21" i="1"/>
  <c r="I20" i="1"/>
  <c r="G20" i="1"/>
  <c r="I19" i="1"/>
  <c r="G19" i="1"/>
  <c r="I18" i="1"/>
  <c r="G18" i="1"/>
  <c r="I17" i="1"/>
  <c r="G17" i="1"/>
  <c r="I16" i="1"/>
  <c r="G16" i="1"/>
  <c r="I15" i="1"/>
  <c r="G15" i="1"/>
  <c r="AQ14" i="1"/>
  <c r="AP14" i="1"/>
  <c r="AK14" i="1"/>
  <c r="AI14" i="1"/>
  <c r="AD14" i="1"/>
  <c r="AC14" i="1"/>
  <c r="AB14" i="1"/>
  <c r="AA14" i="1"/>
  <c r="X14" i="1"/>
  <c r="W14" i="1"/>
  <c r="S14" i="1"/>
  <c r="I14" i="1"/>
  <c r="J14" i="1" s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AD7" i="1"/>
  <c r="AC7" i="1"/>
  <c r="T7" i="1"/>
  <c r="AJ7" i="1" s="1"/>
  <c r="S7" i="1"/>
  <c r="I7" i="1"/>
  <c r="J7" i="1" s="1"/>
  <c r="AE7" i="1" s="1"/>
  <c r="G7" i="1"/>
  <c r="AJ6" i="1"/>
  <c r="AU6" i="1" s="1"/>
  <c r="AH6" i="1"/>
  <c r="AG6" i="1"/>
  <c r="AQ4" i="1" s="1"/>
  <c r="AD6" i="1"/>
  <c r="AC6" i="1"/>
  <c r="X6" i="1"/>
  <c r="W6" i="1"/>
  <c r="S6" i="1"/>
  <c r="I6" i="1"/>
  <c r="J6" i="1" s="1"/>
  <c r="AE6" i="1" s="1"/>
  <c r="G6" i="1"/>
  <c r="I5" i="1"/>
  <c r="G5" i="1"/>
  <c r="AJ4" i="1"/>
  <c r="AI4" i="1"/>
  <c r="AH4" i="1"/>
  <c r="AD4" i="1"/>
  <c r="AU4" i="1" s="1"/>
  <c r="AV4" i="1" s="1"/>
  <c r="AV6" i="1" s="1"/>
  <c r="X4" i="1"/>
  <c r="W4" i="1"/>
  <c r="S4" i="1"/>
  <c r="I4" i="1"/>
  <c r="J4" i="1" s="1"/>
  <c r="AE4" i="1" s="1"/>
  <c r="G4" i="1"/>
  <c r="AE28" i="1" l="1"/>
  <c r="AF28" i="1" s="1"/>
  <c r="AU28" i="1"/>
  <c r="W107" i="1"/>
  <c r="O116" i="1" s="1"/>
  <c r="AE14" i="1"/>
  <c r="AF14" i="1" s="1"/>
  <c r="AU14" i="1"/>
  <c r="AU49" i="1"/>
  <c r="AE49" i="1"/>
  <c r="AF49" i="1" s="1"/>
  <c r="AE36" i="1"/>
  <c r="AF36" i="1" s="1"/>
  <c r="AU36" i="1"/>
  <c r="AE83" i="1"/>
  <c r="AF83" i="1" s="1"/>
  <c r="AK7" i="1"/>
  <c r="AF7" i="1"/>
  <c r="AE50" i="1"/>
  <c r="AF50" i="1" s="1"/>
  <c r="AU50" i="1"/>
  <c r="AU77" i="1"/>
  <c r="AU92" i="1"/>
  <c r="AF6" i="1"/>
  <c r="AK6" i="1"/>
  <c r="AU7" i="1"/>
  <c r="AV7" i="1" s="1"/>
  <c r="AV14" i="1" s="1"/>
  <c r="AV21" i="1" s="1"/>
  <c r="AV23" i="1" s="1"/>
  <c r="AV27" i="1" s="1"/>
  <c r="AV28" i="1" s="1"/>
  <c r="AV36" i="1" s="1"/>
  <c r="AV49" i="1" s="1"/>
  <c r="AV50" i="1" s="1"/>
  <c r="AV62" i="1" s="1"/>
  <c r="AV69" i="1" s="1"/>
  <c r="AV73" i="1" s="1"/>
  <c r="AV77" i="1" s="1"/>
  <c r="AV82" i="1" s="1"/>
  <c r="AV83" i="1" s="1"/>
  <c r="AV84" i="1" s="1"/>
  <c r="AV92" i="1" s="1"/>
  <c r="AV99" i="1" s="1"/>
  <c r="AV105" i="1" s="1"/>
  <c r="AK4" i="1"/>
  <c r="AF4" i="1"/>
  <c r="AU69" i="1"/>
  <c r="AE82" i="1"/>
  <c r="AF82" i="1" s="1"/>
  <c r="AU99" i="1"/>
  <c r="AE99" i="1"/>
  <c r="AF99" i="1" s="1"/>
  <c r="R107" i="1"/>
  <c r="T107" i="1"/>
  <c r="S82" i="1"/>
  <c r="W82" i="1"/>
  <c r="S83" i="1"/>
  <c r="S107" i="1" s="1"/>
  <c r="O115" i="1" s="1"/>
  <c r="P115" i="1" s="1"/>
  <c r="AI6" i="1"/>
  <c r="AH7" i="1"/>
  <c r="W7" i="1"/>
  <c r="X7" i="1"/>
  <c r="AI7" i="1"/>
  <c r="AP4" i="1"/>
  <c r="AP107" i="1" s="1"/>
  <c r="O118" i="1" s="1"/>
  <c r="Q115" i="1" l="1"/>
  <c r="Q116" i="1"/>
  <c r="R115" i="1"/>
  <c r="O125" i="1"/>
  <c r="P116" i="1"/>
  <c r="AI107" i="1"/>
  <c r="O117" i="1" s="1"/>
  <c r="O126" i="1" l="1"/>
  <c r="P126" i="1" s="1"/>
  <c r="Q126" i="1" s="1"/>
  <c r="P117" i="1"/>
  <c r="R116" i="1"/>
  <c r="O127" i="1" l="1"/>
  <c r="O128" i="1" s="1"/>
  <c r="P128" i="1" s="1"/>
  <c r="P118" i="1"/>
  <c r="R118" i="1" s="1"/>
  <c r="R117" i="1"/>
  <c r="Q117" i="1"/>
  <c r="Q1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  <author>ACER</author>
  </authors>
  <commentList>
    <comment ref="H5" authorId="0" shapeId="0" xr:uid="{DEEC81ED-F865-4CDB-8532-507FC1567E59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76,50</t>
        </r>
      </text>
    </comment>
    <comment ref="H7" authorId="0" shapeId="0" xr:uid="{B0B50148-35D6-49B4-A0A4-B232A1287B8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78</t>
        </r>
      </text>
    </comment>
    <comment ref="H9" authorId="0" shapeId="0" xr:uid="{57E39ADC-FF45-49A7-AF9E-3ABB0D2887C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150</t>
        </r>
      </text>
    </comment>
    <comment ref="H10" authorId="0" shapeId="0" xr:uid="{8E96DBA7-29BF-4BC4-B75A-3E99A2BD917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132</t>
        </r>
      </text>
    </comment>
    <comment ref="AU113" authorId="1" shapeId="0" xr:uid="{F84CCE08-819E-49E6-A627-0FED6136342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<sst xmlns="http://schemas.openxmlformats.org/spreadsheetml/2006/main" count="554" uniqueCount="207">
  <si>
    <t>Tanggal</t>
  </si>
  <si>
    <t>Nama</t>
  </si>
  <si>
    <t>no proses</t>
  </si>
  <si>
    <t>Pengumpul</t>
  </si>
  <si>
    <t>Gelondong</t>
  </si>
  <si>
    <t>Total Pembelian Gelondong</t>
  </si>
  <si>
    <t>Proses</t>
  </si>
  <si>
    <t>No Bon</t>
  </si>
  <si>
    <t>Tempat Proses Pulper</t>
  </si>
  <si>
    <t>No Proses</t>
  </si>
  <si>
    <t>Tempat Proses Huller</t>
  </si>
  <si>
    <t>tanggal</t>
  </si>
  <si>
    <t>LABU</t>
  </si>
  <si>
    <t>Yield (%)</t>
  </si>
  <si>
    <t>Asalan</t>
  </si>
  <si>
    <t>Jemur Asalan</t>
  </si>
  <si>
    <t xml:space="preserve">biaya </t>
  </si>
  <si>
    <t>Total Modal Asalan</t>
  </si>
  <si>
    <t>Modal/Kg Asalan</t>
  </si>
  <si>
    <t>Sortir</t>
  </si>
  <si>
    <t>sortir lanjutan</t>
  </si>
  <si>
    <t>biaya</t>
  </si>
  <si>
    <t>Bon Pembelian</t>
  </si>
  <si>
    <t>Kredit</t>
  </si>
  <si>
    <t>Debet</t>
  </si>
  <si>
    <t>Saldo</t>
  </si>
  <si>
    <t>Berat</t>
  </si>
  <si>
    <t>Harga/ kg</t>
  </si>
  <si>
    <t xml:space="preserve">Rend </t>
  </si>
  <si>
    <t>( BB )</t>
  </si>
  <si>
    <t>Jumlah</t>
  </si>
  <si>
    <t>kg</t>
  </si>
  <si>
    <t>Air</t>
  </si>
  <si>
    <t>Trase</t>
  </si>
  <si>
    <t>rend</t>
  </si>
  <si>
    <t>Kg</t>
  </si>
  <si>
    <t>Biaya</t>
  </si>
  <si>
    <t>Jemur gabah</t>
  </si>
  <si>
    <t>Giling gelondong</t>
  </si>
  <si>
    <t>Kg Sortir</t>
  </si>
  <si>
    <t>Kg Deffect</t>
  </si>
  <si>
    <t>Biaya Sortir</t>
  </si>
  <si>
    <t>HPP</t>
  </si>
  <si>
    <t>Screen 7</t>
  </si>
  <si>
    <t>Grade 1</t>
  </si>
  <si>
    <t>Pea Berry</t>
  </si>
  <si>
    <t>Telah di terima Modal Belanja Rab Grade 1 01 dari PEMA</t>
  </si>
  <si>
    <t>Edi Mukhtar</t>
  </si>
  <si>
    <t>Jingki 8</t>
  </si>
  <si>
    <t>01</t>
  </si>
  <si>
    <t>Kek Rita</t>
  </si>
  <si>
    <t>05 10 2023</t>
  </si>
  <si>
    <t>01-Pulper</t>
  </si>
  <si>
    <t>B Yaman</t>
  </si>
  <si>
    <t>07 10 2023</t>
  </si>
  <si>
    <t>10 10 2023</t>
  </si>
  <si>
    <t>14 10 2023</t>
  </si>
  <si>
    <t>06 11 2023</t>
  </si>
  <si>
    <t>OK</t>
  </si>
  <si>
    <t>Kiki</t>
  </si>
  <si>
    <t>Jingki 1</t>
  </si>
  <si>
    <t>01-04</t>
  </si>
  <si>
    <t>Dedi</t>
  </si>
  <si>
    <t>Jingki 5</t>
  </si>
  <si>
    <t>02-Pulper</t>
  </si>
  <si>
    <t>Sulubere</t>
  </si>
  <si>
    <t>08 10 2023</t>
  </si>
  <si>
    <t>11 10 2023</t>
  </si>
  <si>
    <t>05-07</t>
  </si>
  <si>
    <t>6 10 2023</t>
  </si>
  <si>
    <t>03-Pulper</t>
  </si>
  <si>
    <t>Yoga</t>
  </si>
  <si>
    <t>Jingki</t>
  </si>
  <si>
    <t>Kamaluddin</t>
  </si>
  <si>
    <t>Jingki 3</t>
  </si>
  <si>
    <t>02-03</t>
  </si>
  <si>
    <t>Cik Sufi</t>
  </si>
  <si>
    <t>Jingki 6</t>
  </si>
  <si>
    <t>09</t>
  </si>
  <si>
    <t>08</t>
  </si>
  <si>
    <t>Kawi</t>
  </si>
  <si>
    <t>04-Pulper</t>
  </si>
  <si>
    <t>12 10 2023</t>
  </si>
  <si>
    <t>14 11 2023</t>
  </si>
  <si>
    <t>Lisma</t>
  </si>
  <si>
    <t>Jingki 7</t>
  </si>
  <si>
    <t>Kamil</t>
  </si>
  <si>
    <t>Jingki 4</t>
  </si>
  <si>
    <t>02</t>
  </si>
  <si>
    <t>Mulya</t>
  </si>
  <si>
    <t>proses KAWI 1</t>
  </si>
  <si>
    <t xml:space="preserve">jingki </t>
  </si>
  <si>
    <t>01-05</t>
  </si>
  <si>
    <t>Proses Kawi</t>
  </si>
  <si>
    <t>jingki</t>
  </si>
  <si>
    <t>06-07</t>
  </si>
  <si>
    <t>kiki</t>
  </si>
  <si>
    <t>05-Pulper</t>
  </si>
  <si>
    <t>03</t>
  </si>
  <si>
    <t>06-Pulper</t>
  </si>
  <si>
    <t>04</t>
  </si>
  <si>
    <t>Yen</t>
  </si>
  <si>
    <t>05</t>
  </si>
  <si>
    <t>07-Pulper</t>
  </si>
  <si>
    <t>15 10 2023</t>
  </si>
  <si>
    <t>17 10 2023</t>
  </si>
  <si>
    <t>06</t>
  </si>
  <si>
    <t>Iyen</t>
  </si>
  <si>
    <t>jingki 8</t>
  </si>
  <si>
    <t>jingki 1</t>
  </si>
  <si>
    <t>kamil</t>
  </si>
  <si>
    <t>jingki 4</t>
  </si>
  <si>
    <t>07</t>
  </si>
  <si>
    <t>kak mus</t>
  </si>
  <si>
    <t>Proses B Kamal</t>
  </si>
  <si>
    <t>proses kamal 01</t>
  </si>
  <si>
    <t>Bintang Bener</t>
  </si>
  <si>
    <t>BB</t>
  </si>
  <si>
    <t>19 10 2023</t>
  </si>
  <si>
    <t>10/13/2023</t>
  </si>
  <si>
    <t>yoga</t>
  </si>
  <si>
    <t>08-Pulper</t>
  </si>
  <si>
    <t>20 10 2023</t>
  </si>
  <si>
    <t>mulya</t>
  </si>
  <si>
    <t>10/14/2023</t>
  </si>
  <si>
    <t>08-09</t>
  </si>
  <si>
    <t>Gilingan Gelondong rusak (pindah)</t>
  </si>
  <si>
    <t>09-Pulper</t>
  </si>
  <si>
    <t>18 10 2023</t>
  </si>
  <si>
    <t>10/15/2023</t>
  </si>
  <si>
    <t>22-26</t>
  </si>
  <si>
    <t>10-18</t>
  </si>
  <si>
    <t>jingki 5</t>
  </si>
  <si>
    <t>10/16/2023</t>
  </si>
  <si>
    <t>05-08</t>
  </si>
  <si>
    <t>16 10 2023</t>
  </si>
  <si>
    <t>10-Pulper</t>
  </si>
  <si>
    <t>10/17/2023</t>
  </si>
  <si>
    <t>28-33</t>
  </si>
  <si>
    <t>11-Pulper</t>
  </si>
  <si>
    <t>19/10/23</t>
  </si>
  <si>
    <t>10/18/2023</t>
  </si>
  <si>
    <t>19/10/2023</t>
  </si>
  <si>
    <t>12-Pulper</t>
  </si>
  <si>
    <t>23/10/23</t>
  </si>
  <si>
    <t>14,8</t>
  </si>
  <si>
    <t>34-35</t>
  </si>
  <si>
    <t>10/19/2023</t>
  </si>
  <si>
    <t>36-37</t>
  </si>
  <si>
    <t>dedi</t>
  </si>
  <si>
    <t>proses kamal 02</t>
  </si>
  <si>
    <t>proses Dedi</t>
  </si>
  <si>
    <t>proses dedi 01</t>
  </si>
  <si>
    <t>Hakim</t>
  </si>
  <si>
    <t xml:space="preserve"> </t>
  </si>
  <si>
    <t>20/10/23</t>
  </si>
  <si>
    <t>13-Pulper</t>
  </si>
  <si>
    <t>25/10/23</t>
  </si>
  <si>
    <t>18,5</t>
  </si>
  <si>
    <t>158,6</t>
  </si>
  <si>
    <t>21/10/23</t>
  </si>
  <si>
    <t>22/10/23</t>
  </si>
  <si>
    <t>14-Pulper</t>
  </si>
  <si>
    <t>27/10/23</t>
  </si>
  <si>
    <t>24/10/23</t>
  </si>
  <si>
    <t>26/10/23</t>
  </si>
  <si>
    <t>28/10/23</t>
  </si>
  <si>
    <t>15-Pulper</t>
  </si>
  <si>
    <t>b yaman</t>
  </si>
  <si>
    <t>27/10/2023</t>
  </si>
  <si>
    <t>29/10/23</t>
  </si>
  <si>
    <t>proses kawi 2</t>
  </si>
  <si>
    <t>proses kawi</t>
  </si>
  <si>
    <t>1,2</t>
  </si>
  <si>
    <t>16 pulper</t>
  </si>
  <si>
    <t>total Modal</t>
  </si>
  <si>
    <t>sisa Paty cash</t>
  </si>
  <si>
    <t>Tabel Penyusutan</t>
  </si>
  <si>
    <t>Deskripsi</t>
  </si>
  <si>
    <t>Satuan</t>
  </si>
  <si>
    <t>deskripsi</t>
  </si>
  <si>
    <t>Proses / Kopi</t>
  </si>
  <si>
    <t>Yield</t>
  </si>
  <si>
    <t>Test</t>
  </si>
  <si>
    <t>Susut (Kg)</t>
  </si>
  <si>
    <t>Rendemen</t>
  </si>
  <si>
    <t xml:space="preserve">gelondong </t>
  </si>
  <si>
    <t xml:space="preserve">kg </t>
  </si>
  <si>
    <t>Belanja Gelondong</t>
  </si>
  <si>
    <t>bambu</t>
  </si>
  <si>
    <t>Giling Gelondong</t>
  </si>
  <si>
    <t>Labu</t>
  </si>
  <si>
    <t>Pulping,hulling</t>
  </si>
  <si>
    <t>Labu (Asalan Kadar air 45%)</t>
  </si>
  <si>
    <t>jemur</t>
  </si>
  <si>
    <t>Asalan (Kadar air 16%)</t>
  </si>
  <si>
    <t>Biaya Jemur</t>
  </si>
  <si>
    <t>screening</t>
  </si>
  <si>
    <t>Sortir Tangan</t>
  </si>
  <si>
    <t xml:space="preserve">biaya sortir tangan </t>
  </si>
  <si>
    <t>G 1 Sc 7</t>
  </si>
  <si>
    <t>sc 7</t>
  </si>
  <si>
    <t>Deffect (Biji Rusak)</t>
  </si>
  <si>
    <t>Sortir ukuran biji (Screen 7)</t>
  </si>
  <si>
    <t>Biaya Screen</t>
  </si>
  <si>
    <t>sisa Sortir (Grade 1)</t>
  </si>
  <si>
    <t>sisa Sortir (Pea Berry)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</si>
</sst>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_(* #,##0_);_(* \(#,##0\);_(* &quot;-&quot;??_);_(@_)"/>
    <numFmt numFmtId="166" formatCode="_(* #,##0.00_);_(* \(#,##0.00\);_(* &quot;-&quot;??_);_(@_)"/>
    <numFmt numFmtId="167" formatCode="_-* #,##0.000_-;\-* #,##0.000_-;_-* &quot;-&quot;??_-;_-@_-"/>
    <numFmt numFmtId="168" formatCode="_(* #,##0.0_);_(* \(#,##0.0\);_(* &quot;-&quot;??_);_(@_)"/>
    <numFmt numFmtId="169" formatCode="_-* #,##0_-;\-* #,##0_-;_-* &quot;-&quot;??_-;_-@_-"/>
    <numFmt numFmtId="170" formatCode="_-* #,##0.0_-;\-* #,##0.0_-;_-* &quot;-&quot;?_-;_-@_-"/>
    <numFmt numFmtId="171" formatCode="_-* #,##0.0_-;\-* #,##0.0_-;_-* &quot;-&quot;_-;_-@_-"/>
    <numFmt numFmtId="172" formatCode="_-[$Rp-421]* #,##0.00_-;\-[$Rp-421]* #,##0.00_-;_-[$Rp-421]* &quot;-&quot;??_-;_-@_-"/>
    <numFmt numFmtId="173" formatCode="_-* #,##0.000_-;\-* #,##0.000_-;_-* &quot;-&quot;?_-;_-@_-"/>
    <numFmt numFmtId="174" formatCode="_(* #,##0.0_);_(* \(#,##0.0\);_(* &quot;-&quot;?_);_(@_)"/>
    <numFmt numFmtId="175" formatCode="_(* #,##0.000_);_(* \(#,##0.000\);_(* &quot;-&quot;??_);_(@_)"/>
    <numFmt numFmtId="176" formatCode="_-* #,##0.0_-;\-* #,##0.0_-;_-* &quot;-&quot;??_-;_-@_-"/>
    <numFmt numFmtId="177" formatCode="_-* #,##0.00_-;\-* #,##0.00_-;_-* &quot;-&quot;?_-;_-@_-"/>
    <numFmt numFmtId="178" formatCode="_-[$Rp-421]* #,##0_-;\-[$Rp-421]* #,##0_-;_-[$Rp-421]* &quot;-&quot;??_-;_-@_-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41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5">
    <xf numFmtId="0" fontId="0" fillId="0" borderId="0" xfId="0"/>
    <xf numFmtId="0" fontId="2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vertical="center"/>
    </xf>
    <xf numFmtId="0" fontId="2" fillId="2" borderId="2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4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1" fillId="0" borderId="0" xfId="2"/>
    <xf numFmtId="0" fontId="2" fillId="2" borderId="1" xfId="2" applyFont="1" applyFill="1" applyBorder="1" applyAlignment="1">
      <alignment wrapText="1"/>
    </xf>
    <xf numFmtId="0" fontId="2" fillId="2" borderId="1" xfId="2" applyFont="1" applyFill="1" applyBorder="1"/>
    <xf numFmtId="0" fontId="2" fillId="2" borderId="1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14" fontId="1" fillId="0" borderId="7" xfId="2" applyNumberFormat="1" applyBorder="1" applyAlignment="1">
      <alignment horizontal="center"/>
    </xf>
    <xf numFmtId="0" fontId="1" fillId="3" borderId="7" xfId="2" applyFill="1" applyBorder="1" applyAlignment="1">
      <alignment horizontal="left" vertical="center"/>
    </xf>
    <xf numFmtId="0" fontId="2" fillId="3" borderId="7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wrapText="1"/>
    </xf>
    <xf numFmtId="0" fontId="2" fillId="3" borderId="7" xfId="2" applyFont="1" applyFill="1" applyBorder="1"/>
    <xf numFmtId="0" fontId="2" fillId="3" borderId="7" xfId="2" applyFont="1" applyFill="1" applyBorder="1" applyAlignment="1">
      <alignment horizontal="center" vertical="center" wrapText="1"/>
    </xf>
    <xf numFmtId="164" fontId="2" fillId="3" borderId="7" xfId="2" applyNumberFormat="1" applyFont="1" applyFill="1" applyBorder="1" applyAlignment="1">
      <alignment horizontal="center" vertical="center" wrapText="1"/>
    </xf>
    <xf numFmtId="0" fontId="1" fillId="3" borderId="7" xfId="2" applyFill="1" applyBorder="1" applyAlignment="1">
      <alignment horizontal="center" vertical="center"/>
    </xf>
    <xf numFmtId="165" fontId="1" fillId="3" borderId="7" xfId="2" applyNumberFormat="1" applyFill="1" applyBorder="1" applyAlignment="1">
      <alignment vertical="center"/>
    </xf>
    <xf numFmtId="0" fontId="4" fillId="3" borderId="7" xfId="2" applyFont="1" applyFill="1" applyBorder="1" applyAlignment="1">
      <alignment horizontal="center" vertical="center" wrapText="1"/>
    </xf>
    <xf numFmtId="165" fontId="1" fillId="3" borderId="7" xfId="2" applyNumberFormat="1" applyFill="1" applyBorder="1" applyAlignment="1">
      <alignment horizontal="center" vertical="center"/>
    </xf>
    <xf numFmtId="0" fontId="1" fillId="3" borderId="0" xfId="2" applyFill="1"/>
    <xf numFmtId="14" fontId="1" fillId="0" borderId="9" xfId="2" applyNumberFormat="1" applyBorder="1" applyAlignment="1">
      <alignment horizontal="center"/>
    </xf>
    <xf numFmtId="0" fontId="1" fillId="0" borderId="10" xfId="2" applyBorder="1"/>
    <xf numFmtId="0" fontId="1" fillId="0" borderId="10" xfId="2" applyBorder="1" applyAlignment="1">
      <alignment horizontal="center" vertical="center"/>
    </xf>
    <xf numFmtId="165" fontId="0" fillId="0" borderId="10" xfId="3" applyNumberFormat="1" applyFont="1" applyBorder="1"/>
    <xf numFmtId="166" fontId="0" fillId="0" borderId="10" xfId="3" applyFont="1" applyBorder="1"/>
    <xf numFmtId="165" fontId="0" fillId="0" borderId="10" xfId="3" applyNumberFormat="1" applyFont="1" applyBorder="1" applyAlignment="1">
      <alignment horizontal="center" vertical="center"/>
    </xf>
    <xf numFmtId="0" fontId="1" fillId="0" borderId="10" xfId="2" quotePrefix="1" applyBorder="1" applyAlignment="1">
      <alignment horizontal="center" vertical="center"/>
    </xf>
    <xf numFmtId="0" fontId="1" fillId="0" borderId="10" xfId="2" quotePrefix="1" applyBorder="1" applyAlignment="1">
      <alignment horizontal="center" vertical="center"/>
    </xf>
    <xf numFmtId="0" fontId="1" fillId="0" borderId="10" xfId="2" quotePrefix="1" applyBorder="1" applyAlignment="1">
      <alignment horizontal="left" vertical="center"/>
    </xf>
    <xf numFmtId="164" fontId="2" fillId="0" borderId="10" xfId="3" applyNumberFormat="1" applyFont="1" applyBorder="1" applyAlignment="1">
      <alignment horizontal="center" vertical="center"/>
    </xf>
    <xf numFmtId="0" fontId="1" fillId="0" borderId="11" xfId="2" applyBorder="1" applyAlignment="1">
      <alignment horizontal="center" vertical="center"/>
    </xf>
    <xf numFmtId="167" fontId="2" fillId="0" borderId="12" xfId="3" applyNumberFormat="1" applyFont="1" applyBorder="1" applyAlignment="1">
      <alignment horizontal="right" vertical="center"/>
    </xf>
    <xf numFmtId="166" fontId="0" fillId="0" borderId="13" xfId="3" applyFont="1" applyBorder="1" applyAlignment="1">
      <alignment horizontal="center" vertical="center"/>
    </xf>
    <xf numFmtId="166" fontId="0" fillId="0" borderId="14" xfId="3" applyFont="1" applyBorder="1" applyAlignment="1">
      <alignment horizontal="center" vertical="center"/>
    </xf>
    <xf numFmtId="0" fontId="1" fillId="0" borderId="13" xfId="2" applyBorder="1" applyAlignment="1">
      <alignment horizontal="center"/>
    </xf>
    <xf numFmtId="166" fontId="0" fillId="0" borderId="15" xfId="3" applyFont="1" applyBorder="1" applyAlignment="1">
      <alignment horizontal="center" vertical="center"/>
    </xf>
    <xf numFmtId="165" fontId="0" fillId="0" borderId="10" xfId="3" quotePrefix="1" applyNumberFormat="1" applyFont="1" applyBorder="1" applyAlignment="1">
      <alignment horizontal="center" vertical="center"/>
    </xf>
    <xf numFmtId="165" fontId="1" fillId="0" borderId="10" xfId="2" quotePrefix="1" applyNumberFormat="1" applyBorder="1" applyAlignment="1">
      <alignment horizontal="center" vertical="center"/>
    </xf>
    <xf numFmtId="165" fontId="1" fillId="0" borderId="10" xfId="2" applyNumberFormat="1" applyBorder="1" applyAlignment="1">
      <alignment horizontal="center" vertical="center"/>
    </xf>
    <xf numFmtId="168" fontId="1" fillId="0" borderId="10" xfId="2" applyNumberFormat="1" applyBorder="1" applyAlignment="1">
      <alignment horizontal="center" vertical="center"/>
    </xf>
    <xf numFmtId="166" fontId="2" fillId="0" borderId="10" xfId="2" applyNumberFormat="1" applyFont="1" applyBorder="1" applyAlignment="1">
      <alignment horizontal="center" vertical="center"/>
    </xf>
    <xf numFmtId="165" fontId="1" fillId="0" borderId="1" xfId="2" applyNumberFormat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2" fontId="2" fillId="0" borderId="1" xfId="2" applyNumberFormat="1" applyFont="1" applyBorder="1" applyAlignment="1">
      <alignment horizontal="center" vertical="center"/>
    </xf>
    <xf numFmtId="165" fontId="1" fillId="0" borderId="11" xfId="2" applyNumberFormat="1" applyBorder="1" applyAlignment="1">
      <alignment horizontal="center" vertical="center"/>
    </xf>
    <xf numFmtId="165" fontId="1" fillId="3" borderId="10" xfId="2" applyNumberFormat="1" applyFill="1" applyBorder="1" applyAlignment="1">
      <alignment horizontal="center" vertical="center"/>
    </xf>
    <xf numFmtId="165" fontId="1" fillId="0" borderId="12" xfId="2" applyNumberFormat="1" applyBorder="1" applyAlignment="1">
      <alignment horizontal="center" vertical="center"/>
    </xf>
    <xf numFmtId="14" fontId="1" fillId="0" borderId="16" xfId="2" applyNumberFormat="1" applyBorder="1" applyAlignment="1">
      <alignment horizontal="center"/>
    </xf>
    <xf numFmtId="0" fontId="1" fillId="0" borderId="17" xfId="2" applyBorder="1"/>
    <xf numFmtId="0" fontId="1" fillId="0" borderId="17" xfId="2" applyBorder="1" applyAlignment="1">
      <alignment horizontal="center" vertical="center"/>
    </xf>
    <xf numFmtId="168" fontId="0" fillId="0" borderId="17" xfId="3" applyNumberFormat="1" applyFont="1" applyBorder="1"/>
    <xf numFmtId="165" fontId="0" fillId="0" borderId="17" xfId="3" applyNumberFormat="1" applyFont="1" applyBorder="1"/>
    <xf numFmtId="166" fontId="0" fillId="0" borderId="17" xfId="3" applyFont="1" applyBorder="1"/>
    <xf numFmtId="2" fontId="1" fillId="0" borderId="17" xfId="2" applyNumberFormat="1" applyBorder="1"/>
    <xf numFmtId="165" fontId="0" fillId="0" borderId="17" xfId="3" applyNumberFormat="1" applyFont="1" applyBorder="1" applyAlignment="1">
      <alignment horizontal="center" vertical="center"/>
    </xf>
    <xf numFmtId="0" fontId="1" fillId="0" borderId="17" xfId="2" quotePrefix="1" applyBorder="1" applyAlignment="1">
      <alignment horizontal="center" vertical="center"/>
    </xf>
    <xf numFmtId="0" fontId="1" fillId="0" borderId="17" xfId="2" quotePrefix="1" applyBorder="1" applyAlignment="1">
      <alignment horizontal="center" vertical="center"/>
    </xf>
    <xf numFmtId="0" fontId="1" fillId="0" borderId="17" xfId="2" quotePrefix="1" applyBorder="1" applyAlignment="1">
      <alignment horizontal="left" vertical="center"/>
    </xf>
    <xf numFmtId="164" fontId="2" fillId="0" borderId="17" xfId="3" applyNumberFormat="1" applyFont="1" applyBorder="1" applyAlignment="1">
      <alignment horizontal="center" vertical="center"/>
    </xf>
    <xf numFmtId="0" fontId="1" fillId="0" borderId="18" xfId="2" applyBorder="1" applyAlignment="1">
      <alignment horizontal="center" vertical="center"/>
    </xf>
    <xf numFmtId="167" fontId="2" fillId="0" borderId="19" xfId="3" applyNumberFormat="1" applyFont="1" applyBorder="1" applyAlignment="1">
      <alignment horizontal="right" vertical="center"/>
    </xf>
    <xf numFmtId="166" fontId="0" fillId="0" borderId="20" xfId="3" applyFont="1" applyBorder="1" applyAlignment="1">
      <alignment horizontal="center" vertical="center"/>
    </xf>
    <xf numFmtId="166" fontId="0" fillId="0" borderId="21" xfId="3" applyFont="1" applyBorder="1" applyAlignment="1">
      <alignment horizontal="center" vertical="center"/>
    </xf>
    <xf numFmtId="0" fontId="1" fillId="0" borderId="20" xfId="2" applyBorder="1" applyAlignment="1">
      <alignment horizontal="center"/>
    </xf>
    <xf numFmtId="166" fontId="0" fillId="0" borderId="22" xfId="3" applyFont="1" applyBorder="1" applyAlignment="1">
      <alignment horizontal="center" vertical="center"/>
    </xf>
    <xf numFmtId="165" fontId="0" fillId="0" borderId="17" xfId="3" quotePrefix="1" applyNumberFormat="1" applyFont="1" applyBorder="1" applyAlignment="1">
      <alignment horizontal="center" vertical="center"/>
    </xf>
    <xf numFmtId="165" fontId="1" fillId="0" borderId="17" xfId="2" quotePrefix="1" applyNumberFormat="1" applyBorder="1" applyAlignment="1">
      <alignment horizontal="center" vertical="center"/>
    </xf>
    <xf numFmtId="165" fontId="1" fillId="0" borderId="17" xfId="2" applyNumberFormat="1" applyBorder="1" applyAlignment="1">
      <alignment horizontal="center" vertical="center"/>
    </xf>
    <xf numFmtId="168" fontId="1" fillId="0" borderId="17" xfId="2" applyNumberFormat="1" applyBorder="1" applyAlignment="1">
      <alignment horizontal="center" vertical="center"/>
    </xf>
    <xf numFmtId="166" fontId="2" fillId="0" borderId="17" xfId="2" applyNumberFormat="1" applyFont="1" applyBorder="1" applyAlignment="1">
      <alignment horizontal="center" vertical="center"/>
    </xf>
    <xf numFmtId="165" fontId="1" fillId="0" borderId="23" xfId="2" applyNumberFormat="1" applyBorder="1" applyAlignment="1">
      <alignment horizontal="center" vertical="center"/>
    </xf>
    <xf numFmtId="165" fontId="1" fillId="0" borderId="18" xfId="2" applyNumberFormat="1" applyBorder="1" applyAlignment="1">
      <alignment horizontal="center" vertical="center"/>
    </xf>
    <xf numFmtId="165" fontId="1" fillId="3" borderId="17" xfId="2" applyNumberFormat="1" applyFill="1" applyBorder="1" applyAlignment="1">
      <alignment horizontal="center" vertical="center"/>
    </xf>
    <xf numFmtId="165" fontId="1" fillId="0" borderId="19" xfId="2" applyNumberFormat="1" applyBorder="1" applyAlignment="1">
      <alignment horizontal="center" vertical="center"/>
    </xf>
    <xf numFmtId="14" fontId="1" fillId="0" borderId="23" xfId="2" applyNumberFormat="1" applyBorder="1" applyAlignment="1">
      <alignment horizontal="center"/>
    </xf>
    <xf numFmtId="0" fontId="1" fillId="0" borderId="23" xfId="2" applyBorder="1"/>
    <xf numFmtId="0" fontId="1" fillId="0" borderId="23" xfId="2" applyBorder="1" applyAlignment="1">
      <alignment horizontal="center" vertical="center"/>
    </xf>
    <xf numFmtId="165" fontId="0" fillId="0" borderId="23" xfId="3" applyNumberFormat="1" applyFont="1" applyBorder="1"/>
    <xf numFmtId="166" fontId="0" fillId="0" borderId="23" xfId="3" applyFont="1" applyBorder="1"/>
    <xf numFmtId="2" fontId="1" fillId="0" borderId="23" xfId="2" applyNumberFormat="1" applyBorder="1"/>
    <xf numFmtId="41" fontId="0" fillId="0" borderId="23" xfId="4" quotePrefix="1" applyFont="1" applyBorder="1" applyAlignment="1">
      <alignment horizontal="center" vertical="center"/>
    </xf>
    <xf numFmtId="0" fontId="1" fillId="0" borderId="23" xfId="2" applyBorder="1" applyAlignment="1">
      <alignment horizontal="center"/>
    </xf>
    <xf numFmtId="0" fontId="1" fillId="0" borderId="23" xfId="2" quotePrefix="1" applyBorder="1" applyAlignment="1">
      <alignment vertical="center"/>
    </xf>
    <xf numFmtId="164" fontId="2" fillId="0" borderId="23" xfId="3" applyNumberFormat="1" applyFont="1" applyBorder="1" applyAlignment="1">
      <alignment vertical="center"/>
    </xf>
    <xf numFmtId="167" fontId="2" fillId="0" borderId="23" xfId="2" applyNumberFormat="1" applyFont="1" applyBorder="1" applyAlignment="1">
      <alignment horizontal="right" vertical="center"/>
    </xf>
    <xf numFmtId="166" fontId="0" fillId="0" borderId="23" xfId="3" applyFont="1" applyBorder="1" applyAlignment="1">
      <alignment vertical="center"/>
    </xf>
    <xf numFmtId="166" fontId="0" fillId="0" borderId="23" xfId="3" applyFont="1" applyBorder="1" applyAlignment="1">
      <alignment horizontal="center" vertical="center"/>
    </xf>
    <xf numFmtId="165" fontId="0" fillId="0" borderId="23" xfId="3" applyNumberFormat="1" applyFont="1" applyBorder="1" applyAlignment="1"/>
    <xf numFmtId="165" fontId="1" fillId="0" borderId="23" xfId="2" applyNumberFormat="1" applyBorder="1"/>
    <xf numFmtId="165" fontId="1" fillId="0" borderId="23" xfId="2" applyNumberFormat="1" applyBorder="1" applyAlignment="1">
      <alignment vertical="center"/>
    </xf>
    <xf numFmtId="168" fontId="0" fillId="0" borderId="23" xfId="3" applyNumberFormat="1" applyFont="1" applyBorder="1" applyAlignment="1">
      <alignment vertical="center"/>
    </xf>
    <xf numFmtId="166" fontId="2" fillId="0" borderId="23" xfId="3" applyFont="1" applyBorder="1" applyAlignment="1">
      <alignment vertical="center"/>
    </xf>
    <xf numFmtId="0" fontId="1" fillId="0" borderId="23" xfId="2" applyBorder="1" applyAlignment="1">
      <alignment horizontal="left" vertical="center"/>
    </xf>
    <xf numFmtId="165" fontId="1" fillId="3" borderId="23" xfId="2" applyNumberFormat="1" applyFill="1" applyBorder="1" applyAlignment="1">
      <alignment horizontal="center" vertical="center"/>
    </xf>
    <xf numFmtId="165" fontId="1" fillId="0" borderId="23" xfId="2" applyNumberFormat="1" applyBorder="1" applyAlignment="1">
      <alignment horizontal="center" vertical="center"/>
    </xf>
    <xf numFmtId="2" fontId="1" fillId="0" borderId="10" xfId="2" applyNumberFormat="1" applyBorder="1"/>
    <xf numFmtId="0" fontId="1" fillId="0" borderId="11" xfId="2" applyBorder="1" applyAlignment="1">
      <alignment horizontal="center"/>
    </xf>
    <xf numFmtId="164" fontId="2" fillId="0" borderId="10" xfId="2" applyNumberFormat="1" applyFont="1" applyBorder="1" applyAlignment="1">
      <alignment horizontal="center" vertical="center"/>
    </xf>
    <xf numFmtId="167" fontId="2" fillId="0" borderId="11" xfId="2" applyNumberFormat="1" applyFont="1" applyBorder="1" applyAlignment="1">
      <alignment horizontal="right" vertical="center"/>
    </xf>
    <xf numFmtId="169" fontId="1" fillId="0" borderId="10" xfId="2" applyNumberFormat="1" applyBorder="1" applyAlignment="1">
      <alignment horizontal="center" vertical="center"/>
    </xf>
    <xf numFmtId="168" fontId="2" fillId="0" borderId="10" xfId="2" applyNumberFormat="1" applyFont="1" applyBorder="1" applyAlignment="1">
      <alignment horizontal="center" vertical="center"/>
    </xf>
    <xf numFmtId="0" fontId="1" fillId="0" borderId="10" xfId="2" applyBorder="1" applyAlignment="1">
      <alignment horizontal="center"/>
    </xf>
    <xf numFmtId="14" fontId="1" fillId="0" borderId="24" xfId="2" applyNumberFormat="1" applyBorder="1" applyAlignment="1">
      <alignment horizontal="center"/>
    </xf>
    <xf numFmtId="0" fontId="1" fillId="0" borderId="1" xfId="2" applyBorder="1"/>
    <xf numFmtId="165" fontId="0" fillId="0" borderId="1" xfId="3" applyNumberFormat="1" applyFont="1" applyFill="1" applyBorder="1"/>
    <xf numFmtId="166" fontId="0" fillId="0" borderId="1" xfId="3" applyFont="1" applyFill="1" applyBorder="1"/>
    <xf numFmtId="2" fontId="1" fillId="0" borderId="1" xfId="2" applyNumberFormat="1" applyBorder="1"/>
    <xf numFmtId="165" fontId="0" fillId="0" borderId="1" xfId="3" applyNumberFormat="1" applyFont="1" applyBorder="1" applyAlignment="1">
      <alignment horizontal="center" vertical="center"/>
    </xf>
    <xf numFmtId="0" fontId="1" fillId="0" borderId="23" xfId="2" applyBorder="1" applyAlignment="1">
      <alignment horizontal="center"/>
    </xf>
    <xf numFmtId="0" fontId="1" fillId="0" borderId="1" xfId="2" quotePrefix="1" applyBorder="1" applyAlignment="1">
      <alignment horizontal="center" vertical="center"/>
    </xf>
    <xf numFmtId="0" fontId="1" fillId="0" borderId="1" xfId="2" quotePrefix="1" applyBorder="1" applyAlignment="1">
      <alignment horizontal="center" vertical="center"/>
    </xf>
    <xf numFmtId="164" fontId="2" fillId="0" borderId="1" xfId="2" applyNumberFormat="1" applyFont="1" applyBorder="1" applyAlignment="1">
      <alignment horizontal="center" vertical="center"/>
    </xf>
    <xf numFmtId="167" fontId="2" fillId="0" borderId="23" xfId="2" applyNumberFormat="1" applyFont="1" applyBorder="1" applyAlignment="1">
      <alignment horizontal="right" vertical="center"/>
    </xf>
    <xf numFmtId="0" fontId="1" fillId="0" borderId="23" xfId="2" applyBorder="1" applyAlignment="1">
      <alignment horizontal="center" vertical="center"/>
    </xf>
    <xf numFmtId="169" fontId="1" fillId="0" borderId="1" xfId="2" applyNumberFormat="1" applyBorder="1" applyAlignment="1">
      <alignment horizontal="center" vertical="center"/>
    </xf>
    <xf numFmtId="168" fontId="2" fillId="0" borderId="1" xfId="2" applyNumberFormat="1" applyFont="1" applyBorder="1" applyAlignment="1">
      <alignment horizontal="center" vertical="center"/>
    </xf>
    <xf numFmtId="0" fontId="1" fillId="0" borderId="1" xfId="2" applyBorder="1" applyAlignment="1">
      <alignment horizontal="center"/>
    </xf>
    <xf numFmtId="165" fontId="1" fillId="3" borderId="1" xfId="2" applyNumberFormat="1" applyFill="1" applyBorder="1" applyAlignment="1">
      <alignment horizontal="center" vertical="center"/>
    </xf>
    <xf numFmtId="165" fontId="1" fillId="0" borderId="25" xfId="2" applyNumberFormat="1" applyBorder="1" applyAlignment="1">
      <alignment horizontal="center" vertical="center"/>
    </xf>
    <xf numFmtId="165" fontId="1" fillId="0" borderId="1" xfId="2" applyNumberFormat="1" applyBorder="1"/>
    <xf numFmtId="14" fontId="1" fillId="0" borderId="26" xfId="2" applyNumberFormat="1" applyBorder="1" applyAlignment="1">
      <alignment horizontal="center"/>
    </xf>
    <xf numFmtId="0" fontId="1" fillId="0" borderId="7" xfId="2" applyBorder="1"/>
    <xf numFmtId="0" fontId="1" fillId="0" borderId="7" xfId="2" applyBorder="1" applyAlignment="1">
      <alignment horizontal="center" vertical="center"/>
    </xf>
    <xf numFmtId="165" fontId="0" fillId="0" borderId="7" xfId="3" applyNumberFormat="1" applyFont="1" applyFill="1" applyBorder="1"/>
    <xf numFmtId="166" fontId="0" fillId="0" borderId="7" xfId="3" applyFont="1" applyFill="1" applyBorder="1"/>
    <xf numFmtId="2" fontId="1" fillId="0" borderId="7" xfId="2" applyNumberFormat="1" applyBorder="1"/>
    <xf numFmtId="165" fontId="0" fillId="0" borderId="7" xfId="3" applyNumberFormat="1" applyFont="1" applyBorder="1" applyAlignment="1">
      <alignment horizontal="center" vertical="center"/>
    </xf>
    <xf numFmtId="0" fontId="1" fillId="0" borderId="7" xfId="2" quotePrefix="1" applyBorder="1" applyAlignment="1">
      <alignment horizontal="center" vertical="center"/>
    </xf>
    <xf numFmtId="0" fontId="1" fillId="0" borderId="7" xfId="2" quotePrefix="1" applyBorder="1" applyAlignment="1">
      <alignment horizontal="center" vertical="center"/>
    </xf>
    <xf numFmtId="164" fontId="2" fillId="0" borderId="7" xfId="2" applyNumberFormat="1" applyFont="1" applyBorder="1" applyAlignment="1">
      <alignment horizontal="center" vertical="center"/>
    </xf>
    <xf numFmtId="169" fontId="1" fillId="0" borderId="7" xfId="2" applyNumberFormat="1" applyBorder="1" applyAlignment="1">
      <alignment horizontal="center" vertical="center"/>
    </xf>
    <xf numFmtId="165" fontId="1" fillId="0" borderId="7" xfId="2" applyNumberFormat="1" applyBorder="1" applyAlignment="1">
      <alignment horizontal="center" vertical="center"/>
    </xf>
    <xf numFmtId="168" fontId="2" fillId="0" borderId="7" xfId="2" applyNumberFormat="1" applyFont="1" applyBorder="1" applyAlignment="1">
      <alignment horizontal="center" vertical="center"/>
    </xf>
    <xf numFmtId="2" fontId="2" fillId="0" borderId="7" xfId="2" applyNumberFormat="1" applyFont="1" applyBorder="1" applyAlignment="1">
      <alignment horizontal="center" vertical="center"/>
    </xf>
    <xf numFmtId="0" fontId="1" fillId="0" borderId="7" xfId="2" applyBorder="1" applyAlignment="1">
      <alignment horizontal="center"/>
    </xf>
    <xf numFmtId="165" fontId="1" fillId="3" borderId="7" xfId="2" applyNumberFormat="1" applyFill="1" applyBorder="1" applyAlignment="1">
      <alignment horizontal="center" vertical="center"/>
    </xf>
    <xf numFmtId="165" fontId="1" fillId="0" borderId="27" xfId="2" applyNumberFormat="1" applyBorder="1" applyAlignment="1">
      <alignment horizontal="center" vertical="center"/>
    </xf>
    <xf numFmtId="14" fontId="1" fillId="0" borderId="1" xfId="2" applyNumberFormat="1" applyBorder="1" applyAlignment="1">
      <alignment horizontal="center"/>
    </xf>
    <xf numFmtId="166" fontId="0" fillId="0" borderId="1" xfId="3" applyFont="1" applyBorder="1"/>
    <xf numFmtId="165" fontId="0" fillId="0" borderId="1" xfId="3" applyNumberFormat="1" applyFont="1" applyBorder="1"/>
    <xf numFmtId="0" fontId="1" fillId="0" borderId="1" xfId="2" applyBorder="1" applyAlignment="1">
      <alignment horizontal="center" vertical="center"/>
    </xf>
    <xf numFmtId="168" fontId="1" fillId="0" borderId="1" xfId="2" applyNumberFormat="1" applyBorder="1" applyAlignment="1">
      <alignment horizontal="center" vertical="center"/>
    </xf>
    <xf numFmtId="170" fontId="1" fillId="0" borderId="1" xfId="2" applyNumberFormat="1" applyBorder="1" applyAlignment="1">
      <alignment horizontal="center" vertical="center"/>
    </xf>
    <xf numFmtId="41" fontId="0" fillId="0" borderId="1" xfId="4" applyFont="1" applyBorder="1" applyAlignment="1">
      <alignment horizontal="center" vertical="center"/>
    </xf>
    <xf numFmtId="171" fontId="1" fillId="3" borderId="7" xfId="4" applyNumberFormat="1" applyFont="1" applyFill="1" applyBorder="1" applyAlignment="1">
      <alignment horizontal="center" vertical="top"/>
    </xf>
    <xf numFmtId="165" fontId="1" fillId="3" borderId="7" xfId="2" applyNumberFormat="1" applyFill="1" applyBorder="1" applyAlignment="1">
      <alignment horizontal="center" vertical="top"/>
    </xf>
    <xf numFmtId="168" fontId="2" fillId="3" borderId="7" xfId="2" applyNumberFormat="1" applyFont="1" applyFill="1" applyBorder="1" applyAlignment="1">
      <alignment horizontal="center" vertical="top"/>
    </xf>
    <xf numFmtId="172" fontId="1" fillId="3" borderId="7" xfId="2" applyNumberFormat="1" applyFill="1" applyBorder="1" applyAlignment="1">
      <alignment horizontal="center" vertical="top"/>
    </xf>
    <xf numFmtId="41" fontId="0" fillId="0" borderId="7" xfId="4" applyFont="1" applyBorder="1" applyAlignment="1">
      <alignment horizontal="center" vertical="top"/>
    </xf>
    <xf numFmtId="165" fontId="1" fillId="0" borderId="1" xfId="2" applyNumberFormat="1" applyBorder="1" applyAlignment="1">
      <alignment horizontal="center" vertical="top"/>
    </xf>
    <xf numFmtId="166" fontId="2" fillId="0" borderId="1" xfId="2" applyNumberFormat="1" applyFont="1" applyBorder="1" applyAlignment="1">
      <alignment horizontal="center" vertical="top"/>
    </xf>
    <xf numFmtId="171" fontId="1" fillId="3" borderId="23" xfId="4" applyNumberFormat="1" applyFont="1" applyFill="1" applyBorder="1" applyAlignment="1">
      <alignment horizontal="center" vertical="top"/>
    </xf>
    <xf numFmtId="165" fontId="1" fillId="3" borderId="23" xfId="2" applyNumberFormat="1" applyFill="1" applyBorder="1" applyAlignment="1">
      <alignment horizontal="center" vertical="top"/>
    </xf>
    <xf numFmtId="168" fontId="2" fillId="3" borderId="23" xfId="2" applyNumberFormat="1" applyFont="1" applyFill="1" applyBorder="1" applyAlignment="1">
      <alignment horizontal="center" vertical="top"/>
    </xf>
    <xf numFmtId="172" fontId="1" fillId="3" borderId="23" xfId="2" applyNumberFormat="1" applyFill="1" applyBorder="1" applyAlignment="1">
      <alignment horizontal="center" vertical="top"/>
    </xf>
    <xf numFmtId="41" fontId="0" fillId="0" borderId="23" xfId="4" applyFont="1" applyBorder="1" applyAlignment="1">
      <alignment horizontal="center" vertical="top"/>
    </xf>
    <xf numFmtId="0" fontId="1" fillId="0" borderId="1" xfId="2" applyBorder="1" applyAlignment="1">
      <alignment horizontal="left"/>
    </xf>
    <xf numFmtId="0" fontId="1" fillId="0" borderId="1" xfId="2" applyBorder="1" applyAlignment="1">
      <alignment horizontal="right"/>
    </xf>
    <xf numFmtId="165" fontId="0" fillId="0" borderId="1" xfId="3" applyNumberFormat="1" applyFont="1" applyFill="1" applyBorder="1" applyAlignment="1">
      <alignment horizontal="right"/>
    </xf>
    <xf numFmtId="167" fontId="2" fillId="0" borderId="1" xfId="2" applyNumberFormat="1" applyFont="1" applyBorder="1" applyAlignment="1">
      <alignment horizontal="right" vertical="center"/>
    </xf>
    <xf numFmtId="164" fontId="2" fillId="0" borderId="8" xfId="2" applyNumberFormat="1" applyFont="1" applyBorder="1" applyAlignment="1">
      <alignment horizontal="center" vertical="center"/>
    </xf>
    <xf numFmtId="164" fontId="2" fillId="0" borderId="1" xfId="2" applyNumberFormat="1" applyFont="1" applyBorder="1" applyAlignment="1">
      <alignment horizontal="center"/>
    </xf>
    <xf numFmtId="0" fontId="1" fillId="3" borderId="1" xfId="2" applyFill="1" applyBorder="1" applyAlignment="1">
      <alignment horizontal="left" vertical="center"/>
    </xf>
    <xf numFmtId="165" fontId="1" fillId="0" borderId="1" xfId="2" applyNumberFormat="1" applyBorder="1" applyAlignment="1">
      <alignment horizontal="center" vertical="center"/>
    </xf>
    <xf numFmtId="164" fontId="2" fillId="0" borderId="1" xfId="2" applyNumberFormat="1" applyFont="1" applyBorder="1" applyAlignment="1">
      <alignment horizontal="center"/>
    </xf>
    <xf numFmtId="0" fontId="2" fillId="0" borderId="1" xfId="2" applyFont="1" applyBorder="1" applyAlignment="1">
      <alignment horizontal="right"/>
    </xf>
    <xf numFmtId="0" fontId="1" fillId="0" borderId="1" xfId="2" applyBorder="1" applyAlignment="1">
      <alignment horizontal="center"/>
    </xf>
    <xf numFmtId="41" fontId="0" fillId="0" borderId="1" xfId="4" applyFont="1" applyBorder="1" applyAlignment="1">
      <alignment horizontal="center" vertical="center"/>
    </xf>
    <xf numFmtId="166" fontId="0" fillId="0" borderId="1" xfId="3" applyFont="1" applyBorder="1" applyAlignment="1">
      <alignment horizontal="center" vertical="center"/>
    </xf>
    <xf numFmtId="165" fontId="1" fillId="3" borderId="1" xfId="2" applyNumberFormat="1" applyFill="1" applyBorder="1" applyAlignment="1">
      <alignment horizontal="center" vertical="center"/>
    </xf>
    <xf numFmtId="166" fontId="1" fillId="0" borderId="1" xfId="2" applyNumberFormat="1" applyBorder="1" applyAlignment="1">
      <alignment horizontal="center" vertical="center"/>
    </xf>
    <xf numFmtId="164" fontId="2" fillId="0" borderId="7" xfId="2" applyNumberFormat="1" applyFont="1" applyBorder="1" applyAlignment="1">
      <alignment horizontal="center"/>
    </xf>
    <xf numFmtId="164" fontId="2" fillId="0" borderId="7" xfId="2" applyNumberFormat="1" applyFont="1" applyBorder="1" applyAlignment="1">
      <alignment horizontal="right"/>
    </xf>
    <xf numFmtId="165" fontId="0" fillId="3" borderId="1" xfId="3" applyNumberFormat="1" applyFont="1" applyFill="1" applyBorder="1" applyAlignment="1">
      <alignment horizontal="center"/>
    </xf>
    <xf numFmtId="165" fontId="0" fillId="0" borderId="1" xfId="3" applyNumberFormat="1" applyFont="1" applyFill="1" applyBorder="1" applyAlignment="1"/>
    <xf numFmtId="164" fontId="2" fillId="0" borderId="23" xfId="2" applyNumberFormat="1" applyFont="1" applyBorder="1" applyAlignment="1">
      <alignment horizontal="center"/>
    </xf>
    <xf numFmtId="164" fontId="2" fillId="0" borderId="23" xfId="2" applyNumberFormat="1" applyFont="1" applyBorder="1" applyAlignment="1">
      <alignment horizontal="right"/>
    </xf>
    <xf numFmtId="166" fontId="0" fillId="0" borderId="1" xfId="3" quotePrefix="1" applyFont="1" applyBorder="1" applyAlignment="1">
      <alignment horizontal="center" vertical="center"/>
    </xf>
    <xf numFmtId="166" fontId="1" fillId="0" borderId="1" xfId="2" quotePrefix="1" applyNumberFormat="1" applyBorder="1" applyAlignment="1">
      <alignment horizontal="center" vertical="center"/>
    </xf>
    <xf numFmtId="164" fontId="2" fillId="0" borderId="8" xfId="2" applyNumberFormat="1" applyFont="1" applyBorder="1" applyAlignment="1">
      <alignment horizontal="center"/>
    </xf>
    <xf numFmtId="164" fontId="2" fillId="0" borderId="8" xfId="2" applyNumberFormat="1" applyFont="1" applyBorder="1" applyAlignment="1">
      <alignment horizontal="right"/>
    </xf>
    <xf numFmtId="164" fontId="2" fillId="0" borderId="1" xfId="2" applyNumberFormat="1" applyFont="1" applyBorder="1" applyAlignment="1">
      <alignment horizontal="right"/>
    </xf>
    <xf numFmtId="165" fontId="1" fillId="0" borderId="1" xfId="2" applyNumberFormat="1" applyBorder="1" applyAlignment="1">
      <alignment horizontal="center"/>
    </xf>
    <xf numFmtId="164" fontId="2" fillId="0" borderId="1" xfId="2" applyNumberFormat="1" applyFont="1" applyBorder="1"/>
    <xf numFmtId="164" fontId="2" fillId="0" borderId="1" xfId="2" applyNumberFormat="1" applyFont="1" applyBorder="1" applyAlignment="1">
      <alignment horizontal="right"/>
    </xf>
    <xf numFmtId="165" fontId="0" fillId="0" borderId="1" xfId="3" applyNumberFormat="1" applyFont="1" applyBorder="1" applyAlignment="1">
      <alignment horizontal="center"/>
    </xf>
    <xf numFmtId="166" fontId="1" fillId="0" borderId="1" xfId="2" applyNumberFormat="1" applyBorder="1" applyAlignment="1">
      <alignment horizontal="center" vertical="center"/>
    </xf>
    <xf numFmtId="41" fontId="0" fillId="0" borderId="1" xfId="4" applyFont="1" applyBorder="1"/>
    <xf numFmtId="0" fontId="1" fillId="0" borderId="8" xfId="2" applyBorder="1"/>
    <xf numFmtId="2" fontId="0" fillId="0" borderId="1" xfId="4" applyNumberFormat="1" applyFont="1" applyBorder="1"/>
    <xf numFmtId="41" fontId="0" fillId="4" borderId="1" xfId="4" applyFont="1" applyFill="1" applyBorder="1" applyAlignment="1"/>
    <xf numFmtId="17" fontId="1" fillId="0" borderId="1" xfId="2" quotePrefix="1" applyNumberFormat="1" applyBorder="1" applyAlignment="1">
      <alignment horizontal="center" vertical="center"/>
    </xf>
    <xf numFmtId="16" fontId="1" fillId="0" borderId="1" xfId="2" quotePrefix="1" applyNumberFormat="1" applyBorder="1" applyAlignment="1">
      <alignment horizontal="center" vertical="center"/>
    </xf>
    <xf numFmtId="3" fontId="1" fillId="0" borderId="1" xfId="2" applyNumberFormat="1" applyBorder="1"/>
    <xf numFmtId="173" fontId="2" fillId="0" borderId="1" xfId="2" applyNumberFormat="1" applyFont="1" applyBorder="1" applyAlignment="1">
      <alignment horizontal="right"/>
    </xf>
    <xf numFmtId="166" fontId="0" fillId="0" borderId="1" xfId="3" applyFont="1" applyBorder="1" applyAlignment="1">
      <alignment horizontal="center"/>
    </xf>
    <xf numFmtId="166" fontId="1" fillId="0" borderId="1" xfId="2" applyNumberFormat="1" applyBorder="1" applyAlignment="1">
      <alignment horizontal="center"/>
    </xf>
    <xf numFmtId="174" fontId="1" fillId="0" borderId="1" xfId="2" applyNumberFormat="1" applyBorder="1" applyAlignment="1">
      <alignment horizontal="center"/>
    </xf>
    <xf numFmtId="164" fontId="2" fillId="0" borderId="23" xfId="2" applyNumberFormat="1" applyFont="1" applyBorder="1" applyAlignment="1">
      <alignment horizontal="center" vertical="center"/>
    </xf>
    <xf numFmtId="14" fontId="1" fillId="0" borderId="1" xfId="2" applyNumberFormat="1" applyBorder="1"/>
    <xf numFmtId="2" fontId="1" fillId="0" borderId="1" xfId="2" applyNumberFormat="1" applyBorder="1" applyAlignment="1">
      <alignment horizontal="right"/>
    </xf>
    <xf numFmtId="165" fontId="1" fillId="0" borderId="1" xfId="2" applyNumberFormat="1" applyBorder="1" applyAlignment="1">
      <alignment horizontal="center"/>
    </xf>
    <xf numFmtId="167" fontId="2" fillId="0" borderId="1" xfId="2" applyNumberFormat="1" applyFont="1" applyBorder="1" applyAlignment="1">
      <alignment horizontal="right"/>
    </xf>
    <xf numFmtId="165" fontId="0" fillId="0" borderId="1" xfId="3" applyNumberFormat="1" applyFont="1" applyBorder="1" applyAlignment="1">
      <alignment horizontal="center"/>
    </xf>
    <xf numFmtId="165" fontId="1" fillId="0" borderId="0" xfId="2" applyNumberFormat="1"/>
    <xf numFmtId="0" fontId="1" fillId="5" borderId="1" xfId="2" applyFill="1" applyBorder="1"/>
    <xf numFmtId="165" fontId="0" fillId="5" borderId="1" xfId="3" applyNumberFormat="1" applyFont="1" applyFill="1" applyBorder="1"/>
    <xf numFmtId="0" fontId="1" fillId="5" borderId="1" xfId="2" applyFill="1" applyBorder="1" applyAlignment="1">
      <alignment horizontal="right"/>
    </xf>
    <xf numFmtId="165" fontId="1" fillId="5" borderId="1" xfId="2" applyNumberFormat="1" applyFill="1" applyBorder="1"/>
    <xf numFmtId="0" fontId="1" fillId="0" borderId="1" xfId="2" applyBorder="1" applyAlignment="1">
      <alignment horizontal="left" vertical="center"/>
    </xf>
    <xf numFmtId="168" fontId="0" fillId="0" borderId="1" xfId="3" applyNumberFormat="1" applyFont="1" applyBorder="1"/>
    <xf numFmtId="165" fontId="1" fillId="3" borderId="8" xfId="2" applyNumberFormat="1" applyFill="1" applyBorder="1" applyAlignment="1">
      <alignment horizontal="center" vertical="top"/>
    </xf>
    <xf numFmtId="175" fontId="2" fillId="0" borderId="1" xfId="2" applyNumberFormat="1" applyFont="1" applyBorder="1" applyAlignment="1">
      <alignment horizontal="right"/>
    </xf>
    <xf numFmtId="166" fontId="1" fillId="0" borderId="1" xfId="2" applyNumberFormat="1" applyBorder="1"/>
    <xf numFmtId="171" fontId="1" fillId="3" borderId="8" xfId="4" applyNumberFormat="1" applyFont="1" applyFill="1" applyBorder="1" applyAlignment="1">
      <alignment horizontal="center" vertical="top"/>
    </xf>
    <xf numFmtId="168" fontId="2" fillId="3" borderId="8" xfId="2" applyNumberFormat="1" applyFont="1" applyFill="1" applyBorder="1" applyAlignment="1">
      <alignment horizontal="center" vertical="top"/>
    </xf>
    <xf numFmtId="172" fontId="1" fillId="3" borderId="8" xfId="2" applyNumberFormat="1" applyFill="1" applyBorder="1" applyAlignment="1">
      <alignment horizontal="center" vertical="top"/>
    </xf>
    <xf numFmtId="0" fontId="1" fillId="0" borderId="1" xfId="2" applyBorder="1" applyAlignment="1">
      <alignment vertical="top"/>
    </xf>
    <xf numFmtId="41" fontId="0" fillId="0" borderId="8" xfId="4" applyFont="1" applyBorder="1" applyAlignment="1">
      <alignment horizontal="center" vertical="top"/>
    </xf>
    <xf numFmtId="166" fontId="1" fillId="0" borderId="1" xfId="2" applyNumberFormat="1" applyBorder="1" applyAlignment="1">
      <alignment vertical="center"/>
    </xf>
    <xf numFmtId="164" fontId="2" fillId="0" borderId="0" xfId="2" applyNumberFormat="1" applyFont="1"/>
    <xf numFmtId="0" fontId="2" fillId="0" borderId="0" xfId="2" applyFont="1"/>
    <xf numFmtId="0" fontId="1" fillId="0" borderId="0" xfId="2" applyAlignment="1">
      <alignment horizontal="center" vertical="center"/>
    </xf>
    <xf numFmtId="165" fontId="1" fillId="0" borderId="0" xfId="2" applyNumberFormat="1" applyAlignment="1">
      <alignment horizontal="center" vertical="center"/>
    </xf>
    <xf numFmtId="0" fontId="1" fillId="0" borderId="0" xfId="2" applyAlignment="1">
      <alignment vertical="center"/>
    </xf>
    <xf numFmtId="176" fontId="2" fillId="0" borderId="0" xfId="2" applyNumberFormat="1" applyFont="1"/>
    <xf numFmtId="43" fontId="2" fillId="0" borderId="0" xfId="2" applyNumberFormat="1" applyFont="1"/>
    <xf numFmtId="167" fontId="2" fillId="0" borderId="0" xfId="2" applyNumberFormat="1" applyFont="1"/>
    <xf numFmtId="165" fontId="0" fillId="0" borderId="0" xfId="3" applyNumberFormat="1" applyFont="1"/>
    <xf numFmtId="41" fontId="1" fillId="0" borderId="0" xfId="2" applyNumberFormat="1"/>
    <xf numFmtId="170" fontId="1" fillId="0" borderId="0" xfId="2" applyNumberFormat="1"/>
    <xf numFmtId="177" fontId="2" fillId="0" borderId="0" xfId="2" applyNumberFormat="1" applyFont="1"/>
    <xf numFmtId="2" fontId="2" fillId="0" borderId="0" xfId="2" applyNumberFormat="1" applyFont="1" applyAlignment="1">
      <alignment horizontal="center" vertical="center"/>
    </xf>
    <xf numFmtId="165" fontId="0" fillId="0" borderId="0" xfId="3" applyNumberFormat="1" applyFont="1" applyAlignment="1">
      <alignment horizontal="center" vertical="center"/>
    </xf>
    <xf numFmtId="165" fontId="0" fillId="5" borderId="1" xfId="3" applyNumberFormat="1" applyFont="1" applyFill="1" applyBorder="1" applyAlignment="1">
      <alignment vertical="center"/>
    </xf>
    <xf numFmtId="165" fontId="1" fillId="5" borderId="1" xfId="2" applyNumberFormat="1" applyFill="1" applyBorder="1" applyAlignment="1">
      <alignment vertical="center"/>
    </xf>
    <xf numFmtId="9" fontId="0" fillId="0" borderId="0" xfId="5" applyFont="1"/>
    <xf numFmtId="166" fontId="0" fillId="0" borderId="0" xfId="3" applyFont="1"/>
    <xf numFmtId="0" fontId="3" fillId="6" borderId="28" xfId="2" applyFont="1" applyFill="1" applyBorder="1" applyAlignment="1">
      <alignment horizontal="center"/>
    </xf>
    <xf numFmtId="0" fontId="3" fillId="6" borderId="29" xfId="2" applyFont="1" applyFill="1" applyBorder="1" applyAlignment="1">
      <alignment horizontal="center"/>
    </xf>
    <xf numFmtId="0" fontId="3" fillId="0" borderId="30" xfId="2" applyFont="1" applyBorder="1"/>
    <xf numFmtId="0" fontId="2" fillId="5" borderId="1" xfId="2" applyFont="1" applyFill="1" applyBorder="1" applyAlignment="1">
      <alignment horizontal="center"/>
    </xf>
    <xf numFmtId="0" fontId="1" fillId="0" borderId="31" xfId="2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1" fillId="0" borderId="8" xfId="2" applyBorder="1" applyAlignment="1">
      <alignment horizontal="center"/>
    </xf>
    <xf numFmtId="0" fontId="1" fillId="0" borderId="12" xfId="2" applyBorder="1" applyAlignment="1">
      <alignment horizontal="center"/>
    </xf>
    <xf numFmtId="0" fontId="1" fillId="0" borderId="1" xfId="2" applyBorder="1" applyAlignment="1">
      <alignment horizontal="left" vertical="center"/>
    </xf>
    <xf numFmtId="0" fontId="1" fillId="0" borderId="1" xfId="2" applyBorder="1" applyAlignment="1">
      <alignment vertical="center"/>
    </xf>
    <xf numFmtId="0" fontId="1" fillId="0" borderId="26" xfId="2" applyBorder="1"/>
    <xf numFmtId="2" fontId="1" fillId="0" borderId="32" xfId="2" applyNumberFormat="1" applyBorder="1"/>
    <xf numFmtId="0" fontId="2" fillId="0" borderId="26" xfId="2" applyFont="1" applyBorder="1"/>
    <xf numFmtId="0" fontId="1" fillId="0" borderId="27" xfId="2" applyBorder="1"/>
    <xf numFmtId="43" fontId="1" fillId="0" borderId="0" xfId="2" applyNumberFormat="1"/>
    <xf numFmtId="178" fontId="0" fillId="0" borderId="0" xfId="3" applyNumberFormat="1" applyFont="1"/>
    <xf numFmtId="0" fontId="1" fillId="0" borderId="33" xfId="2" applyBorder="1"/>
    <xf numFmtId="2" fontId="1" fillId="0" borderId="33" xfId="2" applyNumberFormat="1" applyBorder="1"/>
    <xf numFmtId="2" fontId="1" fillId="0" borderId="0" xfId="2" applyNumberFormat="1"/>
    <xf numFmtId="9" fontId="0" fillId="0" borderId="34" xfId="5" applyFont="1" applyBorder="1"/>
    <xf numFmtId="178" fontId="0" fillId="0" borderId="1" xfId="3" applyNumberFormat="1" applyFont="1" applyBorder="1" applyAlignment="1">
      <alignment horizontal="left"/>
    </xf>
    <xf numFmtId="0" fontId="1" fillId="0" borderId="35" xfId="2" applyBorder="1"/>
    <xf numFmtId="2" fontId="1" fillId="0" borderId="36" xfId="2" applyNumberFormat="1" applyBorder="1"/>
    <xf numFmtId="2" fontId="2" fillId="0" borderId="35" xfId="2" applyNumberFormat="1" applyFont="1" applyBorder="1"/>
    <xf numFmtId="2" fontId="1" fillId="0" borderId="37" xfId="2" applyNumberFormat="1" applyBorder="1"/>
    <xf numFmtId="9" fontId="0" fillId="0" borderId="38" xfId="5" applyFont="1" applyBorder="1"/>
    <xf numFmtId="178" fontId="0" fillId="0" borderId="1" xfId="3" applyNumberFormat="1" applyFont="1" applyBorder="1" applyAlignment="1">
      <alignment horizontal="left" vertical="center"/>
    </xf>
    <xf numFmtId="0" fontId="7" fillId="3" borderId="0" xfId="0" applyFont="1" applyFill="1" applyAlignment="1">
      <alignment vertical="top"/>
    </xf>
    <xf numFmtId="41" fontId="7" fillId="3" borderId="0" xfId="1" applyFont="1" applyFill="1" applyAlignment="1">
      <alignment vertical="top"/>
    </xf>
    <xf numFmtId="172" fontId="1" fillId="0" borderId="1" xfId="2" applyNumberFormat="1" applyBorder="1" applyAlignment="1">
      <alignment horizontal="left"/>
    </xf>
    <xf numFmtId="0" fontId="7" fillId="3" borderId="13" xfId="0" applyFont="1" applyFill="1" applyBorder="1" applyAlignment="1">
      <alignment horizontal="left" vertical="top"/>
    </xf>
    <xf numFmtId="0" fontId="7" fillId="3" borderId="39" xfId="0" applyFont="1" applyFill="1" applyBorder="1" applyAlignment="1">
      <alignment horizontal="left" vertical="top"/>
    </xf>
    <xf numFmtId="172" fontId="1" fillId="0" borderId="0" xfId="2" applyNumberFormat="1"/>
    <xf numFmtId="41" fontId="7" fillId="3" borderId="0" xfId="0" applyNumberFormat="1" applyFont="1" applyFill="1" applyAlignment="1">
      <alignment vertical="top"/>
    </xf>
    <xf numFmtId="0" fontId="7" fillId="3" borderId="20" xfId="0" applyFont="1" applyFill="1" applyBorder="1" applyAlignment="1">
      <alignment horizontal="left" vertical="top"/>
    </xf>
    <xf numFmtId="0" fontId="1" fillId="0" borderId="0" xfId="2" applyAlignment="1">
      <alignment horizontal="center"/>
    </xf>
  </cellXfs>
  <cellStyles count="6">
    <cellStyle name="Comma [0]" xfId="1" builtinId="6"/>
    <cellStyle name="Comma [0] 3" xfId="4" xr:uid="{4C984090-27E9-4BA6-BBF3-E46895F0440F}"/>
    <cellStyle name="Comma 7" xfId="3" xr:uid="{8F9C01A7-2070-48D9-A0B6-F8EB99B699D3}"/>
    <cellStyle name="Normal" xfId="0" builtinId="0"/>
    <cellStyle name="Normal 8" xfId="2" xr:uid="{A4BA2D65-CBC9-4E75-852E-E7A487934CAF}"/>
    <cellStyle name="Percent 3" xfId="5" xr:uid="{29599A3B-CB1C-4EEC-8FA6-BF46603262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7BCC-9266-46E7-956C-057F3FCFD6BC}">
  <dimension ref="A1:BW152"/>
  <sheetViews>
    <sheetView tabSelected="1" zoomScale="85" zoomScaleNormal="85" workbookViewId="0">
      <selection activeCell="AO4" sqref="AO4:AO13"/>
    </sheetView>
  </sheetViews>
  <sheetFormatPr defaultRowHeight="15" x14ac:dyDescent="0.25"/>
  <cols>
    <col min="1" max="1" width="10.25" style="284" customWidth="1"/>
    <col min="2" max="2" width="49.25" style="14" customWidth="1"/>
    <col min="3" max="3" width="15.5" style="14" customWidth="1"/>
    <col min="4" max="4" width="13.375" style="14" customWidth="1"/>
    <col min="5" max="6" width="17.875" style="14" customWidth="1"/>
    <col min="7" max="7" width="8.625" style="14" customWidth="1"/>
    <col min="8" max="8" width="13.5" style="14" customWidth="1"/>
    <col min="9" max="9" width="13" style="14" bestFit="1" customWidth="1"/>
    <col min="10" max="10" width="21.5" style="14" bestFit="1" customWidth="1"/>
    <col min="11" max="11" width="10.75" style="14" customWidth="1"/>
    <col min="12" max="12" width="10.75" style="233" customWidth="1"/>
    <col min="13" max="14" width="12.875" style="14" customWidth="1"/>
    <col min="15" max="17" width="11" style="14" customWidth="1"/>
    <col min="18" max="18" width="9.875" style="14" customWidth="1"/>
    <col min="19" max="19" width="9.5" style="231" customWidth="1"/>
    <col min="20" max="20" width="9.625" style="14" bestFit="1" customWidth="1"/>
    <col min="21" max="21" width="9.75" style="14" bestFit="1" customWidth="1"/>
    <col min="22" max="23" width="9.5" style="14" customWidth="1"/>
    <col min="24" max="24" width="10.875" style="232" customWidth="1"/>
    <col min="25" max="27" width="10.75" style="14" customWidth="1"/>
    <col min="28" max="28" width="13.25" style="14" customWidth="1"/>
    <col min="29" max="29" width="20.875" style="14" customWidth="1"/>
    <col min="30" max="30" width="19.625" style="14" customWidth="1"/>
    <col min="31" max="31" width="15.125" style="14" bestFit="1" customWidth="1"/>
    <col min="32" max="32" width="14" style="14" customWidth="1"/>
    <col min="33" max="33" width="11.25" style="14" customWidth="1"/>
    <col min="34" max="35" width="10.625" style="14" customWidth="1"/>
    <col min="36" max="36" width="21.125" style="14" bestFit="1" customWidth="1"/>
    <col min="37" max="40" width="10.625" style="14" customWidth="1"/>
    <col min="41" max="41" width="12.25" style="14" customWidth="1"/>
    <col min="42" max="42" width="9.625" style="14" customWidth="1"/>
    <col min="43" max="43" width="15.75" style="14" customWidth="1"/>
    <col min="44" max="44" width="10.625" style="14" customWidth="1"/>
    <col min="45" max="45" width="20.125" style="233" customWidth="1"/>
    <col min="46" max="46" width="15.125" style="14" customWidth="1"/>
    <col min="47" max="47" width="20.625" style="14" customWidth="1"/>
    <col min="48" max="48" width="19.5" style="14" customWidth="1"/>
    <col min="49" max="49" width="15.5" style="14" customWidth="1"/>
    <col min="50" max="54" width="9" style="14"/>
    <col min="55" max="55" width="11.375" style="14" bestFit="1" customWidth="1"/>
    <col min="56" max="16384" width="9" style="14"/>
  </cols>
  <sheetData>
    <row r="1" spans="1:48" ht="14.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3"/>
      <c r="I1" s="3"/>
      <c r="J1" s="4" t="s">
        <v>5</v>
      </c>
      <c r="K1" s="1" t="s">
        <v>6</v>
      </c>
      <c r="L1" s="1" t="s">
        <v>7</v>
      </c>
      <c r="M1" s="4" t="s">
        <v>8</v>
      </c>
      <c r="N1" s="4" t="s">
        <v>0</v>
      </c>
      <c r="O1" s="4" t="s">
        <v>9</v>
      </c>
      <c r="P1" s="4" t="s">
        <v>10</v>
      </c>
      <c r="Q1" s="4" t="s">
        <v>11</v>
      </c>
      <c r="R1" s="4" t="s">
        <v>12</v>
      </c>
      <c r="S1" s="5" t="s">
        <v>13</v>
      </c>
      <c r="T1" s="1" t="s">
        <v>14</v>
      </c>
      <c r="U1" s="1"/>
      <c r="V1" s="1"/>
      <c r="W1" s="1"/>
      <c r="X1" s="1"/>
      <c r="Y1" s="1" t="s">
        <v>0</v>
      </c>
      <c r="Z1" s="6" t="s">
        <v>15</v>
      </c>
      <c r="AA1" s="6"/>
      <c r="AB1" s="6"/>
      <c r="AC1" s="7" t="s">
        <v>16</v>
      </c>
      <c r="AD1" s="8"/>
      <c r="AE1" s="4" t="s">
        <v>17</v>
      </c>
      <c r="AF1" s="4" t="s">
        <v>18</v>
      </c>
      <c r="AG1" s="4" t="s">
        <v>19</v>
      </c>
      <c r="AH1" s="4"/>
      <c r="AI1" s="4"/>
      <c r="AJ1" s="4"/>
      <c r="AK1" s="4"/>
      <c r="AL1" s="4" t="s">
        <v>0</v>
      </c>
      <c r="AM1" s="9" t="s">
        <v>20</v>
      </c>
      <c r="AN1" s="10"/>
      <c r="AO1" s="10"/>
      <c r="AP1" s="11"/>
      <c r="AQ1" s="12" t="s">
        <v>21</v>
      </c>
      <c r="AR1" s="12" t="s">
        <v>11</v>
      </c>
      <c r="AS1" s="1" t="s">
        <v>22</v>
      </c>
      <c r="AT1" s="13" t="s">
        <v>23</v>
      </c>
      <c r="AU1" s="13" t="s">
        <v>24</v>
      </c>
      <c r="AV1" s="13" t="s">
        <v>25</v>
      </c>
    </row>
    <row r="2" spans="1:48" ht="38.25" customHeight="1" x14ac:dyDescent="0.25">
      <c r="A2" s="1"/>
      <c r="B2" s="1"/>
      <c r="C2" s="1"/>
      <c r="D2" s="1"/>
      <c r="E2" s="2" t="s">
        <v>26</v>
      </c>
      <c r="F2" s="2" t="s">
        <v>27</v>
      </c>
      <c r="G2" s="2" t="s">
        <v>28</v>
      </c>
      <c r="H2" s="15" t="s">
        <v>29</v>
      </c>
      <c r="I2" s="16" t="s">
        <v>30</v>
      </c>
      <c r="J2" s="4"/>
      <c r="K2" s="1"/>
      <c r="L2" s="1"/>
      <c r="M2" s="4"/>
      <c r="N2" s="4"/>
      <c r="O2" s="4"/>
      <c r="P2" s="4"/>
      <c r="Q2" s="4"/>
      <c r="R2" s="4"/>
      <c r="S2" s="5"/>
      <c r="T2" s="2" t="s">
        <v>31</v>
      </c>
      <c r="U2" s="2" t="s">
        <v>32</v>
      </c>
      <c r="V2" s="2" t="s">
        <v>33</v>
      </c>
      <c r="W2" s="17" t="s">
        <v>13</v>
      </c>
      <c r="X2" s="2" t="s">
        <v>34</v>
      </c>
      <c r="Y2" s="1"/>
      <c r="Z2" s="2" t="s">
        <v>35</v>
      </c>
      <c r="AA2" s="2" t="s">
        <v>34</v>
      </c>
      <c r="AB2" s="2" t="s">
        <v>36</v>
      </c>
      <c r="AC2" s="6" t="s">
        <v>37</v>
      </c>
      <c r="AD2" s="6" t="s">
        <v>38</v>
      </c>
      <c r="AE2" s="4"/>
      <c r="AF2" s="4"/>
      <c r="AG2" s="17" t="s">
        <v>39</v>
      </c>
      <c r="AH2" s="17" t="s">
        <v>40</v>
      </c>
      <c r="AI2" s="17" t="s">
        <v>13</v>
      </c>
      <c r="AJ2" s="17" t="s">
        <v>41</v>
      </c>
      <c r="AK2" s="17" t="s">
        <v>42</v>
      </c>
      <c r="AL2" s="4"/>
      <c r="AM2" s="17" t="s">
        <v>43</v>
      </c>
      <c r="AN2" s="17" t="s">
        <v>44</v>
      </c>
      <c r="AO2" s="17" t="s">
        <v>45</v>
      </c>
      <c r="AP2" s="17" t="s">
        <v>13</v>
      </c>
      <c r="AQ2" s="18"/>
      <c r="AR2" s="18"/>
      <c r="AS2" s="1"/>
      <c r="AT2" s="13"/>
      <c r="AU2" s="13"/>
      <c r="AV2" s="13"/>
    </row>
    <row r="3" spans="1:48" s="30" customFormat="1" ht="16.5" customHeight="1" thickBot="1" x14ac:dyDescent="0.3">
      <c r="A3" s="19">
        <v>45056</v>
      </c>
      <c r="B3" s="20" t="s">
        <v>46</v>
      </c>
      <c r="C3" s="20"/>
      <c r="D3" s="21"/>
      <c r="E3" s="21"/>
      <c r="F3" s="21"/>
      <c r="G3" s="21"/>
      <c r="H3" s="22"/>
      <c r="I3" s="23"/>
      <c r="J3" s="24"/>
      <c r="K3" s="21"/>
      <c r="L3" s="21"/>
      <c r="M3" s="24"/>
      <c r="N3" s="24"/>
      <c r="O3" s="24"/>
      <c r="P3" s="24"/>
      <c r="Q3" s="24"/>
      <c r="R3" s="24"/>
      <c r="S3" s="25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6"/>
      <c r="AT3" s="27">
        <v>150000000</v>
      </c>
      <c r="AU3" s="28"/>
      <c r="AV3" s="29">
        <v>150000000</v>
      </c>
    </row>
    <row r="4" spans="1:48" ht="15.75" x14ac:dyDescent="0.25">
      <c r="A4" s="31">
        <v>45056</v>
      </c>
      <c r="B4" s="32" t="s">
        <v>47</v>
      </c>
      <c r="C4" s="33">
        <v>1</v>
      </c>
      <c r="D4" s="32" t="s">
        <v>48</v>
      </c>
      <c r="E4" s="32">
        <v>481.6</v>
      </c>
      <c r="F4" s="34">
        <v>13500</v>
      </c>
      <c r="G4" s="35">
        <f t="shared" ref="G4:G20" si="0">E4/H4</f>
        <v>1.2002492211838007</v>
      </c>
      <c r="H4" s="35">
        <v>401.25</v>
      </c>
      <c r="I4" s="34">
        <f t="shared" ref="I4:I26" si="1">E4*F4</f>
        <v>6501600</v>
      </c>
      <c r="J4" s="36">
        <f>SUM(I4+I5)</f>
        <v>7762140</v>
      </c>
      <c r="K4" s="33" t="s">
        <v>44</v>
      </c>
      <c r="L4" s="37" t="s">
        <v>49</v>
      </c>
      <c r="M4" s="33" t="s">
        <v>50</v>
      </c>
      <c r="N4" s="33" t="s">
        <v>51</v>
      </c>
      <c r="O4" s="38" t="s">
        <v>52</v>
      </c>
      <c r="P4" s="39" t="s">
        <v>53</v>
      </c>
      <c r="Q4" s="38" t="s">
        <v>54</v>
      </c>
      <c r="R4" s="33">
        <v>156.4</v>
      </c>
      <c r="S4" s="40">
        <f>R4/SUM(E4:E5)</f>
        <v>0.27390542907180387</v>
      </c>
      <c r="T4" s="33">
        <v>98.1</v>
      </c>
      <c r="U4" s="33">
        <v>14</v>
      </c>
      <c r="V4" s="33">
        <v>10</v>
      </c>
      <c r="W4" s="41">
        <f>T4/R4</f>
        <v>0.62723785166240398</v>
      </c>
      <c r="X4" s="42">
        <f>T4/(E4+E5)</f>
        <v>0.17180385288966724</v>
      </c>
      <c r="Y4" s="43" t="s">
        <v>55</v>
      </c>
      <c r="Z4" s="44"/>
      <c r="AA4" s="45"/>
      <c r="AB4" s="46"/>
      <c r="AC4" s="47">
        <v>62500</v>
      </c>
      <c r="AD4" s="48">
        <f>166*(E4+E5)</f>
        <v>94786</v>
      </c>
      <c r="AE4" s="48">
        <f>J4+AC4+AD4</f>
        <v>7919426</v>
      </c>
      <c r="AF4" s="49">
        <f>AE4/T4</f>
        <v>80728.093781855248</v>
      </c>
      <c r="AG4" s="50">
        <v>88</v>
      </c>
      <c r="AH4" s="49">
        <f>T4-AG4</f>
        <v>10.099999999999994</v>
      </c>
      <c r="AI4" s="51">
        <f>AG4/T4</f>
        <v>0.89704383282364941</v>
      </c>
      <c r="AJ4" s="49">
        <f>1000*T4</f>
        <v>98100</v>
      </c>
      <c r="AK4" s="49">
        <f>((AE4+AJ4)/AG4)</f>
        <v>91108.25</v>
      </c>
      <c r="AL4" s="49" t="s">
        <v>56</v>
      </c>
      <c r="AM4" s="52">
        <v>218</v>
      </c>
      <c r="AN4" s="53">
        <v>53</v>
      </c>
      <c r="AO4" s="53">
        <v>37.200000000000003</v>
      </c>
      <c r="AP4" s="54">
        <f>AM4/SUM(AG4:AG13)</f>
        <v>0.70733290071382227</v>
      </c>
      <c r="AQ4" s="55">
        <f>500*(AG4+AG6)</f>
        <v>96350</v>
      </c>
      <c r="AR4" s="55" t="s">
        <v>57</v>
      </c>
      <c r="AS4" s="55" t="s">
        <v>58</v>
      </c>
      <c r="AT4" s="56"/>
      <c r="AU4" s="56">
        <f>SUM(AJ4+AD4+AC4+J4)</f>
        <v>8017526</v>
      </c>
      <c r="AV4" s="57">
        <f>SUM(AV3-AU4)</f>
        <v>141982474</v>
      </c>
    </row>
    <row r="5" spans="1:48" ht="16.5" thickBot="1" x14ac:dyDescent="0.3">
      <c r="A5" s="58">
        <v>45056</v>
      </c>
      <c r="B5" s="59" t="s">
        <v>59</v>
      </c>
      <c r="C5" s="60"/>
      <c r="D5" s="59" t="s">
        <v>60</v>
      </c>
      <c r="E5" s="61">
        <v>89.4</v>
      </c>
      <c r="F5" s="62">
        <v>14100</v>
      </c>
      <c r="G5" s="63">
        <f t="shared" si="0"/>
        <v>1.2000000000000002</v>
      </c>
      <c r="H5" s="64">
        <v>74.5</v>
      </c>
      <c r="I5" s="62">
        <f t="shared" si="1"/>
        <v>1260540</v>
      </c>
      <c r="J5" s="65"/>
      <c r="K5" s="60"/>
      <c r="L5" s="66" t="s">
        <v>61</v>
      </c>
      <c r="M5" s="60"/>
      <c r="N5" s="60"/>
      <c r="O5" s="67"/>
      <c r="P5" s="68"/>
      <c r="Q5" s="67"/>
      <c r="R5" s="60"/>
      <c r="S5" s="69"/>
      <c r="T5" s="60"/>
      <c r="U5" s="60"/>
      <c r="V5" s="60"/>
      <c r="W5" s="70"/>
      <c r="X5" s="71"/>
      <c r="Y5" s="72"/>
      <c r="Z5" s="73"/>
      <c r="AA5" s="74"/>
      <c r="AB5" s="75"/>
      <c r="AC5" s="76"/>
      <c r="AD5" s="67"/>
      <c r="AE5" s="77"/>
      <c r="AF5" s="78"/>
      <c r="AG5" s="79"/>
      <c r="AH5" s="78"/>
      <c r="AI5" s="80"/>
      <c r="AJ5" s="78"/>
      <c r="AK5" s="78"/>
      <c r="AL5" s="78"/>
      <c r="AM5" s="52"/>
      <c r="AN5" s="53"/>
      <c r="AO5" s="53"/>
      <c r="AP5" s="54"/>
      <c r="AQ5" s="81"/>
      <c r="AR5" s="81"/>
      <c r="AS5" s="82"/>
      <c r="AT5" s="83"/>
      <c r="AU5" s="83"/>
      <c r="AV5" s="84"/>
    </row>
    <row r="6" spans="1:48" ht="16.5" thickBot="1" x14ac:dyDescent="0.3">
      <c r="A6" s="85">
        <v>45056</v>
      </c>
      <c r="B6" s="86" t="s">
        <v>62</v>
      </c>
      <c r="C6" s="87">
        <v>2</v>
      </c>
      <c r="D6" s="86" t="s">
        <v>63</v>
      </c>
      <c r="E6" s="86">
        <v>711.9</v>
      </c>
      <c r="F6" s="88">
        <v>13500</v>
      </c>
      <c r="G6" s="89">
        <f t="shared" si="0"/>
        <v>1.2</v>
      </c>
      <c r="H6" s="90">
        <v>593.25</v>
      </c>
      <c r="I6" s="88">
        <f t="shared" si="1"/>
        <v>9610650</v>
      </c>
      <c r="J6" s="88">
        <f>I6</f>
        <v>9610650</v>
      </c>
      <c r="K6" s="87" t="s">
        <v>44</v>
      </c>
      <c r="L6" s="91" t="s">
        <v>61</v>
      </c>
      <c r="M6" s="92" t="s">
        <v>62</v>
      </c>
      <c r="N6" s="92" t="s">
        <v>51</v>
      </c>
      <c r="O6" s="93" t="s">
        <v>64</v>
      </c>
      <c r="P6" s="93" t="s">
        <v>65</v>
      </c>
      <c r="Q6" s="93" t="s">
        <v>66</v>
      </c>
      <c r="R6" s="87">
        <v>166</v>
      </c>
      <c r="S6" s="94">
        <f>R6/E6</f>
        <v>0.23317881724961373</v>
      </c>
      <c r="T6" s="87">
        <v>115</v>
      </c>
      <c r="U6" s="87">
        <v>16</v>
      </c>
      <c r="V6" s="87">
        <v>10</v>
      </c>
      <c r="W6" s="87">
        <f>T6/R6</f>
        <v>0.69277108433734935</v>
      </c>
      <c r="X6" s="95">
        <f>T6/E6</f>
        <v>0.16153954207051552</v>
      </c>
      <c r="Y6" s="96"/>
      <c r="Z6" s="97"/>
      <c r="AA6" s="97"/>
      <c r="AB6" s="97"/>
      <c r="AC6" s="98">
        <f>R6*400</f>
        <v>66400</v>
      </c>
      <c r="AD6" s="98">
        <f>166*E6</f>
        <v>118175.4</v>
      </c>
      <c r="AE6" s="99">
        <f>J6+AC6+AD6</f>
        <v>9795225.4000000004</v>
      </c>
      <c r="AF6" s="100">
        <f>AE6/T6</f>
        <v>85175.873043478263</v>
      </c>
      <c r="AG6" s="101">
        <f>76.5+28.2</f>
        <v>104.7</v>
      </c>
      <c r="AH6" s="101">
        <f>115-104.7</f>
        <v>10.299999999999997</v>
      </c>
      <c r="AI6" s="102">
        <f>AG6/T6</f>
        <v>0.9104347826086957</v>
      </c>
      <c r="AJ6" s="100">
        <f>1000*T6</f>
        <v>115000</v>
      </c>
      <c r="AK6" s="100">
        <f>((AE6+AJ6)/AG6)</f>
        <v>94653.537726838593</v>
      </c>
      <c r="AL6" s="100" t="s">
        <v>67</v>
      </c>
      <c r="AM6" s="52"/>
      <c r="AN6" s="53"/>
      <c r="AO6" s="53"/>
      <c r="AP6" s="54"/>
      <c r="AQ6" s="81"/>
      <c r="AR6" s="81"/>
      <c r="AS6" s="103" t="s">
        <v>58</v>
      </c>
      <c r="AT6" s="86"/>
      <c r="AU6" s="104">
        <f>SUM(AJ6+AD6+AC6+J6)</f>
        <v>9910225.4000000004</v>
      </c>
      <c r="AV6" s="105">
        <f>SUM(AV4-AU6)</f>
        <v>132072248.59999999</v>
      </c>
    </row>
    <row r="7" spans="1:48" ht="15.75" x14ac:dyDescent="0.25">
      <c r="A7" s="31">
        <v>45056</v>
      </c>
      <c r="B7" s="32" t="s">
        <v>59</v>
      </c>
      <c r="C7" s="33">
        <v>3</v>
      </c>
      <c r="D7" s="32" t="s">
        <v>60</v>
      </c>
      <c r="E7" s="35">
        <v>90.6</v>
      </c>
      <c r="F7" s="34">
        <v>13800</v>
      </c>
      <c r="G7" s="35">
        <f t="shared" si="0"/>
        <v>1.2</v>
      </c>
      <c r="H7" s="106">
        <v>75.5</v>
      </c>
      <c r="I7" s="34">
        <f t="shared" si="1"/>
        <v>1250280</v>
      </c>
      <c r="J7" s="36">
        <f>I7+I8+I9+I10+I11+I12+I13</f>
        <v>11521538.4</v>
      </c>
      <c r="K7" s="107" t="s">
        <v>44</v>
      </c>
      <c r="L7" s="37" t="s">
        <v>68</v>
      </c>
      <c r="M7" s="33" t="s">
        <v>50</v>
      </c>
      <c r="N7" s="33" t="s">
        <v>69</v>
      </c>
      <c r="O7" s="38" t="s">
        <v>70</v>
      </c>
      <c r="P7" s="38" t="s">
        <v>53</v>
      </c>
      <c r="Q7" s="38" t="s">
        <v>66</v>
      </c>
      <c r="R7" s="33">
        <v>225.6</v>
      </c>
      <c r="S7" s="108">
        <f>R7/SUM(E7:E13)</f>
        <v>0.27043874370654519</v>
      </c>
      <c r="T7" s="33">
        <f>89.8+49</f>
        <v>138.80000000000001</v>
      </c>
      <c r="U7" s="33"/>
      <c r="V7" s="33"/>
      <c r="W7" s="109">
        <f>T7/R7</f>
        <v>0.61524822695035464</v>
      </c>
      <c r="X7" s="109">
        <f>T7/SUM(E7:E13)</f>
        <v>0.16638695756413333</v>
      </c>
      <c r="Y7" s="33" t="s">
        <v>55</v>
      </c>
      <c r="Z7" s="41"/>
      <c r="AA7" s="41"/>
      <c r="AB7" s="41"/>
      <c r="AC7" s="36">
        <f>R7*400</f>
        <v>90240</v>
      </c>
      <c r="AD7" s="110">
        <f>166*(E7+E8+E9+E10+E11+E12+E13)</f>
        <v>138477.19999999998</v>
      </c>
      <c r="AE7" s="36">
        <f>J7+AC7+AD7</f>
        <v>11750255.6</v>
      </c>
      <c r="AF7" s="49">
        <f>AE7/T7</f>
        <v>84656.020172910648</v>
      </c>
      <c r="AG7" s="33">
        <v>115.5</v>
      </c>
      <c r="AH7" s="49">
        <f>10/100*T7</f>
        <v>13.880000000000003</v>
      </c>
      <c r="AI7" s="111">
        <f>AG7/T7</f>
        <v>0.83213256484149845</v>
      </c>
      <c r="AJ7" s="49">
        <f>1000*T7</f>
        <v>138800</v>
      </c>
      <c r="AK7" s="49">
        <f>(AE7+AJ7)/AG7</f>
        <v>102935.54632034632</v>
      </c>
      <c r="AL7" s="49" t="s">
        <v>56</v>
      </c>
      <c r="AM7" s="52"/>
      <c r="AN7" s="53"/>
      <c r="AO7" s="53"/>
      <c r="AP7" s="54"/>
      <c r="AQ7" s="81"/>
      <c r="AR7" s="81"/>
      <c r="AS7" s="41" t="s">
        <v>58</v>
      </c>
      <c r="AT7" s="112"/>
      <c r="AU7" s="56">
        <f>SUM(AJ7+AD7+AC7+J7+AQ4)</f>
        <v>11985405.6</v>
      </c>
      <c r="AV7" s="57">
        <f>SUM(AV6-AU7)</f>
        <v>120086843</v>
      </c>
    </row>
    <row r="8" spans="1:48" ht="15.75" x14ac:dyDescent="0.25">
      <c r="A8" s="113">
        <v>45056</v>
      </c>
      <c r="B8" s="114" t="s">
        <v>71</v>
      </c>
      <c r="C8" s="53"/>
      <c r="D8" s="114" t="s">
        <v>72</v>
      </c>
      <c r="E8" s="114">
        <v>129.6</v>
      </c>
      <c r="F8" s="115">
        <v>13500</v>
      </c>
      <c r="G8" s="116">
        <f t="shared" si="0"/>
        <v>1.2</v>
      </c>
      <c r="H8" s="117">
        <v>108</v>
      </c>
      <c r="I8" s="115">
        <f t="shared" si="1"/>
        <v>1749600</v>
      </c>
      <c r="J8" s="118"/>
      <c r="K8" s="119"/>
      <c r="L8" s="120" t="s">
        <v>49</v>
      </c>
      <c r="M8" s="53"/>
      <c r="N8" s="53"/>
      <c r="O8" s="121"/>
      <c r="P8" s="121"/>
      <c r="Q8" s="121"/>
      <c r="R8" s="53"/>
      <c r="S8" s="122"/>
      <c r="T8" s="53"/>
      <c r="U8" s="53"/>
      <c r="V8" s="53"/>
      <c r="W8" s="123"/>
      <c r="X8" s="123"/>
      <c r="Y8" s="53"/>
      <c r="Z8" s="124"/>
      <c r="AA8" s="124"/>
      <c r="AB8" s="124"/>
      <c r="AC8" s="118"/>
      <c r="AD8" s="125"/>
      <c r="AE8" s="118"/>
      <c r="AF8" s="52"/>
      <c r="AG8" s="53"/>
      <c r="AH8" s="52"/>
      <c r="AI8" s="126"/>
      <c r="AJ8" s="52"/>
      <c r="AK8" s="52"/>
      <c r="AL8" s="52"/>
      <c r="AM8" s="52"/>
      <c r="AN8" s="53"/>
      <c r="AO8" s="53"/>
      <c r="AP8" s="54"/>
      <c r="AQ8" s="81"/>
      <c r="AR8" s="81"/>
      <c r="AS8" s="124"/>
      <c r="AT8" s="127"/>
      <c r="AU8" s="128"/>
      <c r="AV8" s="129"/>
    </row>
    <row r="9" spans="1:48" ht="15.75" x14ac:dyDescent="0.25">
      <c r="A9" s="113">
        <v>45056</v>
      </c>
      <c r="B9" s="114" t="s">
        <v>73</v>
      </c>
      <c r="C9" s="53"/>
      <c r="D9" s="114" t="s">
        <v>74</v>
      </c>
      <c r="E9" s="114">
        <v>180.6</v>
      </c>
      <c r="F9" s="115">
        <v>13800</v>
      </c>
      <c r="G9" s="116">
        <f t="shared" si="0"/>
        <v>1.2</v>
      </c>
      <c r="H9" s="117">
        <v>150.5</v>
      </c>
      <c r="I9" s="115">
        <f t="shared" si="1"/>
        <v>2492280</v>
      </c>
      <c r="J9" s="118"/>
      <c r="K9" s="119"/>
      <c r="L9" s="120" t="s">
        <v>49</v>
      </c>
      <c r="M9" s="53"/>
      <c r="N9" s="53"/>
      <c r="O9" s="121"/>
      <c r="P9" s="121"/>
      <c r="Q9" s="121"/>
      <c r="R9" s="53"/>
      <c r="S9" s="122"/>
      <c r="T9" s="53"/>
      <c r="U9" s="53"/>
      <c r="V9" s="53"/>
      <c r="W9" s="123"/>
      <c r="X9" s="123"/>
      <c r="Y9" s="53"/>
      <c r="Z9" s="124"/>
      <c r="AA9" s="124"/>
      <c r="AB9" s="124"/>
      <c r="AC9" s="118"/>
      <c r="AD9" s="125"/>
      <c r="AE9" s="118"/>
      <c r="AF9" s="52"/>
      <c r="AG9" s="53"/>
      <c r="AH9" s="52"/>
      <c r="AI9" s="126"/>
      <c r="AJ9" s="52"/>
      <c r="AK9" s="52"/>
      <c r="AL9" s="52"/>
      <c r="AM9" s="52"/>
      <c r="AN9" s="53"/>
      <c r="AO9" s="53"/>
      <c r="AP9" s="54"/>
      <c r="AQ9" s="81"/>
      <c r="AR9" s="81"/>
      <c r="AS9" s="124"/>
      <c r="AT9" s="127"/>
      <c r="AU9" s="128"/>
      <c r="AV9" s="129"/>
    </row>
    <row r="10" spans="1:48" ht="15.75" x14ac:dyDescent="0.25">
      <c r="A10" s="113">
        <v>45056</v>
      </c>
      <c r="B10" s="114" t="s">
        <v>73</v>
      </c>
      <c r="C10" s="53"/>
      <c r="D10" s="114" t="s">
        <v>74</v>
      </c>
      <c r="E10" s="114">
        <v>163.9</v>
      </c>
      <c r="F10" s="115">
        <v>13800</v>
      </c>
      <c r="G10" s="116">
        <f t="shared" si="0"/>
        <v>1.2007326007326007</v>
      </c>
      <c r="H10" s="117">
        <v>136.5</v>
      </c>
      <c r="I10" s="115">
        <f t="shared" si="1"/>
        <v>2261820</v>
      </c>
      <c r="J10" s="118"/>
      <c r="K10" s="119"/>
      <c r="L10" s="120" t="s">
        <v>75</v>
      </c>
      <c r="M10" s="53"/>
      <c r="N10" s="53"/>
      <c r="O10" s="121"/>
      <c r="P10" s="121"/>
      <c r="Q10" s="121"/>
      <c r="R10" s="53"/>
      <c r="S10" s="122"/>
      <c r="T10" s="53"/>
      <c r="U10" s="53"/>
      <c r="V10" s="53"/>
      <c r="W10" s="123"/>
      <c r="X10" s="123"/>
      <c r="Y10" s="53"/>
      <c r="Z10" s="124"/>
      <c r="AA10" s="124"/>
      <c r="AB10" s="124"/>
      <c r="AC10" s="118"/>
      <c r="AD10" s="125"/>
      <c r="AE10" s="118"/>
      <c r="AF10" s="52"/>
      <c r="AG10" s="53"/>
      <c r="AH10" s="52"/>
      <c r="AI10" s="126"/>
      <c r="AJ10" s="52"/>
      <c r="AK10" s="52"/>
      <c r="AL10" s="52"/>
      <c r="AM10" s="52"/>
      <c r="AN10" s="53"/>
      <c r="AO10" s="53"/>
      <c r="AP10" s="54"/>
      <c r="AQ10" s="81"/>
      <c r="AR10" s="81"/>
      <c r="AS10" s="124"/>
      <c r="AT10" s="127"/>
      <c r="AU10" s="128"/>
      <c r="AV10" s="129"/>
    </row>
    <row r="11" spans="1:48" ht="15.75" x14ac:dyDescent="0.25">
      <c r="A11" s="113">
        <v>45087</v>
      </c>
      <c r="B11" s="114" t="s">
        <v>76</v>
      </c>
      <c r="C11" s="53"/>
      <c r="D11" s="114" t="s">
        <v>77</v>
      </c>
      <c r="E11" s="114">
        <v>60.3</v>
      </c>
      <c r="F11" s="130">
        <v>13500</v>
      </c>
      <c r="G11" s="116">
        <f t="shared" si="0"/>
        <v>1.2</v>
      </c>
      <c r="H11" s="117">
        <v>50.25</v>
      </c>
      <c r="I11" s="115">
        <f t="shared" si="1"/>
        <v>814050</v>
      </c>
      <c r="J11" s="118"/>
      <c r="K11" s="119"/>
      <c r="L11" s="120" t="s">
        <v>49</v>
      </c>
      <c r="M11" s="53"/>
      <c r="N11" s="53"/>
      <c r="O11" s="121"/>
      <c r="P11" s="121"/>
      <c r="Q11" s="121"/>
      <c r="R11" s="53"/>
      <c r="S11" s="122"/>
      <c r="T11" s="53"/>
      <c r="U11" s="53"/>
      <c r="V11" s="53"/>
      <c r="W11" s="123"/>
      <c r="X11" s="123"/>
      <c r="Y11" s="53"/>
      <c r="Z11" s="124"/>
      <c r="AA11" s="124"/>
      <c r="AB11" s="124"/>
      <c r="AC11" s="118"/>
      <c r="AD11" s="125"/>
      <c r="AE11" s="118"/>
      <c r="AF11" s="52"/>
      <c r="AG11" s="53"/>
      <c r="AH11" s="52"/>
      <c r="AI11" s="126"/>
      <c r="AJ11" s="52"/>
      <c r="AK11" s="52"/>
      <c r="AL11" s="52"/>
      <c r="AM11" s="52"/>
      <c r="AN11" s="53"/>
      <c r="AO11" s="53"/>
      <c r="AP11" s="54"/>
      <c r="AQ11" s="81"/>
      <c r="AR11" s="81"/>
      <c r="AS11" s="124"/>
      <c r="AT11" s="127"/>
      <c r="AU11" s="128"/>
      <c r="AV11" s="129"/>
    </row>
    <row r="12" spans="1:48" ht="15.75" x14ac:dyDescent="0.25">
      <c r="A12" s="113">
        <v>45087</v>
      </c>
      <c r="B12" s="114" t="s">
        <v>59</v>
      </c>
      <c r="C12" s="53"/>
      <c r="D12" s="114" t="s">
        <v>60</v>
      </c>
      <c r="E12" s="114">
        <v>119</v>
      </c>
      <c r="F12" s="115">
        <v>14100</v>
      </c>
      <c r="G12" s="116">
        <f t="shared" si="0"/>
        <v>1.198992443324937</v>
      </c>
      <c r="H12" s="117">
        <v>99.25</v>
      </c>
      <c r="I12" s="115">
        <f t="shared" si="1"/>
        <v>1677900</v>
      </c>
      <c r="J12" s="118"/>
      <c r="K12" s="119"/>
      <c r="L12" s="120" t="s">
        <v>78</v>
      </c>
      <c r="M12" s="53"/>
      <c r="N12" s="53"/>
      <c r="O12" s="121"/>
      <c r="P12" s="121"/>
      <c r="Q12" s="121"/>
      <c r="R12" s="53"/>
      <c r="S12" s="122"/>
      <c r="T12" s="53"/>
      <c r="U12" s="53"/>
      <c r="V12" s="53"/>
      <c r="W12" s="123"/>
      <c r="X12" s="123"/>
      <c r="Y12" s="53"/>
      <c r="Z12" s="124"/>
      <c r="AA12" s="124"/>
      <c r="AB12" s="124"/>
      <c r="AC12" s="118"/>
      <c r="AD12" s="125"/>
      <c r="AE12" s="118"/>
      <c r="AF12" s="52"/>
      <c r="AG12" s="53"/>
      <c r="AH12" s="52"/>
      <c r="AI12" s="126"/>
      <c r="AJ12" s="52"/>
      <c r="AK12" s="52"/>
      <c r="AL12" s="52"/>
      <c r="AM12" s="52"/>
      <c r="AN12" s="53"/>
      <c r="AO12" s="53"/>
      <c r="AP12" s="54"/>
      <c r="AQ12" s="81"/>
      <c r="AR12" s="81"/>
      <c r="AS12" s="124"/>
      <c r="AT12" s="127"/>
      <c r="AU12" s="128"/>
      <c r="AV12" s="129"/>
    </row>
    <row r="13" spans="1:48" ht="16.5" thickBot="1" x14ac:dyDescent="0.3">
      <c r="A13" s="131">
        <v>45087</v>
      </c>
      <c r="B13" s="132" t="s">
        <v>59</v>
      </c>
      <c r="C13" s="133"/>
      <c r="D13" s="132" t="s">
        <v>60</v>
      </c>
      <c r="E13" s="132">
        <v>90.2</v>
      </c>
      <c r="F13" s="134">
        <v>14142</v>
      </c>
      <c r="G13" s="135">
        <f t="shared" si="0"/>
        <v>1.2026666666666668</v>
      </c>
      <c r="H13" s="136">
        <v>75</v>
      </c>
      <c r="I13" s="134">
        <f t="shared" si="1"/>
        <v>1275608.4000000001</v>
      </c>
      <c r="J13" s="137"/>
      <c r="K13" s="119"/>
      <c r="L13" s="138" t="s">
        <v>79</v>
      </c>
      <c r="M13" s="133"/>
      <c r="N13" s="133"/>
      <c r="O13" s="139"/>
      <c r="P13" s="139"/>
      <c r="Q13" s="139"/>
      <c r="R13" s="133"/>
      <c r="S13" s="140"/>
      <c r="T13" s="133"/>
      <c r="U13" s="133"/>
      <c r="V13" s="133"/>
      <c r="W13" s="123"/>
      <c r="X13" s="123"/>
      <c r="Y13" s="133"/>
      <c r="Z13" s="124"/>
      <c r="AA13" s="124"/>
      <c r="AB13" s="124"/>
      <c r="AC13" s="137"/>
      <c r="AD13" s="141"/>
      <c r="AE13" s="137"/>
      <c r="AF13" s="142"/>
      <c r="AG13" s="133"/>
      <c r="AH13" s="142"/>
      <c r="AI13" s="143"/>
      <c r="AJ13" s="142"/>
      <c r="AK13" s="142"/>
      <c r="AL13" s="142"/>
      <c r="AM13" s="142"/>
      <c r="AN13" s="133"/>
      <c r="AO13" s="133"/>
      <c r="AP13" s="144"/>
      <c r="AQ13" s="81"/>
      <c r="AR13" s="81"/>
      <c r="AS13" s="124"/>
      <c r="AT13" s="145"/>
      <c r="AU13" s="146"/>
      <c r="AV13" s="147"/>
    </row>
    <row r="14" spans="1:48" ht="15.75" x14ac:dyDescent="0.25">
      <c r="A14" s="148">
        <v>45117</v>
      </c>
      <c r="B14" s="114" t="s">
        <v>59</v>
      </c>
      <c r="C14" s="53">
        <v>4</v>
      </c>
      <c r="D14" s="114" t="s">
        <v>60</v>
      </c>
      <c r="E14" s="114">
        <v>188.6</v>
      </c>
      <c r="F14" s="130">
        <v>14000</v>
      </c>
      <c r="G14" s="149">
        <f t="shared" si="0"/>
        <v>1.2012738853503184</v>
      </c>
      <c r="H14" s="117">
        <v>157</v>
      </c>
      <c r="I14" s="150">
        <f t="shared" si="1"/>
        <v>2640400</v>
      </c>
      <c r="J14" s="118">
        <f>I14+I15+I16+I17+I18+I19+I20</f>
        <v>19866345</v>
      </c>
      <c r="K14" s="127" t="s">
        <v>44</v>
      </c>
      <c r="L14" s="151">
        <v>10</v>
      </c>
      <c r="M14" s="53" t="s">
        <v>80</v>
      </c>
      <c r="N14" s="53" t="s">
        <v>54</v>
      </c>
      <c r="O14" s="53" t="s">
        <v>81</v>
      </c>
      <c r="P14" s="53" t="s">
        <v>53</v>
      </c>
      <c r="Q14" s="53" t="s">
        <v>55</v>
      </c>
      <c r="R14" s="53">
        <v>375.4</v>
      </c>
      <c r="S14" s="122">
        <f>R14/SUM(E14:E20)</f>
        <v>0.26423594002956291</v>
      </c>
      <c r="T14" s="152">
        <v>237.2</v>
      </c>
      <c r="U14" s="53">
        <v>17</v>
      </c>
      <c r="V14" s="53">
        <v>14.6</v>
      </c>
      <c r="W14" s="109">
        <f>T14/R14</f>
        <v>0.63185935002663829</v>
      </c>
      <c r="X14" s="109">
        <f>T14/SUM(E14:E20)</f>
        <v>0.16695994932075739</v>
      </c>
      <c r="Y14" s="53" t="s">
        <v>82</v>
      </c>
      <c r="Z14" s="53">
        <v>230.6</v>
      </c>
      <c r="AA14" s="153">
        <f>Z14/T14</f>
        <v>0.97217537942664423</v>
      </c>
      <c r="AB14" s="118">
        <f>150*230.6</f>
        <v>34590</v>
      </c>
      <c r="AC14" s="154">
        <f>R14*400</f>
        <v>150160</v>
      </c>
      <c r="AD14" s="154">
        <f>166*(E14+E15+E16+E17+E18+E19+E20)</f>
        <v>235836.19999999998</v>
      </c>
      <c r="AE14" s="52">
        <f>J14+AC14+AD14</f>
        <v>20252341.199999999</v>
      </c>
      <c r="AF14" s="52">
        <f>AE14/T14</f>
        <v>85380.865092748732</v>
      </c>
      <c r="AG14" s="155">
        <v>1911.4</v>
      </c>
      <c r="AH14" s="156">
        <v>256</v>
      </c>
      <c r="AI14" s="157">
        <f>AG14/SUM(T14:T105)</f>
        <v>0.69026037340652191</v>
      </c>
      <c r="AJ14" s="158">
        <v>2769000</v>
      </c>
      <c r="AK14" s="156" t="e">
        <f>(AE107+AJ14+#REF!)/(1911.4+#REF!)</f>
        <v>#REF!</v>
      </c>
      <c r="AL14" s="156">
        <v>45271</v>
      </c>
      <c r="AM14" s="159">
        <v>1326.2</v>
      </c>
      <c r="AN14" s="160">
        <v>359</v>
      </c>
      <c r="AO14" s="160">
        <v>223</v>
      </c>
      <c r="AP14" s="161">
        <f>AM14/AG14</f>
        <v>0.6938369781312127</v>
      </c>
      <c r="AQ14" s="160">
        <f>500*1911.4</f>
        <v>955700</v>
      </c>
      <c r="AR14" s="160" t="s">
        <v>83</v>
      </c>
      <c r="AS14" s="53"/>
      <c r="AT14" s="127"/>
      <c r="AU14" s="128">
        <f>SUM(AD14+AC14+J14+AB14)</f>
        <v>20286931.199999999</v>
      </c>
      <c r="AV14" s="52">
        <f>SUM(AV7-AU14)</f>
        <v>99799911.799999997</v>
      </c>
    </row>
    <row r="15" spans="1:48" ht="15.75" x14ac:dyDescent="0.25">
      <c r="A15" s="148">
        <v>45117</v>
      </c>
      <c r="B15" s="114" t="s">
        <v>59</v>
      </c>
      <c r="C15" s="53"/>
      <c r="D15" s="114" t="s">
        <v>60</v>
      </c>
      <c r="E15" s="114">
        <v>68.8</v>
      </c>
      <c r="F15" s="130">
        <v>14300</v>
      </c>
      <c r="G15" s="149">
        <f t="shared" si="0"/>
        <v>1.2017467248908296</v>
      </c>
      <c r="H15" s="117">
        <v>57.25</v>
      </c>
      <c r="I15" s="150">
        <f t="shared" si="1"/>
        <v>983840</v>
      </c>
      <c r="J15" s="118"/>
      <c r="K15" s="127"/>
      <c r="L15" s="151">
        <v>11</v>
      </c>
      <c r="M15" s="53"/>
      <c r="N15" s="53"/>
      <c r="O15" s="53"/>
      <c r="P15" s="53"/>
      <c r="Q15" s="53"/>
      <c r="R15" s="53"/>
      <c r="S15" s="122"/>
      <c r="T15" s="152"/>
      <c r="U15" s="53"/>
      <c r="V15" s="53"/>
      <c r="W15" s="123"/>
      <c r="X15" s="123"/>
      <c r="Y15" s="53"/>
      <c r="Z15" s="53"/>
      <c r="AA15" s="53"/>
      <c r="AB15" s="118"/>
      <c r="AC15" s="154"/>
      <c r="AD15" s="154"/>
      <c r="AE15" s="53"/>
      <c r="AF15" s="52"/>
      <c r="AG15" s="162"/>
      <c r="AH15" s="163"/>
      <c r="AI15" s="164"/>
      <c r="AJ15" s="165"/>
      <c r="AK15" s="163"/>
      <c r="AL15" s="163"/>
      <c r="AM15" s="166"/>
      <c r="AN15" s="160"/>
      <c r="AO15" s="160"/>
      <c r="AP15" s="161"/>
      <c r="AQ15" s="160"/>
      <c r="AR15" s="160"/>
      <c r="AS15" s="53"/>
      <c r="AT15" s="127"/>
      <c r="AU15" s="128"/>
      <c r="AV15" s="52"/>
    </row>
    <row r="16" spans="1:48" ht="15.75" x14ac:dyDescent="0.25">
      <c r="A16" s="148">
        <v>45117</v>
      </c>
      <c r="B16" s="114" t="s">
        <v>84</v>
      </c>
      <c r="C16" s="53"/>
      <c r="D16" s="167" t="s">
        <v>85</v>
      </c>
      <c r="E16" s="168">
        <v>301.8</v>
      </c>
      <c r="F16" s="169">
        <v>13900</v>
      </c>
      <c r="G16" s="149">
        <f t="shared" si="0"/>
        <v>1.2</v>
      </c>
      <c r="H16" s="117">
        <v>251.5</v>
      </c>
      <c r="I16" s="150">
        <f t="shared" si="1"/>
        <v>4195020</v>
      </c>
      <c r="J16" s="118"/>
      <c r="K16" s="127"/>
      <c r="L16" s="120" t="s">
        <v>49</v>
      </c>
      <c r="M16" s="53"/>
      <c r="N16" s="53"/>
      <c r="O16" s="53"/>
      <c r="P16" s="53"/>
      <c r="Q16" s="53"/>
      <c r="R16" s="53"/>
      <c r="S16" s="122"/>
      <c r="T16" s="152"/>
      <c r="U16" s="53"/>
      <c r="V16" s="53"/>
      <c r="W16" s="123"/>
      <c r="X16" s="123"/>
      <c r="Y16" s="53"/>
      <c r="Z16" s="53"/>
      <c r="AA16" s="53"/>
      <c r="AB16" s="118"/>
      <c r="AC16" s="154"/>
      <c r="AD16" s="154"/>
      <c r="AE16" s="53"/>
      <c r="AF16" s="52"/>
      <c r="AG16" s="162"/>
      <c r="AH16" s="163"/>
      <c r="AI16" s="164"/>
      <c r="AJ16" s="165"/>
      <c r="AK16" s="163"/>
      <c r="AL16" s="163"/>
      <c r="AM16" s="166"/>
      <c r="AN16" s="160"/>
      <c r="AO16" s="160"/>
      <c r="AP16" s="161"/>
      <c r="AQ16" s="160"/>
      <c r="AR16" s="160"/>
      <c r="AS16" s="53"/>
      <c r="AT16" s="127"/>
      <c r="AU16" s="128"/>
      <c r="AV16" s="52"/>
    </row>
    <row r="17" spans="1:48" ht="15.75" x14ac:dyDescent="0.25">
      <c r="A17" s="148">
        <v>45117</v>
      </c>
      <c r="B17" s="114" t="s">
        <v>86</v>
      </c>
      <c r="C17" s="53"/>
      <c r="D17" s="114" t="s">
        <v>87</v>
      </c>
      <c r="E17" s="114">
        <v>168.8</v>
      </c>
      <c r="F17" s="130">
        <v>13950</v>
      </c>
      <c r="G17" s="149">
        <f t="shared" si="0"/>
        <v>1.201423487544484</v>
      </c>
      <c r="H17" s="117">
        <v>140.5</v>
      </c>
      <c r="I17" s="130">
        <f t="shared" si="1"/>
        <v>2354760</v>
      </c>
      <c r="J17" s="118"/>
      <c r="K17" s="127"/>
      <c r="L17" s="120" t="s">
        <v>49</v>
      </c>
      <c r="M17" s="53"/>
      <c r="N17" s="53"/>
      <c r="O17" s="53"/>
      <c r="P17" s="53"/>
      <c r="Q17" s="53"/>
      <c r="R17" s="53"/>
      <c r="S17" s="122"/>
      <c r="T17" s="152"/>
      <c r="U17" s="53"/>
      <c r="V17" s="53"/>
      <c r="W17" s="123"/>
      <c r="X17" s="123"/>
      <c r="Y17" s="53"/>
      <c r="Z17" s="53"/>
      <c r="AA17" s="53"/>
      <c r="AB17" s="118"/>
      <c r="AC17" s="154"/>
      <c r="AD17" s="154"/>
      <c r="AE17" s="53"/>
      <c r="AF17" s="52"/>
      <c r="AG17" s="162"/>
      <c r="AH17" s="163"/>
      <c r="AI17" s="164"/>
      <c r="AJ17" s="165"/>
      <c r="AK17" s="163"/>
      <c r="AL17" s="163"/>
      <c r="AM17" s="166"/>
      <c r="AN17" s="160"/>
      <c r="AO17" s="160"/>
      <c r="AP17" s="161"/>
      <c r="AQ17" s="160"/>
      <c r="AR17" s="160"/>
      <c r="AS17" s="53"/>
      <c r="AT17" s="127"/>
      <c r="AU17" s="128"/>
      <c r="AV17" s="52"/>
    </row>
    <row r="18" spans="1:48" ht="15.75" x14ac:dyDescent="0.25">
      <c r="A18" s="148">
        <v>45117</v>
      </c>
      <c r="B18" s="114" t="s">
        <v>71</v>
      </c>
      <c r="C18" s="53"/>
      <c r="D18" s="114" t="s">
        <v>72</v>
      </c>
      <c r="E18" s="114">
        <v>143.80000000000001</v>
      </c>
      <c r="F18" s="130">
        <v>13500</v>
      </c>
      <c r="G18" s="149">
        <f t="shared" si="0"/>
        <v>1.2008350730688937</v>
      </c>
      <c r="H18" s="117">
        <v>119.75</v>
      </c>
      <c r="I18" s="130">
        <f t="shared" si="1"/>
        <v>1941300.0000000002</v>
      </c>
      <c r="J18" s="118"/>
      <c r="K18" s="127"/>
      <c r="L18" s="120" t="s">
        <v>49</v>
      </c>
      <c r="M18" s="53"/>
      <c r="N18" s="53"/>
      <c r="O18" s="53"/>
      <c r="P18" s="53"/>
      <c r="Q18" s="53"/>
      <c r="R18" s="53"/>
      <c r="S18" s="122"/>
      <c r="T18" s="152"/>
      <c r="U18" s="53"/>
      <c r="V18" s="53"/>
      <c r="W18" s="123"/>
      <c r="X18" s="123"/>
      <c r="Y18" s="53"/>
      <c r="Z18" s="53"/>
      <c r="AA18" s="53"/>
      <c r="AB18" s="118"/>
      <c r="AC18" s="154"/>
      <c r="AD18" s="154"/>
      <c r="AE18" s="53"/>
      <c r="AF18" s="52"/>
      <c r="AG18" s="162"/>
      <c r="AH18" s="163"/>
      <c r="AI18" s="164"/>
      <c r="AJ18" s="165"/>
      <c r="AK18" s="163"/>
      <c r="AL18" s="163"/>
      <c r="AM18" s="166"/>
      <c r="AN18" s="160"/>
      <c r="AO18" s="160"/>
      <c r="AP18" s="161"/>
      <c r="AQ18" s="160"/>
      <c r="AR18" s="160"/>
      <c r="AS18" s="53"/>
      <c r="AT18" s="127"/>
      <c r="AU18" s="128"/>
      <c r="AV18" s="52"/>
    </row>
    <row r="19" spans="1:48" ht="15.75" x14ac:dyDescent="0.25">
      <c r="A19" s="148">
        <v>45117</v>
      </c>
      <c r="B19" s="114" t="s">
        <v>71</v>
      </c>
      <c r="C19" s="53"/>
      <c r="D19" s="114" t="s">
        <v>72</v>
      </c>
      <c r="E19" s="114">
        <v>340.3</v>
      </c>
      <c r="F19" s="130">
        <v>13950</v>
      </c>
      <c r="G19" s="149">
        <f t="shared" si="0"/>
        <v>1.2003527336860671</v>
      </c>
      <c r="H19" s="117">
        <v>283.5</v>
      </c>
      <c r="I19" s="130">
        <f t="shared" si="1"/>
        <v>4747185</v>
      </c>
      <c r="J19" s="118"/>
      <c r="K19" s="127"/>
      <c r="L19" s="120" t="s">
        <v>88</v>
      </c>
      <c r="M19" s="53"/>
      <c r="N19" s="53"/>
      <c r="O19" s="53"/>
      <c r="P19" s="53"/>
      <c r="Q19" s="53"/>
      <c r="R19" s="53"/>
      <c r="S19" s="122"/>
      <c r="T19" s="152"/>
      <c r="U19" s="53"/>
      <c r="V19" s="53"/>
      <c r="W19" s="123"/>
      <c r="X19" s="123"/>
      <c r="Y19" s="53"/>
      <c r="Z19" s="53"/>
      <c r="AA19" s="53"/>
      <c r="AB19" s="118"/>
      <c r="AC19" s="154"/>
      <c r="AD19" s="154"/>
      <c r="AE19" s="53"/>
      <c r="AF19" s="52"/>
      <c r="AG19" s="162"/>
      <c r="AH19" s="163"/>
      <c r="AI19" s="164"/>
      <c r="AJ19" s="165"/>
      <c r="AK19" s="163"/>
      <c r="AL19" s="163"/>
      <c r="AM19" s="166"/>
      <c r="AN19" s="160"/>
      <c r="AO19" s="160"/>
      <c r="AP19" s="161"/>
      <c r="AQ19" s="160"/>
      <c r="AR19" s="160"/>
      <c r="AS19" s="53"/>
      <c r="AT19" s="127"/>
      <c r="AU19" s="128"/>
      <c r="AV19" s="52"/>
    </row>
    <row r="20" spans="1:48" ht="15.75" x14ac:dyDescent="0.25">
      <c r="A20" s="148">
        <v>45117</v>
      </c>
      <c r="B20" s="114" t="s">
        <v>89</v>
      </c>
      <c r="C20" s="53"/>
      <c r="D20" s="114" t="s">
        <v>72</v>
      </c>
      <c r="E20" s="114">
        <v>208.6</v>
      </c>
      <c r="F20" s="130">
        <v>14400</v>
      </c>
      <c r="G20" s="149">
        <f t="shared" si="0"/>
        <v>1.2005755395683453</v>
      </c>
      <c r="H20" s="117">
        <v>173.75</v>
      </c>
      <c r="I20" s="130">
        <f t="shared" si="1"/>
        <v>3003840</v>
      </c>
      <c r="J20" s="118"/>
      <c r="K20" s="127"/>
      <c r="L20" s="120" t="s">
        <v>49</v>
      </c>
      <c r="M20" s="53"/>
      <c r="N20" s="53"/>
      <c r="O20" s="53"/>
      <c r="P20" s="53"/>
      <c r="Q20" s="53"/>
      <c r="R20" s="53"/>
      <c r="S20" s="122"/>
      <c r="T20" s="152"/>
      <c r="U20" s="53"/>
      <c r="V20" s="53"/>
      <c r="W20" s="123"/>
      <c r="X20" s="123"/>
      <c r="Y20" s="53"/>
      <c r="Z20" s="53"/>
      <c r="AA20" s="53"/>
      <c r="AB20" s="118"/>
      <c r="AC20" s="154"/>
      <c r="AD20" s="154"/>
      <c r="AE20" s="53"/>
      <c r="AF20" s="52"/>
      <c r="AG20" s="162"/>
      <c r="AH20" s="163"/>
      <c r="AI20" s="164"/>
      <c r="AJ20" s="165"/>
      <c r="AK20" s="163"/>
      <c r="AL20" s="163"/>
      <c r="AM20" s="166"/>
      <c r="AN20" s="160"/>
      <c r="AO20" s="160"/>
      <c r="AP20" s="161"/>
      <c r="AQ20" s="160"/>
      <c r="AR20" s="160"/>
      <c r="AS20" s="53"/>
      <c r="AT20" s="127"/>
      <c r="AU20" s="128"/>
      <c r="AV20" s="52"/>
    </row>
    <row r="21" spans="1:48" ht="15.75" x14ac:dyDescent="0.25">
      <c r="A21" s="148">
        <v>45117</v>
      </c>
      <c r="B21" s="114" t="s">
        <v>80</v>
      </c>
      <c r="C21" s="53" t="s">
        <v>90</v>
      </c>
      <c r="D21" s="114" t="s">
        <v>91</v>
      </c>
      <c r="E21" s="114">
        <v>149</v>
      </c>
      <c r="F21" s="130">
        <v>14500</v>
      </c>
      <c r="G21" s="149">
        <v>1.2</v>
      </c>
      <c r="H21" s="117">
        <v>124</v>
      </c>
      <c r="I21" s="130">
        <f t="shared" si="1"/>
        <v>2160500</v>
      </c>
      <c r="J21" s="52">
        <f>I21+I22</f>
        <v>8374850</v>
      </c>
      <c r="K21" s="127" t="s">
        <v>44</v>
      </c>
      <c r="L21" s="120" t="s">
        <v>92</v>
      </c>
      <c r="M21" s="53" t="s">
        <v>80</v>
      </c>
      <c r="N21" s="53" t="s">
        <v>66</v>
      </c>
      <c r="O21" s="53" t="s">
        <v>93</v>
      </c>
      <c r="P21" s="53" t="s">
        <v>80</v>
      </c>
      <c r="Q21" s="53" t="s">
        <v>82</v>
      </c>
      <c r="R21" s="53">
        <v>238.4</v>
      </c>
      <c r="S21" s="140">
        <f>R21/SUM(E21:E22)</f>
        <v>0.41533101045296167</v>
      </c>
      <c r="T21" s="53">
        <v>93.4</v>
      </c>
      <c r="U21" s="53">
        <v>15</v>
      </c>
      <c r="V21" s="53">
        <v>11</v>
      </c>
      <c r="W21" s="170">
        <f>T21/R21</f>
        <v>0.39177852348993292</v>
      </c>
      <c r="X21" s="170">
        <f>T21/(E21+E22)</f>
        <v>0.16271777003484322</v>
      </c>
      <c r="Y21" s="53" t="s">
        <v>56</v>
      </c>
      <c r="Z21" s="53"/>
      <c r="AA21" s="53"/>
      <c r="AB21" s="53"/>
      <c r="AC21" s="154">
        <f>R21*400</f>
        <v>95360</v>
      </c>
      <c r="AD21" s="154">
        <f>166*(E21+E22)</f>
        <v>95284</v>
      </c>
      <c r="AE21" s="52">
        <f>J21+AC21+AD21</f>
        <v>8565494</v>
      </c>
      <c r="AF21" s="52">
        <f>AE21/T21</f>
        <v>91707.644539614557</v>
      </c>
      <c r="AG21" s="162"/>
      <c r="AH21" s="163"/>
      <c r="AI21" s="164"/>
      <c r="AJ21" s="165"/>
      <c r="AK21" s="163"/>
      <c r="AL21" s="163"/>
      <c r="AM21" s="166"/>
      <c r="AN21" s="160"/>
      <c r="AO21" s="160"/>
      <c r="AP21" s="161"/>
      <c r="AQ21" s="160"/>
      <c r="AR21" s="160"/>
      <c r="AS21" s="53"/>
      <c r="AT21" s="127"/>
      <c r="AU21" s="128">
        <f>SUM(+AD21+AC21+J21)</f>
        <v>8565494</v>
      </c>
      <c r="AV21" s="52">
        <f>SUM(AV14-AU21)</f>
        <v>91234417.799999997</v>
      </c>
    </row>
    <row r="22" spans="1:48" ht="16.5" thickBot="1" x14ac:dyDescent="0.3">
      <c r="A22" s="148">
        <v>45148</v>
      </c>
      <c r="B22" s="114" t="s">
        <v>80</v>
      </c>
      <c r="C22" s="53"/>
      <c r="D22" s="114" t="s">
        <v>94</v>
      </c>
      <c r="E22" s="114">
        <v>425</v>
      </c>
      <c r="F22" s="130">
        <v>14622</v>
      </c>
      <c r="G22" s="149">
        <v>1.2</v>
      </c>
      <c r="H22" s="117">
        <v>354</v>
      </c>
      <c r="I22" s="130">
        <f t="shared" si="1"/>
        <v>6214350</v>
      </c>
      <c r="J22" s="52"/>
      <c r="K22" s="127"/>
      <c r="L22" s="120" t="s">
        <v>95</v>
      </c>
      <c r="M22" s="53"/>
      <c r="N22" s="53"/>
      <c r="O22" s="53"/>
      <c r="P22" s="53"/>
      <c r="Q22" s="53"/>
      <c r="R22" s="53"/>
      <c r="S22" s="171"/>
      <c r="T22" s="53"/>
      <c r="U22" s="53"/>
      <c r="V22" s="53"/>
      <c r="W22" s="170"/>
      <c r="X22" s="170"/>
      <c r="Y22" s="53"/>
      <c r="Z22" s="53"/>
      <c r="AA22" s="53"/>
      <c r="AB22" s="53"/>
      <c r="AC22" s="154"/>
      <c r="AD22" s="154"/>
      <c r="AE22" s="53"/>
      <c r="AF22" s="52"/>
      <c r="AG22" s="162"/>
      <c r="AH22" s="163"/>
      <c r="AI22" s="164"/>
      <c r="AJ22" s="165"/>
      <c r="AK22" s="163"/>
      <c r="AL22" s="163"/>
      <c r="AM22" s="166"/>
      <c r="AN22" s="160"/>
      <c r="AO22" s="160"/>
      <c r="AP22" s="161"/>
      <c r="AQ22" s="160"/>
      <c r="AR22" s="160"/>
      <c r="AS22" s="53"/>
      <c r="AT22" s="127"/>
      <c r="AU22" s="128"/>
      <c r="AV22" s="52"/>
    </row>
    <row r="23" spans="1:48" ht="15.75" x14ac:dyDescent="0.25">
      <c r="A23" s="148">
        <v>45148</v>
      </c>
      <c r="B23" s="114" t="s">
        <v>96</v>
      </c>
      <c r="C23" s="53">
        <v>5</v>
      </c>
      <c r="D23" s="114" t="s">
        <v>60</v>
      </c>
      <c r="E23" s="114">
        <v>121.1</v>
      </c>
      <c r="F23" s="130">
        <v>14000</v>
      </c>
      <c r="G23" s="149">
        <f>E23/H23</f>
        <v>1.199009900990099</v>
      </c>
      <c r="H23" s="117">
        <v>101</v>
      </c>
      <c r="I23" s="130">
        <f t="shared" si="1"/>
        <v>1695400</v>
      </c>
      <c r="J23" s="52">
        <f>I23+I24+I25+I26</f>
        <v>12645474.699999999</v>
      </c>
      <c r="K23" s="127" t="s">
        <v>44</v>
      </c>
      <c r="L23" s="120">
        <v>12</v>
      </c>
      <c r="M23" s="53" t="s">
        <v>80</v>
      </c>
      <c r="N23" s="53" t="s">
        <v>66</v>
      </c>
      <c r="O23" s="53" t="s">
        <v>97</v>
      </c>
      <c r="P23" s="53" t="s">
        <v>80</v>
      </c>
      <c r="Q23" s="121" t="s">
        <v>67</v>
      </c>
      <c r="R23" s="53">
        <v>238</v>
      </c>
      <c r="S23" s="172">
        <f>R23/SUM(E23:E26)</f>
        <v>0.25844282766858506</v>
      </c>
      <c r="T23" s="53">
        <v>148.19999999999999</v>
      </c>
      <c r="U23" s="53">
        <v>14.5</v>
      </c>
      <c r="V23" s="53">
        <v>13</v>
      </c>
      <c r="W23" s="109">
        <f>T23/R23</f>
        <v>0.622689075630252</v>
      </c>
      <c r="X23" s="109">
        <f>T23/SUM(E23:E26)</f>
        <v>0.16092952546421976</v>
      </c>
      <c r="Y23" s="127" t="s">
        <v>56</v>
      </c>
      <c r="Z23" s="127"/>
      <c r="AA23" s="127"/>
      <c r="AB23" s="127"/>
      <c r="AC23" s="154">
        <f>R23*400</f>
        <v>95200</v>
      </c>
      <c r="AD23" s="154">
        <f>166*(E23+E24+E25+E26)</f>
        <v>152869.40000000002</v>
      </c>
      <c r="AE23" s="52">
        <f>J23+AC23+AD23</f>
        <v>12893544.1</v>
      </c>
      <c r="AF23" s="52">
        <f>AE23/T23</f>
        <v>87000.972334682869</v>
      </c>
      <c r="AG23" s="162"/>
      <c r="AH23" s="163"/>
      <c r="AI23" s="164"/>
      <c r="AJ23" s="165"/>
      <c r="AK23" s="163"/>
      <c r="AL23" s="163"/>
      <c r="AM23" s="166"/>
      <c r="AN23" s="160"/>
      <c r="AO23" s="160"/>
      <c r="AP23" s="161"/>
      <c r="AQ23" s="160"/>
      <c r="AR23" s="160"/>
      <c r="AS23" s="53"/>
      <c r="AT23" s="127"/>
      <c r="AU23" s="128">
        <f>SUM(AD23+AC23+J23)</f>
        <v>12893544.1</v>
      </c>
      <c r="AV23" s="52">
        <f>SUM(AV21-AU23)</f>
        <v>78340873.700000003</v>
      </c>
    </row>
    <row r="24" spans="1:48" ht="15.75" x14ac:dyDescent="0.25">
      <c r="A24" s="148">
        <v>45148</v>
      </c>
      <c r="B24" s="114" t="s">
        <v>59</v>
      </c>
      <c r="C24" s="53"/>
      <c r="D24" s="114" t="s">
        <v>60</v>
      </c>
      <c r="E24" s="114">
        <v>46.7</v>
      </c>
      <c r="F24" s="130">
        <v>13776</v>
      </c>
      <c r="G24" s="149">
        <f>E24/H24</f>
        <v>1.1974358974358974</v>
      </c>
      <c r="H24" s="117">
        <v>39</v>
      </c>
      <c r="I24" s="130">
        <f t="shared" si="1"/>
        <v>643339.20000000007</v>
      </c>
      <c r="J24" s="52"/>
      <c r="K24" s="127"/>
      <c r="L24" s="151">
        <v>13</v>
      </c>
      <c r="M24" s="53"/>
      <c r="N24" s="53"/>
      <c r="O24" s="53"/>
      <c r="P24" s="53"/>
      <c r="Q24" s="121"/>
      <c r="R24" s="53"/>
      <c r="S24" s="172"/>
      <c r="T24" s="53"/>
      <c r="U24" s="53"/>
      <c r="V24" s="53"/>
      <c r="W24" s="123"/>
      <c r="X24" s="123"/>
      <c r="Y24" s="127"/>
      <c r="Z24" s="127"/>
      <c r="AA24" s="127"/>
      <c r="AB24" s="127"/>
      <c r="AC24" s="154"/>
      <c r="AD24" s="154"/>
      <c r="AE24" s="53"/>
      <c r="AF24" s="53"/>
      <c r="AG24" s="162"/>
      <c r="AH24" s="163"/>
      <c r="AI24" s="164"/>
      <c r="AJ24" s="165"/>
      <c r="AK24" s="163"/>
      <c r="AL24" s="163"/>
      <c r="AM24" s="166"/>
      <c r="AN24" s="160"/>
      <c r="AO24" s="160"/>
      <c r="AP24" s="161"/>
      <c r="AQ24" s="160"/>
      <c r="AR24" s="160"/>
      <c r="AS24" s="53"/>
      <c r="AT24" s="127"/>
      <c r="AU24" s="128"/>
      <c r="AV24" s="52"/>
    </row>
    <row r="25" spans="1:48" ht="15.75" x14ac:dyDescent="0.25">
      <c r="A25" s="148">
        <v>45148</v>
      </c>
      <c r="B25" s="114" t="s">
        <v>71</v>
      </c>
      <c r="C25" s="53"/>
      <c r="D25" s="114" t="s">
        <v>72</v>
      </c>
      <c r="E25" s="114">
        <v>288.5</v>
      </c>
      <c r="F25" s="130">
        <v>13695</v>
      </c>
      <c r="G25" s="149">
        <f>E25/H25</f>
        <v>1.1995841995841996</v>
      </c>
      <c r="H25" s="117">
        <v>240.5</v>
      </c>
      <c r="I25" s="130">
        <f t="shared" si="1"/>
        <v>3951007.5</v>
      </c>
      <c r="J25" s="52"/>
      <c r="K25" s="127"/>
      <c r="L25" s="120" t="s">
        <v>98</v>
      </c>
      <c r="M25" s="53"/>
      <c r="N25" s="53"/>
      <c r="O25" s="53"/>
      <c r="P25" s="53"/>
      <c r="Q25" s="121"/>
      <c r="R25" s="53"/>
      <c r="S25" s="172"/>
      <c r="T25" s="53"/>
      <c r="U25" s="53"/>
      <c r="V25" s="53"/>
      <c r="W25" s="123"/>
      <c r="X25" s="123"/>
      <c r="Y25" s="127"/>
      <c r="Z25" s="127"/>
      <c r="AA25" s="127"/>
      <c r="AB25" s="127"/>
      <c r="AC25" s="154"/>
      <c r="AD25" s="154"/>
      <c r="AE25" s="53"/>
      <c r="AF25" s="53"/>
      <c r="AG25" s="162"/>
      <c r="AH25" s="163"/>
      <c r="AI25" s="164"/>
      <c r="AJ25" s="165"/>
      <c r="AK25" s="163"/>
      <c r="AL25" s="163"/>
      <c r="AM25" s="166"/>
      <c r="AN25" s="160"/>
      <c r="AO25" s="160"/>
      <c r="AP25" s="161"/>
      <c r="AQ25" s="160"/>
      <c r="AR25" s="160"/>
      <c r="AS25" s="53"/>
      <c r="AT25" s="127"/>
      <c r="AU25" s="128"/>
      <c r="AV25" s="52"/>
    </row>
    <row r="26" spans="1:48" ht="15.75" x14ac:dyDescent="0.25">
      <c r="A26" s="148">
        <v>45148</v>
      </c>
      <c r="B26" s="114" t="s">
        <v>86</v>
      </c>
      <c r="C26" s="53"/>
      <c r="D26" s="114" t="s">
        <v>87</v>
      </c>
      <c r="E26" s="114">
        <v>464.6</v>
      </c>
      <c r="F26" s="130">
        <v>13680</v>
      </c>
      <c r="G26" s="149">
        <f>E26/H26</f>
        <v>1.2005167958656331</v>
      </c>
      <c r="H26" s="117">
        <v>387</v>
      </c>
      <c r="I26" s="130">
        <f t="shared" si="1"/>
        <v>6355728</v>
      </c>
      <c r="J26" s="52"/>
      <c r="K26" s="127"/>
      <c r="L26" s="120" t="s">
        <v>88</v>
      </c>
      <c r="M26" s="53"/>
      <c r="N26" s="53"/>
      <c r="O26" s="53"/>
      <c r="P26" s="53"/>
      <c r="Q26" s="121"/>
      <c r="R26" s="53"/>
      <c r="S26" s="172"/>
      <c r="T26" s="53"/>
      <c r="U26" s="53"/>
      <c r="V26" s="53"/>
      <c r="W26" s="123"/>
      <c r="X26" s="123"/>
      <c r="Y26" s="127"/>
      <c r="Z26" s="127"/>
      <c r="AA26" s="127"/>
      <c r="AB26" s="127"/>
      <c r="AC26" s="154"/>
      <c r="AD26" s="154"/>
      <c r="AE26" s="53"/>
      <c r="AF26" s="53"/>
      <c r="AG26" s="162"/>
      <c r="AH26" s="163"/>
      <c r="AI26" s="164"/>
      <c r="AJ26" s="165"/>
      <c r="AK26" s="163"/>
      <c r="AL26" s="163"/>
      <c r="AM26" s="166"/>
      <c r="AN26" s="160"/>
      <c r="AO26" s="160"/>
      <c r="AP26" s="161"/>
      <c r="AQ26" s="160"/>
      <c r="AR26" s="160"/>
      <c r="AS26" s="53"/>
      <c r="AT26" s="127"/>
      <c r="AU26" s="128"/>
      <c r="AV26" s="52"/>
    </row>
    <row r="27" spans="1:48" ht="15.75" x14ac:dyDescent="0.25">
      <c r="A27" s="148">
        <v>45179</v>
      </c>
      <c r="B27" s="173" t="s">
        <v>46</v>
      </c>
      <c r="C27" s="173"/>
      <c r="D27" s="114"/>
      <c r="E27" s="114"/>
      <c r="F27" s="130"/>
      <c r="G27" s="149"/>
      <c r="H27" s="117"/>
      <c r="I27" s="130"/>
      <c r="J27" s="174"/>
      <c r="K27" s="114"/>
      <c r="L27" s="120"/>
      <c r="M27" s="151"/>
      <c r="N27" s="151"/>
      <c r="O27" s="151"/>
      <c r="P27" s="151"/>
      <c r="Q27" s="151"/>
      <c r="R27" s="151"/>
      <c r="S27" s="175"/>
      <c r="T27" s="151"/>
      <c r="U27" s="151"/>
      <c r="V27" s="151"/>
      <c r="W27" s="151"/>
      <c r="X27" s="176"/>
      <c r="Y27" s="177"/>
      <c r="Z27" s="177"/>
      <c r="AA27" s="177"/>
      <c r="AB27" s="177"/>
      <c r="AC27" s="178"/>
      <c r="AD27" s="178"/>
      <c r="AE27" s="151"/>
      <c r="AF27" s="151"/>
      <c r="AG27" s="162"/>
      <c r="AH27" s="163"/>
      <c r="AI27" s="164"/>
      <c r="AJ27" s="165"/>
      <c r="AK27" s="163"/>
      <c r="AL27" s="163"/>
      <c r="AM27" s="166"/>
      <c r="AN27" s="160"/>
      <c r="AO27" s="160"/>
      <c r="AP27" s="161"/>
      <c r="AQ27" s="160"/>
      <c r="AR27" s="160"/>
      <c r="AS27" s="151"/>
      <c r="AT27" s="179">
        <v>150000000</v>
      </c>
      <c r="AU27" s="180"/>
      <c r="AV27" s="179">
        <f>SUM(AT27+AV23)</f>
        <v>228340873.69999999</v>
      </c>
    </row>
    <row r="28" spans="1:48" ht="15.75" x14ac:dyDescent="0.25">
      <c r="A28" s="148">
        <v>45148</v>
      </c>
      <c r="B28" s="114" t="s">
        <v>47</v>
      </c>
      <c r="C28" s="53">
        <v>6</v>
      </c>
      <c r="D28" s="114" t="s">
        <v>48</v>
      </c>
      <c r="E28" s="114">
        <v>776.3</v>
      </c>
      <c r="F28" s="150">
        <v>13600</v>
      </c>
      <c r="G28" s="149">
        <f>E28/H28</f>
        <v>1.1998454404945904</v>
      </c>
      <c r="H28" s="117">
        <v>647</v>
      </c>
      <c r="I28" s="130">
        <f t="shared" ref="I28:I60" si="2">E28*F28</f>
        <v>10557680</v>
      </c>
      <c r="J28" s="52">
        <f>I28+I29+I30+I31+I32+I33+I34+I35</f>
        <v>21725945.600000001</v>
      </c>
      <c r="K28" s="127" t="s">
        <v>44</v>
      </c>
      <c r="L28" s="120" t="s">
        <v>88</v>
      </c>
      <c r="M28" s="53" t="s">
        <v>72</v>
      </c>
      <c r="N28" s="53" t="s">
        <v>55</v>
      </c>
      <c r="O28" s="53" t="s">
        <v>99</v>
      </c>
      <c r="P28" s="53" t="s">
        <v>53</v>
      </c>
      <c r="Q28" s="53" t="s">
        <v>82</v>
      </c>
      <c r="R28" s="181">
        <v>410.4</v>
      </c>
      <c r="S28" s="182">
        <f>R28/SUM(E28:E35)</f>
        <v>0.25770800627943485</v>
      </c>
      <c r="T28" s="53">
        <v>259.8</v>
      </c>
      <c r="U28" s="53">
        <v>17</v>
      </c>
      <c r="V28" s="53">
        <v>14.7</v>
      </c>
      <c r="W28" s="183">
        <f>T28/R28</f>
        <v>0.63304093567251474</v>
      </c>
      <c r="X28" s="183">
        <f>T28/SUM(E28:E35)</f>
        <v>0.16313971742543171</v>
      </c>
      <c r="Y28" s="127" t="s">
        <v>56</v>
      </c>
      <c r="Z28" s="127">
        <v>259.8</v>
      </c>
      <c r="AA28" s="127">
        <f>Z28/T28</f>
        <v>1</v>
      </c>
      <c r="AB28" s="184">
        <f>150*Z28</f>
        <v>38970</v>
      </c>
      <c r="AC28" s="154">
        <f>R28*400</f>
        <v>164160</v>
      </c>
      <c r="AD28" s="154">
        <f>166*(E28+E29+E30+E31+E32+E33+E34+E35)</f>
        <v>264355</v>
      </c>
      <c r="AE28" s="52">
        <f>J28+AC28+AD28</f>
        <v>22154460.600000001</v>
      </c>
      <c r="AF28" s="52">
        <f>AE28/T28</f>
        <v>85275.060046189377</v>
      </c>
      <c r="AG28" s="162"/>
      <c r="AH28" s="163"/>
      <c r="AI28" s="164"/>
      <c r="AJ28" s="165"/>
      <c r="AK28" s="163"/>
      <c r="AL28" s="163"/>
      <c r="AM28" s="166"/>
      <c r="AN28" s="160"/>
      <c r="AO28" s="160"/>
      <c r="AP28" s="161"/>
      <c r="AQ28" s="160"/>
      <c r="AR28" s="160"/>
      <c r="AS28" s="53"/>
      <c r="AT28" s="127"/>
      <c r="AU28" s="128">
        <f>SUM(AJ28+AD28+AC28+J28+AB28+AQ14)</f>
        <v>23149130.600000001</v>
      </c>
      <c r="AV28" s="181">
        <f>SUM(AV27-AU28)</f>
        <v>205191743.09999999</v>
      </c>
    </row>
    <row r="29" spans="1:48" ht="15.75" x14ac:dyDescent="0.25">
      <c r="A29" s="148">
        <v>45179</v>
      </c>
      <c r="B29" s="114" t="s">
        <v>96</v>
      </c>
      <c r="C29" s="53"/>
      <c r="D29" s="114" t="s">
        <v>60</v>
      </c>
      <c r="E29" s="114">
        <v>17.8</v>
      </c>
      <c r="F29" s="185">
        <v>14224</v>
      </c>
      <c r="G29" s="117">
        <v>1.2</v>
      </c>
      <c r="H29" s="117">
        <v>14.75</v>
      </c>
      <c r="I29" s="130">
        <f t="shared" si="2"/>
        <v>253187.20000000001</v>
      </c>
      <c r="J29" s="52"/>
      <c r="K29" s="127"/>
      <c r="L29" s="151">
        <v>14</v>
      </c>
      <c r="M29" s="53"/>
      <c r="N29" s="53"/>
      <c r="O29" s="53"/>
      <c r="P29" s="53"/>
      <c r="Q29" s="53"/>
      <c r="R29" s="181"/>
      <c r="S29" s="186"/>
      <c r="T29" s="53"/>
      <c r="U29" s="53"/>
      <c r="V29" s="53"/>
      <c r="W29" s="187"/>
      <c r="X29" s="187"/>
      <c r="Y29" s="127"/>
      <c r="Z29" s="127"/>
      <c r="AA29" s="127"/>
      <c r="AB29" s="184"/>
      <c r="AC29" s="154"/>
      <c r="AD29" s="154"/>
      <c r="AE29" s="53"/>
      <c r="AF29" s="53"/>
      <c r="AG29" s="162"/>
      <c r="AH29" s="163"/>
      <c r="AI29" s="164"/>
      <c r="AJ29" s="165"/>
      <c r="AK29" s="163"/>
      <c r="AL29" s="163"/>
      <c r="AM29" s="166"/>
      <c r="AN29" s="160"/>
      <c r="AO29" s="160"/>
      <c r="AP29" s="161"/>
      <c r="AQ29" s="160"/>
      <c r="AR29" s="160"/>
      <c r="AS29" s="53"/>
      <c r="AT29" s="127"/>
      <c r="AU29" s="128"/>
      <c r="AV29" s="53"/>
    </row>
    <row r="30" spans="1:48" ht="15.75" x14ac:dyDescent="0.25">
      <c r="A30" s="148">
        <v>45179</v>
      </c>
      <c r="B30" s="114" t="s">
        <v>47</v>
      </c>
      <c r="C30" s="53"/>
      <c r="D30" s="114" t="s">
        <v>48</v>
      </c>
      <c r="E30" s="114">
        <v>325.89999999999998</v>
      </c>
      <c r="F30" s="185">
        <v>13600</v>
      </c>
      <c r="G30" s="117">
        <v>1.2</v>
      </c>
      <c r="H30" s="117">
        <v>271</v>
      </c>
      <c r="I30" s="130">
        <f t="shared" si="2"/>
        <v>4432240</v>
      </c>
      <c r="J30" s="52"/>
      <c r="K30" s="127"/>
      <c r="L30" s="120" t="s">
        <v>98</v>
      </c>
      <c r="M30" s="53"/>
      <c r="N30" s="53"/>
      <c r="O30" s="53"/>
      <c r="P30" s="53"/>
      <c r="Q30" s="53"/>
      <c r="R30" s="181"/>
      <c r="S30" s="186"/>
      <c r="T30" s="53"/>
      <c r="U30" s="53"/>
      <c r="V30" s="53"/>
      <c r="W30" s="187"/>
      <c r="X30" s="187"/>
      <c r="Y30" s="127"/>
      <c r="Z30" s="127"/>
      <c r="AA30" s="127"/>
      <c r="AB30" s="184"/>
      <c r="AC30" s="154"/>
      <c r="AD30" s="154"/>
      <c r="AE30" s="53"/>
      <c r="AF30" s="53"/>
      <c r="AG30" s="162"/>
      <c r="AH30" s="163"/>
      <c r="AI30" s="164"/>
      <c r="AJ30" s="165"/>
      <c r="AK30" s="163"/>
      <c r="AL30" s="163"/>
      <c r="AM30" s="166"/>
      <c r="AN30" s="160"/>
      <c r="AO30" s="160"/>
      <c r="AP30" s="161"/>
      <c r="AQ30" s="160"/>
      <c r="AR30" s="160"/>
      <c r="AS30" s="53"/>
      <c r="AT30" s="127"/>
      <c r="AU30" s="128"/>
      <c r="AV30" s="53"/>
    </row>
    <row r="31" spans="1:48" ht="15.75" x14ac:dyDescent="0.25">
      <c r="A31" s="148">
        <v>45179</v>
      </c>
      <c r="B31" s="114" t="s">
        <v>86</v>
      </c>
      <c r="C31" s="53"/>
      <c r="D31" s="114" t="s">
        <v>87</v>
      </c>
      <c r="E31" s="114">
        <v>62</v>
      </c>
      <c r="F31" s="185">
        <v>13683</v>
      </c>
      <c r="G31" s="117">
        <v>1.2</v>
      </c>
      <c r="H31" s="117">
        <v>51.75</v>
      </c>
      <c r="I31" s="130">
        <f t="shared" si="2"/>
        <v>848346</v>
      </c>
      <c r="J31" s="52"/>
      <c r="K31" s="127"/>
      <c r="L31" s="120" t="s">
        <v>98</v>
      </c>
      <c r="M31" s="53"/>
      <c r="N31" s="53"/>
      <c r="O31" s="53"/>
      <c r="P31" s="53"/>
      <c r="Q31" s="53"/>
      <c r="R31" s="181"/>
      <c r="S31" s="186"/>
      <c r="T31" s="53"/>
      <c r="U31" s="53"/>
      <c r="V31" s="53"/>
      <c r="W31" s="187"/>
      <c r="X31" s="187"/>
      <c r="Y31" s="127"/>
      <c r="Z31" s="127"/>
      <c r="AA31" s="127"/>
      <c r="AB31" s="184"/>
      <c r="AC31" s="154"/>
      <c r="AD31" s="154"/>
      <c r="AE31" s="53"/>
      <c r="AF31" s="53"/>
      <c r="AG31" s="162"/>
      <c r="AH31" s="163"/>
      <c r="AI31" s="164"/>
      <c r="AJ31" s="165"/>
      <c r="AK31" s="163"/>
      <c r="AL31" s="163"/>
      <c r="AM31" s="166"/>
      <c r="AN31" s="160"/>
      <c r="AO31" s="160"/>
      <c r="AP31" s="161"/>
      <c r="AQ31" s="160"/>
      <c r="AR31" s="160"/>
      <c r="AS31" s="53"/>
      <c r="AT31" s="127"/>
      <c r="AU31" s="128"/>
      <c r="AV31" s="53"/>
    </row>
    <row r="32" spans="1:48" ht="15.75" x14ac:dyDescent="0.25">
      <c r="A32" s="148">
        <v>45179</v>
      </c>
      <c r="B32" s="114" t="s">
        <v>71</v>
      </c>
      <c r="C32" s="53"/>
      <c r="D32" s="114" t="s">
        <v>72</v>
      </c>
      <c r="E32" s="114">
        <v>91.8</v>
      </c>
      <c r="F32" s="185">
        <v>13800</v>
      </c>
      <c r="G32" s="117">
        <v>1.2</v>
      </c>
      <c r="H32" s="117">
        <f>E32/G32</f>
        <v>76.5</v>
      </c>
      <c r="I32" s="130">
        <f t="shared" si="2"/>
        <v>1266840</v>
      </c>
      <c r="J32" s="52"/>
      <c r="K32" s="127"/>
      <c r="L32" s="120" t="s">
        <v>100</v>
      </c>
      <c r="M32" s="53"/>
      <c r="N32" s="53"/>
      <c r="O32" s="53"/>
      <c r="P32" s="53"/>
      <c r="Q32" s="53"/>
      <c r="R32" s="181"/>
      <c r="S32" s="186"/>
      <c r="T32" s="53"/>
      <c r="U32" s="53"/>
      <c r="V32" s="53"/>
      <c r="W32" s="187"/>
      <c r="X32" s="187"/>
      <c r="Y32" s="127"/>
      <c r="Z32" s="127"/>
      <c r="AA32" s="127"/>
      <c r="AB32" s="184"/>
      <c r="AC32" s="154"/>
      <c r="AD32" s="154"/>
      <c r="AE32" s="53"/>
      <c r="AF32" s="53"/>
      <c r="AG32" s="162"/>
      <c r="AH32" s="163"/>
      <c r="AI32" s="164"/>
      <c r="AJ32" s="165"/>
      <c r="AK32" s="163"/>
      <c r="AL32" s="163"/>
      <c r="AM32" s="166"/>
      <c r="AN32" s="160"/>
      <c r="AO32" s="160"/>
      <c r="AP32" s="161"/>
      <c r="AQ32" s="160"/>
      <c r="AR32" s="160"/>
      <c r="AS32" s="53"/>
      <c r="AT32" s="127"/>
      <c r="AU32" s="128"/>
      <c r="AV32" s="53"/>
    </row>
    <row r="33" spans="1:75" ht="15.75" x14ac:dyDescent="0.25">
      <c r="A33" s="148">
        <v>45209</v>
      </c>
      <c r="B33" s="114" t="s">
        <v>96</v>
      </c>
      <c r="C33" s="53"/>
      <c r="D33" s="114" t="s">
        <v>60</v>
      </c>
      <c r="E33" s="114">
        <v>218.8</v>
      </c>
      <c r="F33" s="185">
        <v>13798</v>
      </c>
      <c r="G33" s="117">
        <v>1.2</v>
      </c>
      <c r="H33" s="117">
        <v>182.25</v>
      </c>
      <c r="I33" s="130">
        <f t="shared" si="2"/>
        <v>3019002.4000000004</v>
      </c>
      <c r="J33" s="52"/>
      <c r="K33" s="127"/>
      <c r="L33" s="120">
        <v>15</v>
      </c>
      <c r="M33" s="53"/>
      <c r="N33" s="53"/>
      <c r="O33" s="53"/>
      <c r="P33" s="53"/>
      <c r="Q33" s="53"/>
      <c r="R33" s="181"/>
      <c r="S33" s="186"/>
      <c r="T33" s="53"/>
      <c r="U33" s="53"/>
      <c r="V33" s="53"/>
      <c r="W33" s="187"/>
      <c r="X33" s="187"/>
      <c r="Y33" s="127"/>
      <c r="Z33" s="127"/>
      <c r="AA33" s="127"/>
      <c r="AB33" s="184"/>
      <c r="AC33" s="154"/>
      <c r="AD33" s="154"/>
      <c r="AE33" s="53"/>
      <c r="AF33" s="53"/>
      <c r="AG33" s="162"/>
      <c r="AH33" s="163"/>
      <c r="AI33" s="164"/>
      <c r="AJ33" s="165"/>
      <c r="AK33" s="163"/>
      <c r="AL33" s="163"/>
      <c r="AM33" s="166"/>
      <c r="AN33" s="160"/>
      <c r="AO33" s="160"/>
      <c r="AP33" s="161"/>
      <c r="AQ33" s="160"/>
      <c r="AR33" s="160"/>
      <c r="AS33" s="53"/>
      <c r="AT33" s="127"/>
      <c r="AU33" s="128"/>
      <c r="AV33" s="53"/>
    </row>
    <row r="34" spans="1:75" ht="15.75" x14ac:dyDescent="0.25">
      <c r="A34" s="148">
        <v>45209</v>
      </c>
      <c r="B34" s="114" t="s">
        <v>101</v>
      </c>
      <c r="C34" s="53"/>
      <c r="D34" s="114" t="s">
        <v>72</v>
      </c>
      <c r="E34" s="114">
        <v>47</v>
      </c>
      <c r="F34" s="185">
        <v>13500</v>
      </c>
      <c r="G34" s="117">
        <v>1.39</v>
      </c>
      <c r="H34" s="117">
        <v>33.75</v>
      </c>
      <c r="I34" s="130">
        <f t="shared" si="2"/>
        <v>634500</v>
      </c>
      <c r="J34" s="52"/>
      <c r="K34" s="127"/>
      <c r="L34" s="188" t="s">
        <v>49</v>
      </c>
      <c r="M34" s="53"/>
      <c r="N34" s="53"/>
      <c r="O34" s="53"/>
      <c r="P34" s="53"/>
      <c r="Q34" s="53"/>
      <c r="R34" s="181"/>
      <c r="S34" s="186"/>
      <c r="T34" s="53"/>
      <c r="U34" s="53"/>
      <c r="V34" s="53"/>
      <c r="W34" s="187"/>
      <c r="X34" s="187"/>
      <c r="Y34" s="127"/>
      <c r="Z34" s="127"/>
      <c r="AA34" s="127"/>
      <c r="AB34" s="184"/>
      <c r="AC34" s="154"/>
      <c r="AD34" s="154"/>
      <c r="AE34" s="53"/>
      <c r="AF34" s="53"/>
      <c r="AG34" s="162"/>
      <c r="AH34" s="163"/>
      <c r="AI34" s="164"/>
      <c r="AJ34" s="165"/>
      <c r="AK34" s="163"/>
      <c r="AL34" s="163"/>
      <c r="AM34" s="166"/>
      <c r="AN34" s="160"/>
      <c r="AO34" s="160"/>
      <c r="AP34" s="161"/>
      <c r="AQ34" s="160"/>
      <c r="AR34" s="160"/>
      <c r="AS34" s="53"/>
      <c r="AT34" s="127"/>
      <c r="AU34" s="128"/>
      <c r="AV34" s="53"/>
    </row>
    <row r="35" spans="1:75" ht="15.75" x14ac:dyDescent="0.25">
      <c r="A35" s="148">
        <v>45209</v>
      </c>
      <c r="B35" s="114" t="s">
        <v>71</v>
      </c>
      <c r="C35" s="53"/>
      <c r="D35" s="114" t="s">
        <v>72</v>
      </c>
      <c r="E35" s="114">
        <v>52.9</v>
      </c>
      <c r="F35" s="185">
        <v>13500</v>
      </c>
      <c r="G35" s="114">
        <v>1.25</v>
      </c>
      <c r="H35" s="117">
        <v>42.25</v>
      </c>
      <c r="I35" s="130">
        <f t="shared" si="2"/>
        <v>714150</v>
      </c>
      <c r="J35" s="52"/>
      <c r="K35" s="127"/>
      <c r="L35" s="189" t="s">
        <v>102</v>
      </c>
      <c r="M35" s="53"/>
      <c r="N35" s="53"/>
      <c r="O35" s="53"/>
      <c r="P35" s="53"/>
      <c r="Q35" s="53"/>
      <c r="R35" s="181"/>
      <c r="S35" s="190"/>
      <c r="T35" s="53"/>
      <c r="U35" s="53"/>
      <c r="V35" s="53"/>
      <c r="W35" s="191"/>
      <c r="X35" s="191"/>
      <c r="Y35" s="127"/>
      <c r="Z35" s="127"/>
      <c r="AA35" s="127"/>
      <c r="AB35" s="184"/>
      <c r="AC35" s="154"/>
      <c r="AD35" s="154"/>
      <c r="AE35" s="53"/>
      <c r="AF35" s="53"/>
      <c r="AG35" s="162"/>
      <c r="AH35" s="163"/>
      <c r="AI35" s="164"/>
      <c r="AJ35" s="165"/>
      <c r="AK35" s="163"/>
      <c r="AL35" s="163"/>
      <c r="AM35" s="166"/>
      <c r="AN35" s="160"/>
      <c r="AO35" s="160"/>
      <c r="AP35" s="161"/>
      <c r="AQ35" s="160"/>
      <c r="AR35" s="160"/>
      <c r="AS35" s="53"/>
      <c r="AT35" s="127"/>
      <c r="AU35" s="128"/>
      <c r="AV35" s="53"/>
    </row>
    <row r="36" spans="1:75" ht="15.75" x14ac:dyDescent="0.25">
      <c r="A36" s="148">
        <v>45240</v>
      </c>
      <c r="B36" s="114" t="s">
        <v>86</v>
      </c>
      <c r="C36" s="53">
        <v>7</v>
      </c>
      <c r="D36" s="114" t="s">
        <v>87</v>
      </c>
      <c r="E36" s="114">
        <v>44.7</v>
      </c>
      <c r="F36" s="185">
        <v>13500</v>
      </c>
      <c r="G36" s="117">
        <v>1.2</v>
      </c>
      <c r="H36" s="117">
        <f>E36/G36</f>
        <v>37.250000000000007</v>
      </c>
      <c r="I36" s="130">
        <f t="shared" si="2"/>
        <v>603450</v>
      </c>
      <c r="J36" s="52">
        <f>I36+I37+I38+I39+I40+I41+I42+I43+I44+I45+I46+I47+I48</f>
        <v>28778800</v>
      </c>
      <c r="K36" s="53" t="s">
        <v>44</v>
      </c>
      <c r="L36" s="120" t="s">
        <v>100</v>
      </c>
      <c r="M36" s="53" t="s">
        <v>72</v>
      </c>
      <c r="N36" s="53" t="s">
        <v>67</v>
      </c>
      <c r="O36" s="53" t="s">
        <v>103</v>
      </c>
      <c r="P36" s="53" t="s">
        <v>53</v>
      </c>
      <c r="Q36" s="53" t="s">
        <v>104</v>
      </c>
      <c r="R36" s="53">
        <v>516.9</v>
      </c>
      <c r="S36" s="182">
        <f>R36/SUM(E36:E48)</f>
        <v>0.24112515743807436</v>
      </c>
      <c r="T36" s="53">
        <v>333.7</v>
      </c>
      <c r="U36" s="127">
        <v>16</v>
      </c>
      <c r="V36" s="127">
        <v>13</v>
      </c>
      <c r="W36" s="192">
        <f>T36/R36</f>
        <v>0.64557941574772681</v>
      </c>
      <c r="X36" s="192">
        <f>T36/SUM(E36:E48)</f>
        <v>0.15566543826095069</v>
      </c>
      <c r="Y36" s="127" t="s">
        <v>105</v>
      </c>
      <c r="Z36" s="127"/>
      <c r="AA36" s="127"/>
      <c r="AB36" s="127"/>
      <c r="AC36" s="154">
        <f>R36*400</f>
        <v>206760</v>
      </c>
      <c r="AD36" s="154">
        <f>166*(E36+E37+E38+E39+E40+E41+E42+E43+E44+E45+E46+E47+E48)</f>
        <v>355854.19999999995</v>
      </c>
      <c r="AE36" s="52">
        <f>J36+AC36+AD36</f>
        <v>29341414.199999999</v>
      </c>
      <c r="AF36" s="52">
        <f>AE36/T36</f>
        <v>87927.522325442013</v>
      </c>
      <c r="AG36" s="162"/>
      <c r="AH36" s="163"/>
      <c r="AI36" s="164"/>
      <c r="AJ36" s="165"/>
      <c r="AK36" s="163"/>
      <c r="AL36" s="163"/>
      <c r="AM36" s="166"/>
      <c r="AN36" s="160"/>
      <c r="AO36" s="160"/>
      <c r="AP36" s="161"/>
      <c r="AQ36" s="160"/>
      <c r="AR36" s="160"/>
      <c r="AS36" s="53"/>
      <c r="AT36" s="127"/>
      <c r="AU36" s="128">
        <f>SUM(AD36+AC36+J36)</f>
        <v>29341414.199999999</v>
      </c>
      <c r="AV36" s="181">
        <f>SUM(AV28-AU36)</f>
        <v>175850328.90000001</v>
      </c>
    </row>
    <row r="37" spans="1:75" ht="15.75" x14ac:dyDescent="0.25">
      <c r="A37" s="148">
        <v>45240</v>
      </c>
      <c r="B37" s="114" t="s">
        <v>59</v>
      </c>
      <c r="C37" s="53"/>
      <c r="D37" s="114" t="s">
        <v>60</v>
      </c>
      <c r="E37" s="114">
        <v>52.5</v>
      </c>
      <c r="F37" s="185">
        <v>14000</v>
      </c>
      <c r="G37" s="117">
        <v>1.2</v>
      </c>
      <c r="H37" s="117">
        <f>E37/G37</f>
        <v>43.75</v>
      </c>
      <c r="I37" s="130">
        <f t="shared" si="2"/>
        <v>735000</v>
      </c>
      <c r="J37" s="52"/>
      <c r="K37" s="53"/>
      <c r="L37" s="151">
        <v>16</v>
      </c>
      <c r="M37" s="53"/>
      <c r="N37" s="53"/>
      <c r="O37" s="53"/>
      <c r="P37" s="53"/>
      <c r="Q37" s="53"/>
      <c r="R37" s="53"/>
      <c r="S37" s="186"/>
      <c r="T37" s="53"/>
      <c r="U37" s="127"/>
      <c r="V37" s="127"/>
      <c r="W37" s="192"/>
      <c r="X37" s="192"/>
      <c r="Y37" s="127"/>
      <c r="Z37" s="127"/>
      <c r="AA37" s="127"/>
      <c r="AB37" s="127"/>
      <c r="AC37" s="154"/>
      <c r="AD37" s="154"/>
      <c r="AE37" s="52"/>
      <c r="AF37" s="52"/>
      <c r="AG37" s="162"/>
      <c r="AH37" s="163"/>
      <c r="AI37" s="164"/>
      <c r="AJ37" s="165"/>
      <c r="AK37" s="163"/>
      <c r="AL37" s="163"/>
      <c r="AM37" s="166"/>
      <c r="AN37" s="160"/>
      <c r="AO37" s="160"/>
      <c r="AP37" s="161"/>
      <c r="AQ37" s="160"/>
      <c r="AR37" s="160"/>
      <c r="AS37" s="53"/>
      <c r="AT37" s="127"/>
      <c r="AU37" s="128"/>
      <c r="AV37" s="181"/>
    </row>
    <row r="38" spans="1:75" ht="15.75" x14ac:dyDescent="0.25">
      <c r="A38" s="148">
        <v>45240</v>
      </c>
      <c r="B38" s="114" t="s">
        <v>86</v>
      </c>
      <c r="C38" s="53"/>
      <c r="D38" s="114" t="s">
        <v>87</v>
      </c>
      <c r="E38" s="114">
        <v>182.6</v>
      </c>
      <c r="F38" s="185">
        <v>13500</v>
      </c>
      <c r="G38" s="117">
        <v>1.3</v>
      </c>
      <c r="H38" s="117">
        <v>140.5</v>
      </c>
      <c r="I38" s="130">
        <f t="shared" si="2"/>
        <v>2465100</v>
      </c>
      <c r="J38" s="52"/>
      <c r="K38" s="53"/>
      <c r="L38" s="120" t="s">
        <v>102</v>
      </c>
      <c r="M38" s="53"/>
      <c r="N38" s="53"/>
      <c r="O38" s="53"/>
      <c r="P38" s="53"/>
      <c r="Q38" s="53"/>
      <c r="R38" s="53"/>
      <c r="S38" s="186"/>
      <c r="T38" s="53"/>
      <c r="U38" s="127"/>
      <c r="V38" s="127"/>
      <c r="W38" s="192"/>
      <c r="X38" s="192"/>
      <c r="Y38" s="127"/>
      <c r="Z38" s="127"/>
      <c r="AA38" s="127"/>
      <c r="AB38" s="127"/>
      <c r="AC38" s="154"/>
      <c r="AD38" s="154"/>
      <c r="AE38" s="52"/>
      <c r="AF38" s="52"/>
      <c r="AG38" s="162"/>
      <c r="AH38" s="163"/>
      <c r="AI38" s="164"/>
      <c r="AJ38" s="165"/>
      <c r="AK38" s="163"/>
      <c r="AL38" s="163"/>
      <c r="AM38" s="166"/>
      <c r="AN38" s="160"/>
      <c r="AO38" s="160"/>
      <c r="AP38" s="161"/>
      <c r="AQ38" s="160"/>
      <c r="AR38" s="160"/>
      <c r="AS38" s="53"/>
      <c r="AT38" s="127"/>
      <c r="AU38" s="128"/>
      <c r="AV38" s="181"/>
    </row>
    <row r="39" spans="1:75" ht="15.75" x14ac:dyDescent="0.25">
      <c r="A39" s="148">
        <v>45240</v>
      </c>
      <c r="B39" s="114" t="s">
        <v>71</v>
      </c>
      <c r="C39" s="53"/>
      <c r="D39" s="114" t="s">
        <v>72</v>
      </c>
      <c r="E39" s="114">
        <v>128.30000000000001</v>
      </c>
      <c r="F39" s="185">
        <v>13500</v>
      </c>
      <c r="G39" s="117">
        <v>1.28</v>
      </c>
      <c r="H39" s="117">
        <v>100.25</v>
      </c>
      <c r="I39" s="130">
        <f t="shared" si="2"/>
        <v>1732050.0000000002</v>
      </c>
      <c r="J39" s="52"/>
      <c r="K39" s="53"/>
      <c r="L39" s="120" t="s">
        <v>106</v>
      </c>
      <c r="M39" s="53"/>
      <c r="N39" s="53"/>
      <c r="O39" s="53"/>
      <c r="P39" s="53"/>
      <c r="Q39" s="53"/>
      <c r="R39" s="53"/>
      <c r="S39" s="186"/>
      <c r="T39" s="53"/>
      <c r="U39" s="127"/>
      <c r="V39" s="127"/>
      <c r="W39" s="192"/>
      <c r="X39" s="192"/>
      <c r="Y39" s="127"/>
      <c r="Z39" s="127"/>
      <c r="AA39" s="127"/>
      <c r="AB39" s="127"/>
      <c r="AC39" s="154"/>
      <c r="AD39" s="154"/>
      <c r="AE39" s="52"/>
      <c r="AF39" s="52"/>
      <c r="AG39" s="162"/>
      <c r="AH39" s="163"/>
      <c r="AI39" s="164"/>
      <c r="AJ39" s="165"/>
      <c r="AK39" s="163"/>
      <c r="AL39" s="163"/>
      <c r="AM39" s="166"/>
      <c r="AN39" s="160"/>
      <c r="AO39" s="160"/>
      <c r="AP39" s="161"/>
      <c r="AQ39" s="160"/>
      <c r="AR39" s="160"/>
      <c r="AS39" s="53"/>
      <c r="AT39" s="127"/>
      <c r="AU39" s="128"/>
      <c r="AV39" s="181"/>
    </row>
    <row r="40" spans="1:75" ht="15.75" x14ac:dyDescent="0.25">
      <c r="A40" s="148">
        <v>45240</v>
      </c>
      <c r="B40" s="114" t="s">
        <v>107</v>
      </c>
      <c r="C40" s="53"/>
      <c r="D40" s="114" t="s">
        <v>72</v>
      </c>
      <c r="E40" s="114">
        <v>39.6</v>
      </c>
      <c r="F40" s="185">
        <v>14000</v>
      </c>
      <c r="G40" s="117">
        <v>1.18</v>
      </c>
      <c r="H40" s="117">
        <v>33.5</v>
      </c>
      <c r="I40" s="130">
        <f t="shared" si="2"/>
        <v>554400</v>
      </c>
      <c r="J40" s="52"/>
      <c r="K40" s="53"/>
      <c r="L40" s="120" t="s">
        <v>88</v>
      </c>
      <c r="M40" s="53"/>
      <c r="N40" s="53"/>
      <c r="O40" s="53"/>
      <c r="P40" s="53"/>
      <c r="Q40" s="53"/>
      <c r="R40" s="53"/>
      <c r="S40" s="186"/>
      <c r="T40" s="53"/>
      <c r="U40" s="127"/>
      <c r="V40" s="127"/>
      <c r="W40" s="192"/>
      <c r="X40" s="192"/>
      <c r="Y40" s="127"/>
      <c r="Z40" s="127"/>
      <c r="AA40" s="127"/>
      <c r="AB40" s="127"/>
      <c r="AC40" s="154"/>
      <c r="AD40" s="154"/>
      <c r="AE40" s="52"/>
      <c r="AF40" s="52"/>
      <c r="AG40" s="162"/>
      <c r="AH40" s="163"/>
      <c r="AI40" s="164"/>
      <c r="AJ40" s="165"/>
      <c r="AK40" s="163"/>
      <c r="AL40" s="163"/>
      <c r="AM40" s="166"/>
      <c r="AN40" s="160"/>
      <c r="AO40" s="160"/>
      <c r="AP40" s="161"/>
      <c r="AQ40" s="160"/>
      <c r="AR40" s="160"/>
      <c r="AS40" s="53"/>
      <c r="AT40" s="127"/>
      <c r="AU40" s="128"/>
      <c r="AV40" s="181"/>
    </row>
    <row r="41" spans="1:75" s="114" customFormat="1" ht="15.75" x14ac:dyDescent="0.25">
      <c r="A41" s="148">
        <v>45240</v>
      </c>
      <c r="B41" s="114" t="s">
        <v>89</v>
      </c>
      <c r="C41" s="53"/>
      <c r="D41" s="114" t="s">
        <v>72</v>
      </c>
      <c r="E41" s="114">
        <v>117.3</v>
      </c>
      <c r="F41" s="185">
        <v>14000</v>
      </c>
      <c r="G41" s="117">
        <v>1.2</v>
      </c>
      <c r="H41" s="117">
        <f>E41/G41</f>
        <v>97.75</v>
      </c>
      <c r="I41" s="130">
        <f t="shared" si="2"/>
        <v>1642200</v>
      </c>
      <c r="J41" s="52"/>
      <c r="K41" s="53"/>
      <c r="L41" s="120" t="s">
        <v>88</v>
      </c>
      <c r="M41" s="53"/>
      <c r="N41" s="53"/>
      <c r="O41" s="53"/>
      <c r="P41" s="53"/>
      <c r="Q41" s="53"/>
      <c r="R41" s="53"/>
      <c r="S41" s="186"/>
      <c r="T41" s="53"/>
      <c r="U41" s="127"/>
      <c r="V41" s="127"/>
      <c r="W41" s="192"/>
      <c r="X41" s="192"/>
      <c r="Y41" s="127"/>
      <c r="Z41" s="127"/>
      <c r="AA41" s="127"/>
      <c r="AB41" s="127"/>
      <c r="AC41" s="154"/>
      <c r="AD41" s="154"/>
      <c r="AE41" s="52"/>
      <c r="AF41" s="52"/>
      <c r="AG41" s="162"/>
      <c r="AH41" s="163"/>
      <c r="AI41" s="164"/>
      <c r="AJ41" s="165"/>
      <c r="AK41" s="163"/>
      <c r="AL41" s="163"/>
      <c r="AM41" s="166"/>
      <c r="AN41" s="160"/>
      <c r="AO41" s="160"/>
      <c r="AP41" s="161"/>
      <c r="AQ41" s="160"/>
      <c r="AR41" s="160"/>
      <c r="AS41" s="53"/>
      <c r="AT41" s="127"/>
      <c r="AU41" s="128"/>
      <c r="AV41" s="181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</row>
    <row r="42" spans="1:75" s="86" customFormat="1" ht="15.75" x14ac:dyDescent="0.25">
      <c r="A42" s="148">
        <v>45240</v>
      </c>
      <c r="B42" s="114" t="s">
        <v>47</v>
      </c>
      <c r="C42" s="53"/>
      <c r="D42" s="114" t="s">
        <v>108</v>
      </c>
      <c r="E42" s="114">
        <v>437.5</v>
      </c>
      <c r="F42" s="185">
        <v>13500</v>
      </c>
      <c r="G42" s="117">
        <v>1.2</v>
      </c>
      <c r="H42" s="117">
        <v>364.5</v>
      </c>
      <c r="I42" s="130">
        <f t="shared" si="2"/>
        <v>5906250</v>
      </c>
      <c r="J42" s="52"/>
      <c r="K42" s="53"/>
      <c r="L42" s="120" t="s">
        <v>100</v>
      </c>
      <c r="M42" s="53"/>
      <c r="N42" s="53"/>
      <c r="O42" s="53"/>
      <c r="P42" s="53"/>
      <c r="Q42" s="53"/>
      <c r="R42" s="53"/>
      <c r="S42" s="186"/>
      <c r="T42" s="53"/>
      <c r="U42" s="127"/>
      <c r="V42" s="127"/>
      <c r="W42" s="192"/>
      <c r="X42" s="192"/>
      <c r="Y42" s="127"/>
      <c r="Z42" s="127"/>
      <c r="AA42" s="127"/>
      <c r="AB42" s="127"/>
      <c r="AC42" s="154"/>
      <c r="AD42" s="154"/>
      <c r="AE42" s="52"/>
      <c r="AF42" s="52"/>
      <c r="AG42" s="162"/>
      <c r="AH42" s="163"/>
      <c r="AI42" s="164"/>
      <c r="AJ42" s="165"/>
      <c r="AK42" s="163"/>
      <c r="AL42" s="163"/>
      <c r="AM42" s="166"/>
      <c r="AN42" s="160"/>
      <c r="AO42" s="160"/>
      <c r="AP42" s="161"/>
      <c r="AQ42" s="160"/>
      <c r="AR42" s="160"/>
      <c r="AS42" s="53"/>
      <c r="AT42" s="127"/>
      <c r="AU42" s="128"/>
      <c r="AV42" s="181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</row>
    <row r="43" spans="1:75" s="114" customFormat="1" ht="15.75" x14ac:dyDescent="0.25">
      <c r="A43" s="148">
        <v>45270</v>
      </c>
      <c r="B43" s="114" t="s">
        <v>89</v>
      </c>
      <c r="C43" s="53"/>
      <c r="D43" s="114" t="s">
        <v>94</v>
      </c>
      <c r="E43" s="114">
        <v>199.6</v>
      </c>
      <c r="F43" s="185">
        <v>13500</v>
      </c>
      <c r="G43" s="117">
        <v>1.2</v>
      </c>
      <c r="H43" s="117">
        <v>166.25</v>
      </c>
      <c r="I43" s="130">
        <f t="shared" si="2"/>
        <v>2694600</v>
      </c>
      <c r="J43" s="52"/>
      <c r="K43" s="53"/>
      <c r="L43" s="120" t="s">
        <v>98</v>
      </c>
      <c r="M43" s="53"/>
      <c r="N43" s="53"/>
      <c r="O43" s="53"/>
      <c r="P43" s="53"/>
      <c r="Q43" s="53"/>
      <c r="R43" s="53"/>
      <c r="S43" s="186"/>
      <c r="T43" s="53"/>
      <c r="U43" s="127"/>
      <c r="V43" s="127"/>
      <c r="W43" s="192"/>
      <c r="X43" s="192"/>
      <c r="Y43" s="127"/>
      <c r="Z43" s="127"/>
      <c r="AA43" s="127"/>
      <c r="AB43" s="127"/>
      <c r="AC43" s="154"/>
      <c r="AD43" s="154"/>
      <c r="AE43" s="52"/>
      <c r="AF43" s="52"/>
      <c r="AG43" s="162"/>
      <c r="AH43" s="163"/>
      <c r="AI43" s="164"/>
      <c r="AJ43" s="165"/>
      <c r="AK43" s="163"/>
      <c r="AL43" s="163"/>
      <c r="AM43" s="166"/>
      <c r="AN43" s="160"/>
      <c r="AO43" s="160"/>
      <c r="AP43" s="161"/>
      <c r="AQ43" s="160"/>
      <c r="AR43" s="160"/>
      <c r="AS43" s="53"/>
      <c r="AT43" s="127"/>
      <c r="AU43" s="128"/>
      <c r="AV43" s="181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</row>
    <row r="44" spans="1:75" s="114" customFormat="1" ht="15.75" x14ac:dyDescent="0.25">
      <c r="A44" s="148">
        <v>45270</v>
      </c>
      <c r="B44" s="114" t="s">
        <v>59</v>
      </c>
      <c r="C44" s="53"/>
      <c r="D44" s="114" t="s">
        <v>109</v>
      </c>
      <c r="E44" s="114">
        <v>21.5</v>
      </c>
      <c r="F44" s="185">
        <v>13800</v>
      </c>
      <c r="G44" s="117">
        <v>1.2</v>
      </c>
      <c r="H44" s="117">
        <v>18</v>
      </c>
      <c r="I44" s="130">
        <f t="shared" si="2"/>
        <v>296700</v>
      </c>
      <c r="J44" s="52"/>
      <c r="K44" s="53"/>
      <c r="L44" s="151">
        <v>17</v>
      </c>
      <c r="M44" s="53"/>
      <c r="N44" s="53"/>
      <c r="O44" s="53"/>
      <c r="P44" s="53"/>
      <c r="Q44" s="53"/>
      <c r="R44" s="53"/>
      <c r="S44" s="186"/>
      <c r="T44" s="53"/>
      <c r="U44" s="127"/>
      <c r="V44" s="127"/>
      <c r="W44" s="192"/>
      <c r="X44" s="192"/>
      <c r="Y44" s="127"/>
      <c r="Z44" s="127"/>
      <c r="AA44" s="127"/>
      <c r="AB44" s="127"/>
      <c r="AC44" s="154"/>
      <c r="AD44" s="154"/>
      <c r="AE44" s="52"/>
      <c r="AF44" s="52"/>
      <c r="AG44" s="162"/>
      <c r="AH44" s="163"/>
      <c r="AI44" s="164"/>
      <c r="AJ44" s="165"/>
      <c r="AK44" s="163"/>
      <c r="AL44" s="163"/>
      <c r="AM44" s="166"/>
      <c r="AN44" s="160"/>
      <c r="AO44" s="160"/>
      <c r="AP44" s="161"/>
      <c r="AQ44" s="160"/>
      <c r="AR44" s="160"/>
      <c r="AS44" s="53"/>
      <c r="AT44" s="127"/>
      <c r="AU44" s="128"/>
      <c r="AV44" s="181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</row>
    <row r="45" spans="1:75" s="114" customFormat="1" ht="15.75" x14ac:dyDescent="0.25">
      <c r="A45" s="148">
        <v>45270</v>
      </c>
      <c r="B45" s="114" t="s">
        <v>59</v>
      </c>
      <c r="C45" s="53"/>
      <c r="D45" s="114" t="s">
        <v>109</v>
      </c>
      <c r="E45" s="114">
        <v>188.4</v>
      </c>
      <c r="F45" s="185">
        <v>13500</v>
      </c>
      <c r="G45" s="117">
        <v>1.2</v>
      </c>
      <c r="H45" s="117">
        <f>E45/G45</f>
        <v>157</v>
      </c>
      <c r="I45" s="130">
        <f t="shared" si="2"/>
        <v>2543400</v>
      </c>
      <c r="J45" s="52"/>
      <c r="K45" s="53"/>
      <c r="L45" s="151">
        <v>18</v>
      </c>
      <c r="M45" s="53"/>
      <c r="N45" s="53"/>
      <c r="O45" s="53"/>
      <c r="P45" s="53"/>
      <c r="Q45" s="53"/>
      <c r="R45" s="53"/>
      <c r="S45" s="186"/>
      <c r="T45" s="53"/>
      <c r="U45" s="127"/>
      <c r="V45" s="127"/>
      <c r="W45" s="192"/>
      <c r="X45" s="192"/>
      <c r="Y45" s="127"/>
      <c r="Z45" s="127"/>
      <c r="AA45" s="127"/>
      <c r="AB45" s="127"/>
      <c r="AC45" s="154"/>
      <c r="AD45" s="154"/>
      <c r="AE45" s="52"/>
      <c r="AF45" s="52"/>
      <c r="AG45" s="162"/>
      <c r="AH45" s="163"/>
      <c r="AI45" s="164"/>
      <c r="AJ45" s="165"/>
      <c r="AK45" s="163"/>
      <c r="AL45" s="163"/>
      <c r="AM45" s="166"/>
      <c r="AN45" s="160"/>
      <c r="AO45" s="160"/>
      <c r="AP45" s="161"/>
      <c r="AQ45" s="160"/>
      <c r="AR45" s="160"/>
      <c r="AS45" s="53"/>
      <c r="AT45" s="127"/>
      <c r="AU45" s="128"/>
      <c r="AV45" s="181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</row>
    <row r="46" spans="1:75" s="114" customFormat="1" ht="15.75" x14ac:dyDescent="0.25">
      <c r="A46" s="148">
        <v>45270</v>
      </c>
      <c r="B46" s="114" t="s">
        <v>110</v>
      </c>
      <c r="C46" s="53"/>
      <c r="D46" s="114" t="s">
        <v>111</v>
      </c>
      <c r="E46" s="114">
        <v>95.5</v>
      </c>
      <c r="F46" s="185">
        <v>13500</v>
      </c>
      <c r="G46" s="117">
        <v>1.2</v>
      </c>
      <c r="H46" s="117">
        <v>79.5</v>
      </c>
      <c r="I46" s="130">
        <f t="shared" si="2"/>
        <v>1289250</v>
      </c>
      <c r="J46" s="52"/>
      <c r="K46" s="53"/>
      <c r="L46" s="120" t="s">
        <v>106</v>
      </c>
      <c r="M46" s="53"/>
      <c r="N46" s="53"/>
      <c r="O46" s="53"/>
      <c r="P46" s="53"/>
      <c r="Q46" s="53"/>
      <c r="R46" s="53"/>
      <c r="S46" s="186"/>
      <c r="T46" s="53"/>
      <c r="U46" s="127"/>
      <c r="V46" s="127"/>
      <c r="W46" s="192"/>
      <c r="X46" s="192"/>
      <c r="Y46" s="127"/>
      <c r="Z46" s="127"/>
      <c r="AA46" s="127"/>
      <c r="AB46" s="127"/>
      <c r="AC46" s="154"/>
      <c r="AD46" s="154"/>
      <c r="AE46" s="52"/>
      <c r="AF46" s="52"/>
      <c r="AG46" s="162"/>
      <c r="AH46" s="163"/>
      <c r="AI46" s="164"/>
      <c r="AJ46" s="165"/>
      <c r="AK46" s="163"/>
      <c r="AL46" s="163"/>
      <c r="AM46" s="166"/>
      <c r="AN46" s="160"/>
      <c r="AO46" s="160"/>
      <c r="AP46" s="161"/>
      <c r="AQ46" s="160"/>
      <c r="AR46" s="160"/>
      <c r="AS46" s="53"/>
      <c r="AT46" s="127"/>
      <c r="AU46" s="128"/>
      <c r="AV46" s="181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</row>
    <row r="47" spans="1:75" s="114" customFormat="1" ht="15.75" x14ac:dyDescent="0.25">
      <c r="A47" s="148">
        <v>45270</v>
      </c>
      <c r="B47" s="114" t="s">
        <v>71</v>
      </c>
      <c r="C47" s="53"/>
      <c r="D47" s="114" t="s">
        <v>94</v>
      </c>
      <c r="E47" s="114">
        <v>91.6</v>
      </c>
      <c r="F47" s="185">
        <v>13500</v>
      </c>
      <c r="G47" s="117">
        <v>1.2</v>
      </c>
      <c r="H47" s="117">
        <v>76.25</v>
      </c>
      <c r="I47" s="130">
        <f t="shared" si="2"/>
        <v>1236600</v>
      </c>
      <c r="J47" s="52"/>
      <c r="K47" s="53"/>
      <c r="L47" s="120" t="s">
        <v>112</v>
      </c>
      <c r="M47" s="53"/>
      <c r="N47" s="53"/>
      <c r="O47" s="53"/>
      <c r="P47" s="53"/>
      <c r="Q47" s="53"/>
      <c r="R47" s="53"/>
      <c r="S47" s="186"/>
      <c r="T47" s="53"/>
      <c r="U47" s="127"/>
      <c r="V47" s="127"/>
      <c r="W47" s="192"/>
      <c r="X47" s="192"/>
      <c r="Y47" s="127"/>
      <c r="Z47" s="127"/>
      <c r="AA47" s="127"/>
      <c r="AB47" s="127"/>
      <c r="AC47" s="154"/>
      <c r="AD47" s="154"/>
      <c r="AE47" s="52"/>
      <c r="AF47" s="52"/>
      <c r="AG47" s="162"/>
      <c r="AH47" s="163"/>
      <c r="AI47" s="164"/>
      <c r="AJ47" s="165"/>
      <c r="AK47" s="163"/>
      <c r="AL47" s="163"/>
      <c r="AM47" s="166"/>
      <c r="AN47" s="160"/>
      <c r="AO47" s="160"/>
      <c r="AP47" s="161"/>
      <c r="AQ47" s="160"/>
      <c r="AR47" s="160"/>
      <c r="AS47" s="53"/>
      <c r="AT47" s="127"/>
      <c r="AU47" s="128"/>
      <c r="AV47" s="181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</row>
    <row r="48" spans="1:75" s="59" customFormat="1" ht="16.5" thickBot="1" x14ac:dyDescent="0.3">
      <c r="A48" s="148">
        <v>45270</v>
      </c>
      <c r="B48" s="114" t="s">
        <v>113</v>
      </c>
      <c r="C48" s="53"/>
      <c r="D48" s="114" t="s">
        <v>94</v>
      </c>
      <c r="E48" s="114">
        <v>544.6</v>
      </c>
      <c r="F48" s="185">
        <v>13000</v>
      </c>
      <c r="G48" s="117">
        <v>1.22</v>
      </c>
      <c r="H48" s="117">
        <v>446.25</v>
      </c>
      <c r="I48" s="130">
        <f t="shared" si="2"/>
        <v>7079800</v>
      </c>
      <c r="J48" s="52"/>
      <c r="K48" s="53"/>
      <c r="L48" s="120" t="s">
        <v>49</v>
      </c>
      <c r="M48" s="53"/>
      <c r="N48" s="53"/>
      <c r="O48" s="53"/>
      <c r="P48" s="53"/>
      <c r="Q48" s="53"/>
      <c r="R48" s="53"/>
      <c r="S48" s="190"/>
      <c r="T48" s="53"/>
      <c r="U48" s="127"/>
      <c r="V48" s="127"/>
      <c r="W48" s="192"/>
      <c r="X48" s="192"/>
      <c r="Y48" s="127"/>
      <c r="Z48" s="127"/>
      <c r="AA48" s="127"/>
      <c r="AB48" s="127"/>
      <c r="AC48" s="154"/>
      <c r="AD48" s="154"/>
      <c r="AE48" s="52"/>
      <c r="AF48" s="52"/>
      <c r="AG48" s="162"/>
      <c r="AH48" s="163"/>
      <c r="AI48" s="164"/>
      <c r="AJ48" s="165"/>
      <c r="AK48" s="163"/>
      <c r="AL48" s="163"/>
      <c r="AM48" s="166"/>
      <c r="AN48" s="160"/>
      <c r="AO48" s="160"/>
      <c r="AP48" s="161"/>
      <c r="AQ48" s="160"/>
      <c r="AR48" s="160"/>
      <c r="AS48" s="53"/>
      <c r="AT48" s="127"/>
      <c r="AU48" s="128"/>
      <c r="AV48" s="181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</row>
    <row r="49" spans="1:75" ht="15.75" x14ac:dyDescent="0.25">
      <c r="A49" s="148">
        <v>45270</v>
      </c>
      <c r="B49" s="114" t="s">
        <v>114</v>
      </c>
      <c r="C49" s="114" t="s">
        <v>115</v>
      </c>
      <c r="D49" s="114" t="s">
        <v>74</v>
      </c>
      <c r="E49" s="114">
        <v>646.6</v>
      </c>
      <c r="F49" s="150">
        <v>13500</v>
      </c>
      <c r="G49" s="114">
        <v>1.22</v>
      </c>
      <c r="H49" s="168">
        <f>E49*G49</f>
        <v>788.85199999999998</v>
      </c>
      <c r="I49" s="130">
        <f t="shared" si="2"/>
        <v>8729100</v>
      </c>
      <c r="J49" s="193">
        <f>I49</f>
        <v>8729100</v>
      </c>
      <c r="K49" s="177" t="s">
        <v>44</v>
      </c>
      <c r="L49" s="114">
        <v>1</v>
      </c>
      <c r="M49" s="177" t="s">
        <v>116</v>
      </c>
      <c r="N49" s="177" t="s">
        <v>82</v>
      </c>
      <c r="O49" s="177" t="s">
        <v>116</v>
      </c>
      <c r="P49" s="177" t="s">
        <v>117</v>
      </c>
      <c r="Q49" s="177" t="s">
        <v>105</v>
      </c>
      <c r="R49" s="177">
        <f>70.8+102.7</f>
        <v>173.5</v>
      </c>
      <c r="S49" s="194">
        <f>R49/E49</f>
        <v>0.26832663161150633</v>
      </c>
      <c r="T49" s="177">
        <v>102.7</v>
      </c>
      <c r="U49" s="177">
        <v>16</v>
      </c>
      <c r="V49" s="177">
        <v>12</v>
      </c>
      <c r="W49" s="177">
        <f>T49/R49</f>
        <v>0.59193083573487038</v>
      </c>
      <c r="X49" s="195">
        <f>T49/E49</f>
        <v>0.15883080729972163</v>
      </c>
      <c r="Y49" s="114" t="s">
        <v>118</v>
      </c>
      <c r="Z49" s="114"/>
      <c r="AA49" s="114"/>
      <c r="AB49" s="114"/>
      <c r="AC49" s="196">
        <f>R49*400</f>
        <v>69400</v>
      </c>
      <c r="AD49" s="196">
        <f>E49*166</f>
        <v>107335.6</v>
      </c>
      <c r="AE49" s="196">
        <f>AD49+AC49+J49</f>
        <v>8905835.5999999996</v>
      </c>
      <c r="AF49" s="196">
        <f>AE49/T49</f>
        <v>86716.997078870496</v>
      </c>
      <c r="AG49" s="162"/>
      <c r="AH49" s="163"/>
      <c r="AI49" s="164"/>
      <c r="AJ49" s="165"/>
      <c r="AK49" s="163"/>
      <c r="AL49" s="163"/>
      <c r="AM49" s="166"/>
      <c r="AN49" s="160"/>
      <c r="AO49" s="160"/>
      <c r="AP49" s="161"/>
      <c r="AQ49" s="160"/>
      <c r="AR49" s="160"/>
      <c r="AS49" s="114"/>
      <c r="AT49" s="114"/>
      <c r="AU49" s="174">
        <f>SUM(AD49+AC49+J49)</f>
        <v>8905835.5999999996</v>
      </c>
      <c r="AV49" s="197">
        <f>SUM(AV36-AU49)</f>
        <v>166944493.30000001</v>
      </c>
    </row>
    <row r="50" spans="1:75" s="199" customFormat="1" ht="15.75" x14ac:dyDescent="0.25">
      <c r="A50" s="148" t="s">
        <v>119</v>
      </c>
      <c r="B50" s="114" t="s">
        <v>120</v>
      </c>
      <c r="C50" s="53">
        <v>8</v>
      </c>
      <c r="D50" s="114" t="s">
        <v>94</v>
      </c>
      <c r="E50" s="114">
        <v>67.84</v>
      </c>
      <c r="F50" s="198">
        <v>13500</v>
      </c>
      <c r="G50" s="114">
        <v>1.22</v>
      </c>
      <c r="H50" s="117">
        <v>55.5</v>
      </c>
      <c r="I50" s="130">
        <f t="shared" si="2"/>
        <v>915840</v>
      </c>
      <c r="J50" s="52">
        <f>I50+I51+I52+I53+I54+I55+I56+I57+I58+I59+I60</f>
        <v>17491870</v>
      </c>
      <c r="K50" s="127" t="s">
        <v>44</v>
      </c>
      <c r="L50" s="120" t="s">
        <v>79</v>
      </c>
      <c r="M50" s="53" t="s">
        <v>72</v>
      </c>
      <c r="N50" s="53" t="s">
        <v>56</v>
      </c>
      <c r="O50" s="53" t="s">
        <v>121</v>
      </c>
      <c r="P50" s="53" t="s">
        <v>53</v>
      </c>
      <c r="Q50" s="53" t="s">
        <v>105</v>
      </c>
      <c r="R50" s="53">
        <v>304</v>
      </c>
      <c r="S50" s="182">
        <f>R50/SUM(E50:E60)</f>
        <v>0.23196544935675367</v>
      </c>
      <c r="T50" s="53">
        <v>192</v>
      </c>
      <c r="U50" s="53">
        <v>16</v>
      </c>
      <c r="V50" s="53">
        <v>12</v>
      </c>
      <c r="W50" s="192">
        <f>T50/R50</f>
        <v>0.63157894736842102</v>
      </c>
      <c r="X50" s="192">
        <f>T50/SUM(E50:E60)</f>
        <v>0.14650449433058127</v>
      </c>
      <c r="Y50" s="127" t="s">
        <v>122</v>
      </c>
      <c r="Z50" s="127"/>
      <c r="AA50" s="127"/>
      <c r="AB50" s="127"/>
      <c r="AC50" s="154">
        <f>R50*400</f>
        <v>121600</v>
      </c>
      <c r="AD50" s="154">
        <f>166*(E50+E51+E52+E53+E54+E55+E56+E57+E58+E59+E60)</f>
        <v>217549.64000000004</v>
      </c>
      <c r="AE50" s="52">
        <f>J50+AC50+AD50</f>
        <v>17831019.640000001</v>
      </c>
      <c r="AF50" s="181">
        <f>SUM(AE50/T50)</f>
        <v>92869.893958333341</v>
      </c>
      <c r="AG50" s="162"/>
      <c r="AH50" s="163"/>
      <c r="AI50" s="164"/>
      <c r="AJ50" s="165"/>
      <c r="AK50" s="163"/>
      <c r="AL50" s="163"/>
      <c r="AM50" s="166"/>
      <c r="AN50" s="160"/>
      <c r="AO50" s="160"/>
      <c r="AP50" s="161"/>
      <c r="AQ50" s="160"/>
      <c r="AR50" s="160"/>
      <c r="AS50" s="53"/>
      <c r="AT50" s="127"/>
      <c r="AU50" s="128">
        <f>SUM(AD50+AC50+J50)</f>
        <v>17831019.640000001</v>
      </c>
      <c r="AV50" s="181">
        <f>SUM(AV49-AU50)</f>
        <v>149113473.66000003</v>
      </c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</row>
    <row r="51" spans="1:75" s="114" customFormat="1" ht="15.75" x14ac:dyDescent="0.25">
      <c r="A51" s="148" t="s">
        <v>119</v>
      </c>
      <c r="B51" s="114" t="s">
        <v>123</v>
      </c>
      <c r="C51" s="53"/>
      <c r="D51" s="114" t="s">
        <v>94</v>
      </c>
      <c r="E51" s="114">
        <v>53.9</v>
      </c>
      <c r="F51" s="198">
        <v>13500</v>
      </c>
      <c r="G51" s="117">
        <v>1.2</v>
      </c>
      <c r="H51" s="117">
        <v>45</v>
      </c>
      <c r="I51" s="130">
        <f t="shared" si="2"/>
        <v>727650</v>
      </c>
      <c r="J51" s="52"/>
      <c r="K51" s="127"/>
      <c r="L51" s="120" t="s">
        <v>100</v>
      </c>
      <c r="M51" s="53"/>
      <c r="N51" s="53"/>
      <c r="O51" s="53"/>
      <c r="P51" s="53"/>
      <c r="Q51" s="53"/>
      <c r="R51" s="53"/>
      <c r="S51" s="186"/>
      <c r="T51" s="53"/>
      <c r="U51" s="53"/>
      <c r="V51" s="53"/>
      <c r="W51" s="192"/>
      <c r="X51" s="192"/>
      <c r="Y51" s="127"/>
      <c r="Z51" s="127"/>
      <c r="AA51" s="127"/>
      <c r="AB51" s="127"/>
      <c r="AC51" s="154"/>
      <c r="AD51" s="154"/>
      <c r="AE51" s="53"/>
      <c r="AF51" s="53"/>
      <c r="AG51" s="162"/>
      <c r="AH51" s="163"/>
      <c r="AI51" s="164"/>
      <c r="AJ51" s="165"/>
      <c r="AK51" s="163"/>
      <c r="AL51" s="163"/>
      <c r="AM51" s="166"/>
      <c r="AN51" s="160"/>
      <c r="AO51" s="160"/>
      <c r="AP51" s="161"/>
      <c r="AQ51" s="160"/>
      <c r="AR51" s="160"/>
      <c r="AS51" s="53"/>
      <c r="AT51" s="127"/>
      <c r="AU51" s="128"/>
      <c r="AV51" s="53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</row>
    <row r="52" spans="1:75" s="114" customFormat="1" ht="15.75" x14ac:dyDescent="0.25">
      <c r="A52" s="148" t="s">
        <v>119</v>
      </c>
      <c r="B52" s="114" t="s">
        <v>96</v>
      </c>
      <c r="C52" s="53"/>
      <c r="D52" s="114" t="s">
        <v>109</v>
      </c>
      <c r="E52" s="114">
        <v>78.900000000000006</v>
      </c>
      <c r="F52" s="198">
        <v>13800</v>
      </c>
      <c r="G52" s="117">
        <v>1.2</v>
      </c>
      <c r="H52" s="117">
        <f>E52/G52</f>
        <v>65.750000000000014</v>
      </c>
      <c r="I52" s="130">
        <f t="shared" si="2"/>
        <v>1088820</v>
      </c>
      <c r="J52" s="52"/>
      <c r="K52" s="127"/>
      <c r="L52" s="151">
        <v>19</v>
      </c>
      <c r="M52" s="53"/>
      <c r="N52" s="53"/>
      <c r="O52" s="53"/>
      <c r="P52" s="53"/>
      <c r="Q52" s="53"/>
      <c r="R52" s="53"/>
      <c r="S52" s="186"/>
      <c r="T52" s="53"/>
      <c r="U52" s="53"/>
      <c r="V52" s="53"/>
      <c r="W52" s="192"/>
      <c r="X52" s="192"/>
      <c r="Y52" s="127"/>
      <c r="Z52" s="127"/>
      <c r="AA52" s="127"/>
      <c r="AB52" s="127"/>
      <c r="AC52" s="154"/>
      <c r="AD52" s="154"/>
      <c r="AE52" s="53"/>
      <c r="AF52" s="53"/>
      <c r="AG52" s="162"/>
      <c r="AH52" s="163"/>
      <c r="AI52" s="164"/>
      <c r="AJ52" s="165"/>
      <c r="AK52" s="163"/>
      <c r="AL52" s="163"/>
      <c r="AM52" s="166"/>
      <c r="AN52" s="160"/>
      <c r="AO52" s="160"/>
      <c r="AP52" s="161"/>
      <c r="AQ52" s="160"/>
      <c r="AR52" s="160"/>
      <c r="AS52" s="53"/>
      <c r="AT52" s="127"/>
      <c r="AU52" s="128"/>
      <c r="AV52" s="53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</row>
    <row r="53" spans="1:75" s="114" customFormat="1" ht="15.75" x14ac:dyDescent="0.25">
      <c r="A53" s="148" t="s">
        <v>119</v>
      </c>
      <c r="B53" s="114" t="s">
        <v>113</v>
      </c>
      <c r="C53" s="53"/>
      <c r="D53" s="114" t="s">
        <v>94</v>
      </c>
      <c r="E53" s="114">
        <v>151.5</v>
      </c>
      <c r="F53" s="198">
        <v>12800</v>
      </c>
      <c r="G53" s="117">
        <v>1.2</v>
      </c>
      <c r="H53" s="117">
        <f>E53/G53</f>
        <v>126.25</v>
      </c>
      <c r="I53" s="130">
        <f t="shared" si="2"/>
        <v>1939200</v>
      </c>
      <c r="J53" s="52"/>
      <c r="K53" s="127"/>
      <c r="L53" s="120" t="s">
        <v>88</v>
      </c>
      <c r="M53" s="53"/>
      <c r="N53" s="53"/>
      <c r="O53" s="53"/>
      <c r="P53" s="53"/>
      <c r="Q53" s="53"/>
      <c r="R53" s="53"/>
      <c r="S53" s="186"/>
      <c r="T53" s="53"/>
      <c r="U53" s="53"/>
      <c r="V53" s="53"/>
      <c r="W53" s="192"/>
      <c r="X53" s="192"/>
      <c r="Y53" s="127"/>
      <c r="Z53" s="127"/>
      <c r="AA53" s="127"/>
      <c r="AB53" s="127"/>
      <c r="AC53" s="154"/>
      <c r="AD53" s="154"/>
      <c r="AE53" s="53"/>
      <c r="AF53" s="53"/>
      <c r="AG53" s="162"/>
      <c r="AH53" s="163"/>
      <c r="AI53" s="164"/>
      <c r="AJ53" s="165"/>
      <c r="AK53" s="163"/>
      <c r="AL53" s="163"/>
      <c r="AM53" s="166"/>
      <c r="AN53" s="160"/>
      <c r="AO53" s="160"/>
      <c r="AP53" s="161"/>
      <c r="AQ53" s="160"/>
      <c r="AR53" s="160"/>
      <c r="AS53" s="53"/>
      <c r="AT53" s="127"/>
      <c r="AU53" s="128"/>
      <c r="AV53" s="53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</row>
    <row r="54" spans="1:75" s="114" customFormat="1" ht="15.75" x14ac:dyDescent="0.25">
      <c r="A54" s="148" t="s">
        <v>119</v>
      </c>
      <c r="B54" s="114" t="s">
        <v>110</v>
      </c>
      <c r="C54" s="53"/>
      <c r="D54" s="114" t="s">
        <v>111</v>
      </c>
      <c r="E54" s="114">
        <v>78.400000000000006</v>
      </c>
      <c r="F54" s="198">
        <v>13500</v>
      </c>
      <c r="G54" s="117">
        <v>1.2</v>
      </c>
      <c r="H54" s="117">
        <v>65.25</v>
      </c>
      <c r="I54" s="130">
        <f t="shared" si="2"/>
        <v>1058400</v>
      </c>
      <c r="J54" s="52"/>
      <c r="K54" s="127"/>
      <c r="L54" s="120" t="s">
        <v>112</v>
      </c>
      <c r="M54" s="53"/>
      <c r="N54" s="53"/>
      <c r="O54" s="53"/>
      <c r="P54" s="53"/>
      <c r="Q54" s="53"/>
      <c r="R54" s="53"/>
      <c r="S54" s="186"/>
      <c r="T54" s="53"/>
      <c r="U54" s="53"/>
      <c r="V54" s="53"/>
      <c r="W54" s="192"/>
      <c r="X54" s="192"/>
      <c r="Y54" s="127"/>
      <c r="Z54" s="127"/>
      <c r="AA54" s="127"/>
      <c r="AB54" s="127"/>
      <c r="AC54" s="154"/>
      <c r="AD54" s="154"/>
      <c r="AE54" s="53"/>
      <c r="AF54" s="53"/>
      <c r="AG54" s="162"/>
      <c r="AH54" s="163"/>
      <c r="AI54" s="164"/>
      <c r="AJ54" s="165"/>
      <c r="AK54" s="163"/>
      <c r="AL54" s="163"/>
      <c r="AM54" s="166"/>
      <c r="AN54" s="160"/>
      <c r="AO54" s="160"/>
      <c r="AP54" s="161"/>
      <c r="AQ54" s="160"/>
      <c r="AR54" s="160"/>
      <c r="AS54" s="53"/>
      <c r="AT54" s="127"/>
      <c r="AU54" s="128"/>
      <c r="AV54" s="53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</row>
    <row r="55" spans="1:75" s="199" customFormat="1" ht="15.75" x14ac:dyDescent="0.25">
      <c r="A55" s="148" t="s">
        <v>124</v>
      </c>
      <c r="B55" s="114" t="s">
        <v>96</v>
      </c>
      <c r="C55" s="53"/>
      <c r="D55" s="114" t="s">
        <v>109</v>
      </c>
      <c r="E55" s="114">
        <v>181.6</v>
      </c>
      <c r="F55" s="198">
        <v>13800</v>
      </c>
      <c r="G55" s="117">
        <v>1.2</v>
      </c>
      <c r="H55" s="117">
        <v>151.25</v>
      </c>
      <c r="I55" s="130">
        <f t="shared" si="2"/>
        <v>2506080</v>
      </c>
      <c r="J55" s="52"/>
      <c r="K55" s="127"/>
      <c r="L55" s="151">
        <v>20</v>
      </c>
      <c r="M55" s="53"/>
      <c r="N55" s="53"/>
      <c r="O55" s="53"/>
      <c r="P55" s="53"/>
      <c r="Q55" s="53"/>
      <c r="R55" s="53"/>
      <c r="S55" s="186"/>
      <c r="T55" s="53"/>
      <c r="U55" s="53"/>
      <c r="V55" s="53"/>
      <c r="W55" s="192"/>
      <c r="X55" s="192"/>
      <c r="Y55" s="127"/>
      <c r="Z55" s="127"/>
      <c r="AA55" s="127"/>
      <c r="AB55" s="127"/>
      <c r="AC55" s="154"/>
      <c r="AD55" s="154"/>
      <c r="AE55" s="53"/>
      <c r="AF55" s="53"/>
      <c r="AG55" s="162"/>
      <c r="AH55" s="163"/>
      <c r="AI55" s="164"/>
      <c r="AJ55" s="165"/>
      <c r="AK55" s="163"/>
      <c r="AL55" s="163"/>
      <c r="AM55" s="166"/>
      <c r="AN55" s="160"/>
      <c r="AO55" s="160"/>
      <c r="AP55" s="161"/>
      <c r="AQ55" s="160"/>
      <c r="AR55" s="160"/>
      <c r="AS55" s="53"/>
      <c r="AT55" s="127"/>
      <c r="AU55" s="128"/>
      <c r="AV55" s="53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</row>
    <row r="56" spans="1:75" s="114" customFormat="1" ht="15.75" x14ac:dyDescent="0.25">
      <c r="A56" s="148" t="s">
        <v>124</v>
      </c>
      <c r="B56" s="114" t="s">
        <v>59</v>
      </c>
      <c r="C56" s="53"/>
      <c r="D56" s="114" t="s">
        <v>109</v>
      </c>
      <c r="E56" s="114">
        <v>40</v>
      </c>
      <c r="F56" s="198">
        <v>13800</v>
      </c>
      <c r="G56" s="200">
        <v>1.2</v>
      </c>
      <c r="H56" s="117">
        <v>33.25</v>
      </c>
      <c r="I56" s="130">
        <f t="shared" si="2"/>
        <v>552000</v>
      </c>
      <c r="J56" s="52"/>
      <c r="K56" s="127"/>
      <c r="L56" s="151">
        <v>21</v>
      </c>
      <c r="M56" s="53"/>
      <c r="N56" s="53"/>
      <c r="O56" s="53"/>
      <c r="P56" s="53"/>
      <c r="Q56" s="53"/>
      <c r="R56" s="53"/>
      <c r="S56" s="186"/>
      <c r="T56" s="53"/>
      <c r="U56" s="53"/>
      <c r="V56" s="53"/>
      <c r="W56" s="192"/>
      <c r="X56" s="192"/>
      <c r="Y56" s="127"/>
      <c r="Z56" s="127"/>
      <c r="AA56" s="127"/>
      <c r="AB56" s="127"/>
      <c r="AC56" s="154"/>
      <c r="AD56" s="154"/>
      <c r="AE56" s="53"/>
      <c r="AF56" s="53"/>
      <c r="AG56" s="162"/>
      <c r="AH56" s="163"/>
      <c r="AI56" s="164"/>
      <c r="AJ56" s="165"/>
      <c r="AK56" s="163"/>
      <c r="AL56" s="163"/>
      <c r="AM56" s="166"/>
      <c r="AN56" s="160"/>
      <c r="AO56" s="160"/>
      <c r="AP56" s="161"/>
      <c r="AQ56" s="160"/>
      <c r="AR56" s="160"/>
      <c r="AS56" s="53"/>
      <c r="AT56" s="127"/>
      <c r="AU56" s="128"/>
      <c r="AV56" s="53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</row>
    <row r="57" spans="1:75" s="114" customFormat="1" ht="15.75" x14ac:dyDescent="0.25">
      <c r="A57" s="148" t="s">
        <v>124</v>
      </c>
      <c r="B57" s="114" t="s">
        <v>113</v>
      </c>
      <c r="C57" s="53"/>
      <c r="D57" s="114" t="s">
        <v>94</v>
      </c>
      <c r="E57" s="114">
        <v>263.60000000000002</v>
      </c>
      <c r="F57" s="198">
        <v>12800</v>
      </c>
      <c r="G57" s="117">
        <v>1.2</v>
      </c>
      <c r="H57" s="117">
        <v>219.5</v>
      </c>
      <c r="I57" s="130">
        <f t="shared" si="2"/>
        <v>3374080.0000000005</v>
      </c>
      <c r="J57" s="52"/>
      <c r="K57" s="127"/>
      <c r="L57" s="120" t="s">
        <v>98</v>
      </c>
      <c r="M57" s="53"/>
      <c r="N57" s="53"/>
      <c r="O57" s="53"/>
      <c r="P57" s="53"/>
      <c r="Q57" s="53"/>
      <c r="R57" s="53"/>
      <c r="S57" s="186"/>
      <c r="T57" s="53"/>
      <c r="U57" s="53"/>
      <c r="V57" s="53"/>
      <c r="W57" s="192"/>
      <c r="X57" s="192"/>
      <c r="Y57" s="127"/>
      <c r="Z57" s="127"/>
      <c r="AA57" s="127"/>
      <c r="AB57" s="127"/>
      <c r="AC57" s="154"/>
      <c r="AD57" s="154"/>
      <c r="AE57" s="53"/>
      <c r="AF57" s="53"/>
      <c r="AG57" s="162"/>
      <c r="AH57" s="163"/>
      <c r="AI57" s="164"/>
      <c r="AJ57" s="165"/>
      <c r="AK57" s="163"/>
      <c r="AL57" s="163"/>
      <c r="AM57" s="166"/>
      <c r="AN57" s="160"/>
      <c r="AO57" s="160"/>
      <c r="AP57" s="161"/>
      <c r="AQ57" s="160"/>
      <c r="AR57" s="160"/>
      <c r="AS57" s="53"/>
      <c r="AT57" s="127"/>
      <c r="AU57" s="128"/>
      <c r="AV57" s="53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</row>
    <row r="58" spans="1:75" s="114" customFormat="1" ht="15.75" x14ac:dyDescent="0.25">
      <c r="A58" s="148" t="s">
        <v>124</v>
      </c>
      <c r="B58" s="114" t="s">
        <v>71</v>
      </c>
      <c r="C58" s="53"/>
      <c r="D58" s="114" t="s">
        <v>94</v>
      </c>
      <c r="E58" s="114">
        <v>151.4</v>
      </c>
      <c r="F58" s="198">
        <v>13500</v>
      </c>
      <c r="G58" s="117">
        <v>1.2</v>
      </c>
      <c r="H58" s="117">
        <v>126</v>
      </c>
      <c r="I58" s="130">
        <f t="shared" si="2"/>
        <v>2043900</v>
      </c>
      <c r="J58" s="52"/>
      <c r="K58" s="127"/>
      <c r="L58" s="120" t="s">
        <v>78</v>
      </c>
      <c r="M58" s="53"/>
      <c r="N58" s="53"/>
      <c r="O58" s="53"/>
      <c r="P58" s="53"/>
      <c r="Q58" s="53"/>
      <c r="R58" s="53"/>
      <c r="S58" s="186"/>
      <c r="T58" s="53"/>
      <c r="U58" s="53"/>
      <c r="V58" s="53"/>
      <c r="W58" s="192"/>
      <c r="X58" s="192"/>
      <c r="Y58" s="127"/>
      <c r="Z58" s="127"/>
      <c r="AA58" s="127"/>
      <c r="AB58" s="127"/>
      <c r="AC58" s="154"/>
      <c r="AD58" s="154"/>
      <c r="AE58" s="53"/>
      <c r="AF58" s="53"/>
      <c r="AG58" s="162"/>
      <c r="AH58" s="163"/>
      <c r="AI58" s="164"/>
      <c r="AJ58" s="165"/>
      <c r="AK58" s="163"/>
      <c r="AL58" s="163"/>
      <c r="AM58" s="166"/>
      <c r="AN58" s="160"/>
      <c r="AO58" s="160"/>
      <c r="AP58" s="161"/>
      <c r="AQ58" s="160"/>
      <c r="AR58" s="160"/>
      <c r="AS58" s="53"/>
      <c r="AT58" s="127"/>
      <c r="AU58" s="128"/>
      <c r="AV58" s="53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</row>
    <row r="59" spans="1:75" s="114" customFormat="1" ht="15.75" x14ac:dyDescent="0.25">
      <c r="A59" s="148" t="s">
        <v>124</v>
      </c>
      <c r="B59" s="114" t="s">
        <v>89</v>
      </c>
      <c r="C59" s="53"/>
      <c r="D59" s="114" t="s">
        <v>94</v>
      </c>
      <c r="E59" s="114">
        <v>59</v>
      </c>
      <c r="F59" s="198">
        <v>13500</v>
      </c>
      <c r="G59" s="117">
        <v>1.2</v>
      </c>
      <c r="H59" s="117">
        <v>49.25</v>
      </c>
      <c r="I59" s="130">
        <f t="shared" si="2"/>
        <v>796500</v>
      </c>
      <c r="J59" s="52"/>
      <c r="K59" s="127"/>
      <c r="L59" s="120" t="s">
        <v>102</v>
      </c>
      <c r="M59" s="53"/>
      <c r="N59" s="53"/>
      <c r="O59" s="53"/>
      <c r="P59" s="53"/>
      <c r="Q59" s="53"/>
      <c r="R59" s="53"/>
      <c r="S59" s="186"/>
      <c r="T59" s="53"/>
      <c r="U59" s="53"/>
      <c r="V59" s="53"/>
      <c r="W59" s="192"/>
      <c r="X59" s="192"/>
      <c r="Y59" s="127"/>
      <c r="Z59" s="127"/>
      <c r="AA59" s="127"/>
      <c r="AB59" s="127"/>
      <c r="AC59" s="154"/>
      <c r="AD59" s="154"/>
      <c r="AE59" s="53"/>
      <c r="AF59" s="53"/>
      <c r="AG59" s="162"/>
      <c r="AH59" s="163"/>
      <c r="AI59" s="164"/>
      <c r="AJ59" s="165"/>
      <c r="AK59" s="163"/>
      <c r="AL59" s="163"/>
      <c r="AM59" s="166"/>
      <c r="AN59" s="160"/>
      <c r="AO59" s="160"/>
      <c r="AP59" s="161"/>
      <c r="AQ59" s="160"/>
      <c r="AR59" s="160"/>
      <c r="AS59" s="53"/>
      <c r="AT59" s="127"/>
      <c r="AU59" s="128"/>
      <c r="AV59" s="53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</row>
    <row r="60" spans="1:75" s="132" customFormat="1" ht="15.75" x14ac:dyDescent="0.25">
      <c r="A60" s="148" t="s">
        <v>124</v>
      </c>
      <c r="B60" s="114" t="s">
        <v>86</v>
      </c>
      <c r="C60" s="53"/>
      <c r="D60" s="114" t="s">
        <v>111</v>
      </c>
      <c r="E60" s="114">
        <v>184.4</v>
      </c>
      <c r="F60" s="198">
        <v>13500</v>
      </c>
      <c r="G60" s="117">
        <v>1.2</v>
      </c>
      <c r="H60" s="117">
        <v>153.5</v>
      </c>
      <c r="I60" s="130">
        <f t="shared" si="2"/>
        <v>2489400</v>
      </c>
      <c r="J60" s="52"/>
      <c r="K60" s="127"/>
      <c r="L60" s="120" t="s">
        <v>125</v>
      </c>
      <c r="M60" s="53"/>
      <c r="N60" s="53"/>
      <c r="O60" s="53"/>
      <c r="P60" s="53"/>
      <c r="Q60" s="53"/>
      <c r="R60" s="53"/>
      <c r="S60" s="186"/>
      <c r="T60" s="53"/>
      <c r="U60" s="53"/>
      <c r="V60" s="53"/>
      <c r="W60" s="192"/>
      <c r="X60" s="192"/>
      <c r="Y60" s="127"/>
      <c r="Z60" s="127"/>
      <c r="AA60" s="127"/>
      <c r="AB60" s="127"/>
      <c r="AC60" s="154"/>
      <c r="AD60" s="154"/>
      <c r="AE60" s="53"/>
      <c r="AF60" s="53"/>
      <c r="AG60" s="162"/>
      <c r="AH60" s="163"/>
      <c r="AI60" s="164"/>
      <c r="AJ60" s="165"/>
      <c r="AK60" s="163"/>
      <c r="AL60" s="163"/>
      <c r="AM60" s="166"/>
      <c r="AN60" s="160"/>
      <c r="AO60" s="160"/>
      <c r="AP60" s="161"/>
      <c r="AQ60" s="160"/>
      <c r="AR60" s="160"/>
      <c r="AS60" s="53"/>
      <c r="AT60" s="127"/>
      <c r="AU60" s="128"/>
      <c r="AV60" s="53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</row>
    <row r="61" spans="1:75" s="114" customFormat="1" ht="15.75" x14ac:dyDescent="0.25">
      <c r="A61" s="148" t="s">
        <v>124</v>
      </c>
      <c r="C61" s="53"/>
      <c r="E61" s="114">
        <v>-78</v>
      </c>
      <c r="F61" s="201" t="s">
        <v>126</v>
      </c>
      <c r="G61" s="201"/>
      <c r="H61" s="201"/>
      <c r="I61" s="130"/>
      <c r="J61" s="52"/>
      <c r="K61" s="127"/>
      <c r="L61" s="120" t="s">
        <v>125</v>
      </c>
      <c r="M61" s="53"/>
      <c r="N61" s="53"/>
      <c r="O61" s="53"/>
      <c r="P61" s="53"/>
      <c r="Q61" s="53"/>
      <c r="R61" s="53"/>
      <c r="S61" s="190"/>
      <c r="T61" s="53"/>
      <c r="U61" s="53"/>
      <c r="V61" s="53"/>
      <c r="W61" s="192"/>
      <c r="X61" s="192"/>
      <c r="Y61" s="127"/>
      <c r="Z61" s="127"/>
      <c r="AA61" s="127"/>
      <c r="AB61" s="127"/>
      <c r="AC61" s="154"/>
      <c r="AD61" s="154"/>
      <c r="AE61" s="53"/>
      <c r="AF61" s="53"/>
      <c r="AG61" s="162"/>
      <c r="AH61" s="163"/>
      <c r="AI61" s="164"/>
      <c r="AJ61" s="165"/>
      <c r="AK61" s="163"/>
      <c r="AL61" s="163"/>
      <c r="AM61" s="166"/>
      <c r="AN61" s="160"/>
      <c r="AO61" s="160"/>
      <c r="AP61" s="161"/>
      <c r="AQ61" s="160"/>
      <c r="AR61" s="160"/>
      <c r="AS61" s="53"/>
      <c r="AT61" s="127"/>
      <c r="AU61" s="128"/>
      <c r="AV61" s="53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</row>
    <row r="62" spans="1:75" s="114" customFormat="1" ht="15.75" x14ac:dyDescent="0.25">
      <c r="A62" s="148"/>
      <c r="C62" s="53">
        <v>9</v>
      </c>
      <c r="E62" s="114">
        <v>78</v>
      </c>
      <c r="F62" s="198"/>
      <c r="G62" s="117"/>
      <c r="H62" s="117"/>
      <c r="I62" s="130"/>
      <c r="J62" s="52">
        <f>I63+I64+I65+I66+I67+I68</f>
        <v>31707400</v>
      </c>
      <c r="K62" s="127" t="s">
        <v>44</v>
      </c>
      <c r="L62" s="120"/>
      <c r="M62" s="53" t="s">
        <v>50</v>
      </c>
      <c r="N62" s="53" t="s">
        <v>104</v>
      </c>
      <c r="O62" s="53" t="s">
        <v>127</v>
      </c>
      <c r="P62" s="53" t="s">
        <v>53</v>
      </c>
      <c r="Q62" s="53" t="s">
        <v>128</v>
      </c>
      <c r="R62" s="53">
        <v>628.29999999999995</v>
      </c>
      <c r="S62" s="182">
        <f>R62/SUM(E62:E68)</f>
        <v>0.25952085914911194</v>
      </c>
      <c r="T62" s="53">
        <v>377.9</v>
      </c>
      <c r="U62" s="53">
        <v>16</v>
      </c>
      <c r="V62" s="53">
        <v>13</v>
      </c>
      <c r="W62" s="192">
        <f>T62/R62</f>
        <v>0.6014642686614674</v>
      </c>
      <c r="X62" s="192">
        <f>T62/SUM(E62:E68)</f>
        <v>0.1560925237505163</v>
      </c>
      <c r="Y62" s="127"/>
      <c r="Z62" s="127"/>
      <c r="AA62" s="127"/>
      <c r="AB62" s="127"/>
      <c r="AC62" s="154">
        <f>R62*400</f>
        <v>251319.99999999997</v>
      </c>
      <c r="AD62" s="154">
        <f>166*(E63+E64+E65+E66+E67+E68)</f>
        <v>388938</v>
      </c>
      <c r="AE62" s="52">
        <f>J62+AC62+AD62</f>
        <v>32347658</v>
      </c>
      <c r="AF62" s="181">
        <f>AE62/T62</f>
        <v>85598.459910029109</v>
      </c>
      <c r="AG62" s="162"/>
      <c r="AH62" s="163"/>
      <c r="AI62" s="164"/>
      <c r="AJ62" s="165"/>
      <c r="AK62" s="163"/>
      <c r="AL62" s="163"/>
      <c r="AM62" s="166"/>
      <c r="AN62" s="160"/>
      <c r="AO62" s="160"/>
      <c r="AP62" s="161"/>
      <c r="AQ62" s="160"/>
      <c r="AR62" s="160"/>
      <c r="AS62" s="53"/>
      <c r="AT62" s="127"/>
      <c r="AU62" s="128">
        <f>SUM(AD62+AC62+J62)</f>
        <v>32347658</v>
      </c>
      <c r="AV62" s="181">
        <f>SUM(AV50-AU62)</f>
        <v>116765815.66000003</v>
      </c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</row>
    <row r="63" spans="1:75" s="114" customFormat="1" ht="15.75" x14ac:dyDescent="0.25">
      <c r="A63" s="148" t="s">
        <v>129</v>
      </c>
      <c r="B63" s="114" t="s">
        <v>71</v>
      </c>
      <c r="C63" s="53"/>
      <c r="D63" s="114" t="s">
        <v>94</v>
      </c>
      <c r="E63" s="114">
        <v>262.5</v>
      </c>
      <c r="F63" s="198">
        <v>13500</v>
      </c>
      <c r="G63" s="117">
        <v>1.2</v>
      </c>
      <c r="H63" s="117">
        <f>E63/G63</f>
        <v>218.75</v>
      </c>
      <c r="I63" s="130">
        <f t="shared" ref="I63:I104" si="3">E63*F63</f>
        <v>3543750</v>
      </c>
      <c r="J63" s="52"/>
      <c r="K63" s="127"/>
      <c r="L63" s="151">
        <v>10</v>
      </c>
      <c r="M63" s="53"/>
      <c r="N63" s="53"/>
      <c r="O63" s="53"/>
      <c r="P63" s="53"/>
      <c r="Q63" s="53"/>
      <c r="R63" s="53"/>
      <c r="S63" s="186"/>
      <c r="T63" s="53"/>
      <c r="U63" s="53"/>
      <c r="V63" s="53"/>
      <c r="W63" s="192"/>
      <c r="X63" s="192"/>
      <c r="Y63" s="127"/>
      <c r="Z63" s="127"/>
      <c r="AA63" s="127"/>
      <c r="AB63" s="127"/>
      <c r="AC63" s="154"/>
      <c r="AD63" s="154"/>
      <c r="AE63" s="53"/>
      <c r="AF63" s="53"/>
      <c r="AG63" s="162"/>
      <c r="AH63" s="163"/>
      <c r="AI63" s="164"/>
      <c r="AJ63" s="165"/>
      <c r="AK63" s="163"/>
      <c r="AL63" s="163"/>
      <c r="AM63" s="166"/>
      <c r="AN63" s="160"/>
      <c r="AO63" s="160"/>
      <c r="AP63" s="161"/>
      <c r="AQ63" s="160"/>
      <c r="AR63" s="160"/>
      <c r="AS63" s="53"/>
      <c r="AT63" s="127"/>
      <c r="AU63" s="128"/>
      <c r="AV63" s="53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</row>
    <row r="64" spans="1:75" s="114" customFormat="1" ht="15.75" x14ac:dyDescent="0.25">
      <c r="A64" s="148" t="s">
        <v>129</v>
      </c>
      <c r="B64" s="114" t="s">
        <v>113</v>
      </c>
      <c r="C64" s="53"/>
      <c r="D64" s="114" t="s">
        <v>94</v>
      </c>
      <c r="E64" s="114">
        <v>446</v>
      </c>
      <c r="F64" s="198">
        <v>12800</v>
      </c>
      <c r="G64" s="117">
        <v>1.2</v>
      </c>
      <c r="H64" s="117">
        <v>371.5</v>
      </c>
      <c r="I64" s="130">
        <f t="shared" si="3"/>
        <v>5708800</v>
      </c>
      <c r="J64" s="52"/>
      <c r="K64" s="127"/>
      <c r="L64" s="120" t="s">
        <v>100</v>
      </c>
      <c r="M64" s="53"/>
      <c r="N64" s="53"/>
      <c r="O64" s="53"/>
      <c r="P64" s="53"/>
      <c r="Q64" s="53"/>
      <c r="R64" s="53"/>
      <c r="S64" s="186"/>
      <c r="T64" s="53"/>
      <c r="U64" s="53"/>
      <c r="V64" s="53"/>
      <c r="W64" s="192"/>
      <c r="X64" s="192"/>
      <c r="Y64" s="127"/>
      <c r="Z64" s="127"/>
      <c r="AA64" s="127"/>
      <c r="AB64" s="127"/>
      <c r="AC64" s="154"/>
      <c r="AD64" s="154"/>
      <c r="AE64" s="53"/>
      <c r="AF64" s="53"/>
      <c r="AG64" s="162"/>
      <c r="AH64" s="163"/>
      <c r="AI64" s="164"/>
      <c r="AJ64" s="165"/>
      <c r="AK64" s="163"/>
      <c r="AL64" s="163"/>
      <c r="AM64" s="166"/>
      <c r="AN64" s="160"/>
      <c r="AO64" s="160"/>
      <c r="AP64" s="161"/>
      <c r="AQ64" s="160"/>
      <c r="AR64" s="160"/>
      <c r="AS64" s="53"/>
      <c r="AT64" s="127"/>
      <c r="AU64" s="128"/>
      <c r="AV64" s="53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</row>
    <row r="65" spans="1:75" s="114" customFormat="1" ht="15.75" x14ac:dyDescent="0.25">
      <c r="A65" s="148" t="s">
        <v>129</v>
      </c>
      <c r="B65" s="114" t="s">
        <v>59</v>
      </c>
      <c r="C65" s="53"/>
      <c r="D65" s="114" t="s">
        <v>109</v>
      </c>
      <c r="E65" s="114">
        <v>642.5</v>
      </c>
      <c r="F65" s="198">
        <v>13800</v>
      </c>
      <c r="G65" s="117">
        <v>1.2</v>
      </c>
      <c r="H65" s="117">
        <v>535.25</v>
      </c>
      <c r="I65" s="130">
        <f t="shared" si="3"/>
        <v>8866500</v>
      </c>
      <c r="J65" s="52"/>
      <c r="K65" s="127"/>
      <c r="L65" s="151" t="s">
        <v>130</v>
      </c>
      <c r="M65" s="53"/>
      <c r="N65" s="53"/>
      <c r="O65" s="53"/>
      <c r="P65" s="53"/>
      <c r="Q65" s="53"/>
      <c r="R65" s="53"/>
      <c r="S65" s="186"/>
      <c r="T65" s="53"/>
      <c r="U65" s="53"/>
      <c r="V65" s="53"/>
      <c r="W65" s="192"/>
      <c r="X65" s="192"/>
      <c r="Y65" s="127"/>
      <c r="Z65" s="127"/>
      <c r="AA65" s="127"/>
      <c r="AB65" s="127"/>
      <c r="AC65" s="154"/>
      <c r="AD65" s="154"/>
      <c r="AE65" s="53"/>
      <c r="AF65" s="53"/>
      <c r="AG65" s="162"/>
      <c r="AH65" s="163"/>
      <c r="AI65" s="164"/>
      <c r="AJ65" s="165"/>
      <c r="AK65" s="163"/>
      <c r="AL65" s="163"/>
      <c r="AM65" s="166"/>
      <c r="AN65" s="160"/>
      <c r="AO65" s="160"/>
      <c r="AP65" s="161"/>
      <c r="AQ65" s="160"/>
      <c r="AR65" s="160"/>
      <c r="AS65" s="53"/>
      <c r="AT65" s="127"/>
      <c r="AU65" s="128"/>
      <c r="AV65" s="53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</row>
    <row r="66" spans="1:75" s="114" customFormat="1" ht="15.75" x14ac:dyDescent="0.25">
      <c r="A66" s="148" t="s">
        <v>129</v>
      </c>
      <c r="B66" s="114" t="s">
        <v>86</v>
      </c>
      <c r="C66" s="53"/>
      <c r="D66" s="114" t="s">
        <v>111</v>
      </c>
      <c r="E66" s="114">
        <v>785.4</v>
      </c>
      <c r="F66" s="198">
        <v>13750</v>
      </c>
      <c r="G66" s="117">
        <v>1.2</v>
      </c>
      <c r="H66" s="117">
        <f>E66/G66</f>
        <v>654.5</v>
      </c>
      <c r="I66" s="130">
        <f t="shared" si="3"/>
        <v>10799250</v>
      </c>
      <c r="J66" s="52"/>
      <c r="K66" s="127"/>
      <c r="L66" s="202" t="s">
        <v>131</v>
      </c>
      <c r="M66" s="53"/>
      <c r="N66" s="53"/>
      <c r="O66" s="53"/>
      <c r="P66" s="53"/>
      <c r="Q66" s="53"/>
      <c r="R66" s="53"/>
      <c r="S66" s="186"/>
      <c r="T66" s="53"/>
      <c r="U66" s="53"/>
      <c r="V66" s="53"/>
      <c r="W66" s="192"/>
      <c r="X66" s="192"/>
      <c r="Y66" s="127"/>
      <c r="Z66" s="127"/>
      <c r="AA66" s="127"/>
      <c r="AB66" s="127"/>
      <c r="AC66" s="154"/>
      <c r="AD66" s="154"/>
      <c r="AE66" s="53"/>
      <c r="AF66" s="53"/>
      <c r="AG66" s="162"/>
      <c r="AH66" s="163"/>
      <c r="AI66" s="164"/>
      <c r="AJ66" s="165"/>
      <c r="AK66" s="163"/>
      <c r="AL66" s="163"/>
      <c r="AM66" s="166"/>
      <c r="AN66" s="160"/>
      <c r="AO66" s="160"/>
      <c r="AP66" s="161"/>
      <c r="AQ66" s="160"/>
      <c r="AR66" s="160"/>
      <c r="AS66" s="53"/>
      <c r="AT66" s="127"/>
      <c r="AU66" s="128"/>
      <c r="AV66" s="53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</row>
    <row r="67" spans="1:75" s="114" customFormat="1" ht="15.75" x14ac:dyDescent="0.25">
      <c r="A67" s="148" t="s">
        <v>129</v>
      </c>
      <c r="B67" s="114" t="s">
        <v>89</v>
      </c>
      <c r="C67" s="53"/>
      <c r="D67" s="114" t="s">
        <v>94</v>
      </c>
      <c r="E67" s="114">
        <v>151.5</v>
      </c>
      <c r="F67" s="198">
        <v>13500</v>
      </c>
      <c r="G67" s="117">
        <v>1.2</v>
      </c>
      <c r="H67" s="117">
        <f>E67/G67</f>
        <v>126.25</v>
      </c>
      <c r="I67" s="130">
        <f t="shared" si="3"/>
        <v>2045250</v>
      </c>
      <c r="J67" s="52"/>
      <c r="K67" s="127"/>
      <c r="L67" s="120" t="s">
        <v>106</v>
      </c>
      <c r="M67" s="53"/>
      <c r="N67" s="53"/>
      <c r="O67" s="53"/>
      <c r="P67" s="53"/>
      <c r="Q67" s="53"/>
      <c r="R67" s="53"/>
      <c r="S67" s="186"/>
      <c r="T67" s="53"/>
      <c r="U67" s="53"/>
      <c r="V67" s="53"/>
      <c r="W67" s="192"/>
      <c r="X67" s="192"/>
      <c r="Y67" s="127"/>
      <c r="Z67" s="127"/>
      <c r="AA67" s="127"/>
      <c r="AB67" s="127"/>
      <c r="AC67" s="154"/>
      <c r="AD67" s="154"/>
      <c r="AE67" s="53"/>
      <c r="AF67" s="53"/>
      <c r="AG67" s="162"/>
      <c r="AH67" s="163"/>
      <c r="AI67" s="164"/>
      <c r="AJ67" s="165"/>
      <c r="AK67" s="163"/>
      <c r="AL67" s="163"/>
      <c r="AM67" s="166"/>
      <c r="AN67" s="160"/>
      <c r="AO67" s="160"/>
      <c r="AP67" s="161"/>
      <c r="AQ67" s="160"/>
      <c r="AR67" s="160"/>
      <c r="AS67" s="53"/>
      <c r="AT67" s="127"/>
      <c r="AU67" s="128"/>
      <c r="AV67" s="53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</row>
    <row r="68" spans="1:75" s="114" customFormat="1" ht="15.75" x14ac:dyDescent="0.25">
      <c r="A68" s="148" t="s">
        <v>129</v>
      </c>
      <c r="B68" s="114" t="s">
        <v>62</v>
      </c>
      <c r="C68" s="53"/>
      <c r="D68" s="114" t="s">
        <v>132</v>
      </c>
      <c r="E68" s="114">
        <v>55.1</v>
      </c>
      <c r="F68" s="198">
        <v>13500</v>
      </c>
      <c r="G68" s="117">
        <v>1.2</v>
      </c>
      <c r="H68" s="117">
        <v>46</v>
      </c>
      <c r="I68" s="130">
        <f t="shared" si="3"/>
        <v>743850</v>
      </c>
      <c r="J68" s="52"/>
      <c r="K68" s="127"/>
      <c r="L68" s="120" t="s">
        <v>102</v>
      </c>
      <c r="M68" s="53"/>
      <c r="N68" s="53"/>
      <c r="O68" s="53"/>
      <c r="P68" s="53"/>
      <c r="Q68" s="53"/>
      <c r="R68" s="53"/>
      <c r="S68" s="190"/>
      <c r="T68" s="53"/>
      <c r="U68" s="53"/>
      <c r="V68" s="53"/>
      <c r="W68" s="192"/>
      <c r="X68" s="192"/>
      <c r="Y68" s="127"/>
      <c r="Z68" s="127"/>
      <c r="AA68" s="127"/>
      <c r="AB68" s="127"/>
      <c r="AC68" s="154"/>
      <c r="AD68" s="154"/>
      <c r="AE68" s="53"/>
      <c r="AF68" s="53"/>
      <c r="AG68" s="162"/>
      <c r="AH68" s="163"/>
      <c r="AI68" s="164"/>
      <c r="AJ68" s="165"/>
      <c r="AK68" s="163"/>
      <c r="AL68" s="163"/>
      <c r="AM68" s="166"/>
      <c r="AN68" s="160"/>
      <c r="AO68" s="160"/>
      <c r="AP68" s="161"/>
      <c r="AQ68" s="160"/>
      <c r="AR68" s="160"/>
      <c r="AS68" s="53"/>
      <c r="AT68" s="127"/>
      <c r="AU68" s="128"/>
      <c r="AV68" s="53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</row>
    <row r="69" spans="1:75" s="114" customFormat="1" ht="15.75" x14ac:dyDescent="0.25">
      <c r="A69" s="148" t="s">
        <v>133</v>
      </c>
      <c r="B69" s="114" t="s">
        <v>47</v>
      </c>
      <c r="C69" s="53">
        <v>10</v>
      </c>
      <c r="D69" s="114" t="s">
        <v>108</v>
      </c>
      <c r="E69" s="114">
        <v>257.8</v>
      </c>
      <c r="F69" s="198">
        <v>13000</v>
      </c>
      <c r="G69" s="117">
        <v>1.2</v>
      </c>
      <c r="H69" s="117">
        <v>214.75</v>
      </c>
      <c r="I69" s="130">
        <f t="shared" si="3"/>
        <v>3351400</v>
      </c>
      <c r="J69" s="52">
        <f>I69+I70+I71+I72</f>
        <v>7117930</v>
      </c>
      <c r="K69" s="127" t="s">
        <v>44</v>
      </c>
      <c r="L69" s="120" t="s">
        <v>134</v>
      </c>
      <c r="M69" s="53" t="s">
        <v>50</v>
      </c>
      <c r="N69" s="53" t="s">
        <v>135</v>
      </c>
      <c r="O69" s="53" t="s">
        <v>136</v>
      </c>
      <c r="P69" s="53" t="s">
        <v>53</v>
      </c>
      <c r="Q69" s="53" t="s">
        <v>128</v>
      </c>
      <c r="R69" s="53">
        <v>125.5</v>
      </c>
      <c r="S69" s="182">
        <f>R69/SUM(E69:E72)</f>
        <v>0.22947522398976047</v>
      </c>
      <c r="T69" s="53">
        <v>80.2</v>
      </c>
      <c r="U69" s="53">
        <v>16</v>
      </c>
      <c r="V69" s="53">
        <v>12</v>
      </c>
      <c r="W69" s="192">
        <f>T69/R69</f>
        <v>0.63904382470119525</v>
      </c>
      <c r="X69" s="192">
        <f>T69/SUM(E69:E72)</f>
        <v>0.14664472481258001</v>
      </c>
      <c r="Y69" s="127"/>
      <c r="Z69" s="127"/>
      <c r="AA69" s="127"/>
      <c r="AB69" s="127"/>
      <c r="AC69" s="154">
        <f>R69*400</f>
        <v>50200</v>
      </c>
      <c r="AD69" s="154">
        <f>166*(E69+E70+E71+E72)</f>
        <v>90785.4</v>
      </c>
      <c r="AE69" s="52">
        <f>J69+AC69+AD69</f>
        <v>7258915.4000000004</v>
      </c>
      <c r="AF69" s="181">
        <f>AE69/T69</f>
        <v>90510.167082294269</v>
      </c>
      <c r="AG69" s="162"/>
      <c r="AH69" s="163"/>
      <c r="AI69" s="164"/>
      <c r="AJ69" s="165"/>
      <c r="AK69" s="163"/>
      <c r="AL69" s="163"/>
      <c r="AM69" s="166"/>
      <c r="AN69" s="160"/>
      <c r="AO69" s="160"/>
      <c r="AP69" s="161"/>
      <c r="AQ69" s="160"/>
      <c r="AR69" s="160"/>
      <c r="AS69" s="53"/>
      <c r="AT69" s="127"/>
      <c r="AU69" s="128">
        <f>SUM(AD69+AC69+J69)</f>
        <v>7258915.4000000004</v>
      </c>
      <c r="AV69" s="181">
        <f>SUM(AV62-AU69)</f>
        <v>109506900.26000002</v>
      </c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</row>
    <row r="70" spans="1:75" s="114" customFormat="1" ht="15.75" x14ac:dyDescent="0.25">
      <c r="A70" s="148" t="s">
        <v>133</v>
      </c>
      <c r="B70" s="114" t="s">
        <v>59</v>
      </c>
      <c r="C70" s="53"/>
      <c r="D70" s="114" t="s">
        <v>109</v>
      </c>
      <c r="E70" s="114">
        <v>113.7</v>
      </c>
      <c r="F70" s="198">
        <v>13800</v>
      </c>
      <c r="G70" s="117">
        <v>1.2</v>
      </c>
      <c r="H70" s="117">
        <f>E70/G70</f>
        <v>94.75</v>
      </c>
      <c r="I70" s="130">
        <f t="shared" si="3"/>
        <v>1569060</v>
      </c>
      <c r="J70" s="52"/>
      <c r="K70" s="127"/>
      <c r="L70" s="151">
        <v>27</v>
      </c>
      <c r="M70" s="53"/>
      <c r="N70" s="53"/>
      <c r="O70" s="53"/>
      <c r="P70" s="53"/>
      <c r="Q70" s="53"/>
      <c r="R70" s="53"/>
      <c r="S70" s="186"/>
      <c r="T70" s="53"/>
      <c r="U70" s="53"/>
      <c r="V70" s="53"/>
      <c r="W70" s="192"/>
      <c r="X70" s="192"/>
      <c r="Y70" s="127"/>
      <c r="Z70" s="127"/>
      <c r="AA70" s="127"/>
      <c r="AB70" s="127"/>
      <c r="AC70" s="154"/>
      <c r="AD70" s="154"/>
      <c r="AE70" s="53"/>
      <c r="AF70" s="53"/>
      <c r="AG70" s="162"/>
      <c r="AH70" s="163"/>
      <c r="AI70" s="164"/>
      <c r="AJ70" s="165"/>
      <c r="AK70" s="163"/>
      <c r="AL70" s="163"/>
      <c r="AM70" s="166"/>
      <c r="AN70" s="160"/>
      <c r="AO70" s="160"/>
      <c r="AP70" s="161"/>
      <c r="AQ70" s="160"/>
      <c r="AR70" s="160"/>
      <c r="AS70" s="53"/>
      <c r="AT70" s="127"/>
      <c r="AU70" s="128"/>
      <c r="AV70" s="53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</row>
    <row r="71" spans="1:75" s="114" customFormat="1" ht="15.75" x14ac:dyDescent="0.25">
      <c r="A71" s="148" t="s">
        <v>133</v>
      </c>
      <c r="B71" s="114" t="s">
        <v>62</v>
      </c>
      <c r="C71" s="53"/>
      <c r="D71" s="114" t="s">
        <v>132</v>
      </c>
      <c r="E71" s="114">
        <v>44.3</v>
      </c>
      <c r="F71" s="198">
        <v>13500</v>
      </c>
      <c r="G71" s="117">
        <v>1.2</v>
      </c>
      <c r="H71" s="117">
        <v>146</v>
      </c>
      <c r="I71" s="130">
        <f t="shared" si="3"/>
        <v>598050</v>
      </c>
      <c r="J71" s="52"/>
      <c r="K71" s="127"/>
      <c r="L71" s="203" t="s">
        <v>106</v>
      </c>
      <c r="M71" s="53"/>
      <c r="N71" s="53"/>
      <c r="O71" s="53"/>
      <c r="P71" s="53"/>
      <c r="Q71" s="53"/>
      <c r="R71" s="53"/>
      <c r="S71" s="186"/>
      <c r="T71" s="53"/>
      <c r="U71" s="53"/>
      <c r="V71" s="53"/>
      <c r="W71" s="192"/>
      <c r="X71" s="192"/>
      <c r="Y71" s="127"/>
      <c r="Z71" s="127"/>
      <c r="AA71" s="127"/>
      <c r="AB71" s="127"/>
      <c r="AC71" s="154"/>
      <c r="AD71" s="154"/>
      <c r="AE71" s="53"/>
      <c r="AF71" s="53"/>
      <c r="AG71" s="162"/>
      <c r="AH71" s="163"/>
      <c r="AI71" s="164"/>
      <c r="AJ71" s="165"/>
      <c r="AK71" s="163"/>
      <c r="AL71" s="163"/>
      <c r="AM71" s="166"/>
      <c r="AN71" s="160"/>
      <c r="AO71" s="160"/>
      <c r="AP71" s="161"/>
      <c r="AQ71" s="160"/>
      <c r="AR71" s="160"/>
      <c r="AS71" s="53"/>
      <c r="AT71" s="127"/>
      <c r="AU71" s="128"/>
      <c r="AV71" s="53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</row>
    <row r="72" spans="1:75" s="114" customFormat="1" ht="15.75" x14ac:dyDescent="0.25">
      <c r="A72" s="148" t="s">
        <v>133</v>
      </c>
      <c r="B72" s="114" t="s">
        <v>62</v>
      </c>
      <c r="C72" s="53"/>
      <c r="D72" s="114" t="s">
        <v>132</v>
      </c>
      <c r="E72" s="114">
        <v>131.1</v>
      </c>
      <c r="F72" s="198">
        <v>12200</v>
      </c>
      <c r="G72" s="117">
        <v>1.2</v>
      </c>
      <c r="H72" s="117">
        <f>E72/G72</f>
        <v>109.25</v>
      </c>
      <c r="I72" s="130">
        <f t="shared" si="3"/>
        <v>1599420</v>
      </c>
      <c r="J72" s="52"/>
      <c r="K72" s="127"/>
      <c r="L72" s="120" t="s">
        <v>112</v>
      </c>
      <c r="M72" s="53"/>
      <c r="N72" s="53"/>
      <c r="O72" s="53"/>
      <c r="P72" s="53"/>
      <c r="Q72" s="53"/>
      <c r="R72" s="53"/>
      <c r="S72" s="190"/>
      <c r="T72" s="53"/>
      <c r="U72" s="53"/>
      <c r="V72" s="53"/>
      <c r="W72" s="192"/>
      <c r="X72" s="192"/>
      <c r="Y72" s="127"/>
      <c r="Z72" s="127"/>
      <c r="AA72" s="127"/>
      <c r="AB72" s="127"/>
      <c r="AC72" s="154"/>
      <c r="AD72" s="154"/>
      <c r="AE72" s="53"/>
      <c r="AF72" s="53"/>
      <c r="AG72" s="162"/>
      <c r="AH72" s="163"/>
      <c r="AI72" s="164"/>
      <c r="AJ72" s="165"/>
      <c r="AK72" s="163"/>
      <c r="AL72" s="163"/>
      <c r="AM72" s="166"/>
      <c r="AN72" s="160"/>
      <c r="AO72" s="160"/>
      <c r="AP72" s="161"/>
      <c r="AQ72" s="160"/>
      <c r="AR72" s="160"/>
      <c r="AS72" s="53"/>
      <c r="AT72" s="127"/>
      <c r="AU72" s="128"/>
      <c r="AV72" s="53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</row>
    <row r="73" spans="1:75" s="114" customFormat="1" ht="15.75" x14ac:dyDescent="0.25">
      <c r="A73" s="148" t="s">
        <v>137</v>
      </c>
      <c r="B73" s="114" t="s">
        <v>59</v>
      </c>
      <c r="C73" s="53">
        <v>11</v>
      </c>
      <c r="D73" s="114" t="s">
        <v>109</v>
      </c>
      <c r="E73" s="114">
        <v>310.7</v>
      </c>
      <c r="F73" s="198">
        <v>13800</v>
      </c>
      <c r="G73" s="117">
        <v>1.2</v>
      </c>
      <c r="H73" s="117">
        <v>259</v>
      </c>
      <c r="I73" s="130">
        <f t="shared" si="3"/>
        <v>4287660</v>
      </c>
      <c r="J73" s="52">
        <f>I73+I74+I75+I76</f>
        <v>6790560</v>
      </c>
      <c r="K73" s="127" t="s">
        <v>44</v>
      </c>
      <c r="L73" s="151" t="s">
        <v>138</v>
      </c>
      <c r="M73" s="53" t="s">
        <v>50</v>
      </c>
      <c r="N73" s="53" t="s">
        <v>105</v>
      </c>
      <c r="O73" s="53" t="s">
        <v>139</v>
      </c>
      <c r="P73" s="53" t="s">
        <v>53</v>
      </c>
      <c r="Q73" s="53" t="s">
        <v>140</v>
      </c>
      <c r="R73" s="53">
        <v>134.1</v>
      </c>
      <c r="S73" s="182">
        <f>R73/SUM(E73:E76)</f>
        <v>0.27030840556339447</v>
      </c>
      <c r="T73" s="53">
        <v>81.7</v>
      </c>
      <c r="U73" s="127">
        <v>16</v>
      </c>
      <c r="V73" s="127">
        <v>12</v>
      </c>
      <c r="W73" s="192">
        <f>T73/R73</f>
        <v>0.60924683072334085</v>
      </c>
      <c r="X73" s="192">
        <f>T73/SUM(E73:E76)</f>
        <v>0.16468453940737754</v>
      </c>
      <c r="Y73" s="127"/>
      <c r="Z73" s="127"/>
      <c r="AA73" s="127"/>
      <c r="AB73" s="127"/>
      <c r="AC73" s="154">
        <f>R73*400</f>
        <v>53640</v>
      </c>
      <c r="AD73" s="154">
        <f>166*(E73+E74+E75+E76)</f>
        <v>82352.600000000006</v>
      </c>
      <c r="AE73" s="52">
        <f>J73+AC73+AD73</f>
        <v>6926552.5999999996</v>
      </c>
      <c r="AF73" s="181">
        <f>AE73/T73</f>
        <v>84780.325581395344</v>
      </c>
      <c r="AG73" s="162"/>
      <c r="AH73" s="163"/>
      <c r="AI73" s="164"/>
      <c r="AJ73" s="165"/>
      <c r="AK73" s="163"/>
      <c r="AL73" s="163"/>
      <c r="AM73" s="166"/>
      <c r="AN73" s="160"/>
      <c r="AO73" s="160"/>
      <c r="AP73" s="161"/>
      <c r="AQ73" s="160"/>
      <c r="AR73" s="160"/>
      <c r="AS73" s="53"/>
      <c r="AT73" s="127"/>
      <c r="AU73" s="128">
        <f>SUM(AD73+AC73+J73)</f>
        <v>6926552.5999999996</v>
      </c>
      <c r="AV73" s="181">
        <f>SUM(AV69-AU73)</f>
        <v>102580347.66000003</v>
      </c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</row>
    <row r="74" spans="1:75" s="114" customFormat="1" ht="15.75" x14ac:dyDescent="0.25">
      <c r="A74" s="148" t="s">
        <v>137</v>
      </c>
      <c r="B74" s="114" t="s">
        <v>62</v>
      </c>
      <c r="C74" s="53"/>
      <c r="D74" s="114" t="s">
        <v>132</v>
      </c>
      <c r="E74" s="114">
        <v>36.799999999999997</v>
      </c>
      <c r="F74" s="198">
        <v>13500</v>
      </c>
      <c r="G74" s="117">
        <v>1.2</v>
      </c>
      <c r="H74" s="117">
        <v>30.5</v>
      </c>
      <c r="I74" s="130">
        <f t="shared" si="3"/>
        <v>496799.99999999994</v>
      </c>
      <c r="J74" s="52"/>
      <c r="K74" s="127"/>
      <c r="L74" s="120" t="s">
        <v>79</v>
      </c>
      <c r="M74" s="53"/>
      <c r="N74" s="53"/>
      <c r="O74" s="53"/>
      <c r="P74" s="53"/>
      <c r="Q74" s="53"/>
      <c r="R74" s="53"/>
      <c r="S74" s="186"/>
      <c r="T74" s="53"/>
      <c r="U74" s="127"/>
      <c r="V74" s="127"/>
      <c r="W74" s="192"/>
      <c r="X74" s="192"/>
      <c r="Y74" s="127"/>
      <c r="Z74" s="127"/>
      <c r="AA74" s="127"/>
      <c r="AB74" s="127"/>
      <c r="AC74" s="154"/>
      <c r="AD74" s="154"/>
      <c r="AE74" s="53"/>
      <c r="AF74" s="53"/>
      <c r="AG74" s="162"/>
      <c r="AH74" s="163"/>
      <c r="AI74" s="164"/>
      <c r="AJ74" s="165"/>
      <c r="AK74" s="163"/>
      <c r="AL74" s="163"/>
      <c r="AM74" s="166"/>
      <c r="AN74" s="160"/>
      <c r="AO74" s="160"/>
      <c r="AP74" s="161"/>
      <c r="AQ74" s="160"/>
      <c r="AR74" s="160"/>
      <c r="AS74" s="53"/>
      <c r="AT74" s="127"/>
      <c r="AU74" s="128"/>
      <c r="AV74" s="53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</row>
    <row r="75" spans="1:75" s="114" customFormat="1" ht="15.75" x14ac:dyDescent="0.25">
      <c r="A75" s="148" t="s">
        <v>137</v>
      </c>
      <c r="B75" s="114" t="s">
        <v>71</v>
      </c>
      <c r="C75" s="53"/>
      <c r="D75" s="114" t="s">
        <v>94</v>
      </c>
      <c r="E75" s="114">
        <v>32.200000000000003</v>
      </c>
      <c r="F75" s="198">
        <v>13500</v>
      </c>
      <c r="G75" s="117">
        <v>1.2</v>
      </c>
      <c r="H75" s="117">
        <v>26.75</v>
      </c>
      <c r="I75" s="130">
        <f t="shared" si="3"/>
        <v>434700.00000000006</v>
      </c>
      <c r="J75" s="52"/>
      <c r="K75" s="127"/>
      <c r="L75" s="151">
        <v>11</v>
      </c>
      <c r="M75" s="53"/>
      <c r="N75" s="53"/>
      <c r="O75" s="53"/>
      <c r="P75" s="53"/>
      <c r="Q75" s="53"/>
      <c r="R75" s="53"/>
      <c r="S75" s="186"/>
      <c r="T75" s="53"/>
      <c r="U75" s="127"/>
      <c r="V75" s="127"/>
      <c r="W75" s="192"/>
      <c r="X75" s="192"/>
      <c r="Y75" s="127"/>
      <c r="Z75" s="127"/>
      <c r="AA75" s="127"/>
      <c r="AB75" s="127"/>
      <c r="AC75" s="154"/>
      <c r="AD75" s="154"/>
      <c r="AE75" s="53"/>
      <c r="AF75" s="53"/>
      <c r="AG75" s="162"/>
      <c r="AH75" s="163"/>
      <c r="AI75" s="164"/>
      <c r="AJ75" s="165"/>
      <c r="AK75" s="163"/>
      <c r="AL75" s="163"/>
      <c r="AM75" s="166"/>
      <c r="AN75" s="160"/>
      <c r="AO75" s="160"/>
      <c r="AP75" s="161"/>
      <c r="AQ75" s="160"/>
      <c r="AR75" s="160"/>
      <c r="AS75" s="53"/>
      <c r="AT75" s="127"/>
      <c r="AU75" s="128"/>
      <c r="AV75" s="53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</row>
    <row r="76" spans="1:75" s="114" customFormat="1" ht="15.75" x14ac:dyDescent="0.25">
      <c r="A76" s="148" t="s">
        <v>137</v>
      </c>
      <c r="B76" s="114" t="s">
        <v>89</v>
      </c>
      <c r="C76" s="53"/>
      <c r="D76" s="114" t="s">
        <v>94</v>
      </c>
      <c r="E76" s="114">
        <v>116.4</v>
      </c>
      <c r="F76" s="198">
        <v>13500</v>
      </c>
      <c r="G76" s="117">
        <v>1.2</v>
      </c>
      <c r="H76" s="117">
        <f t="shared" ref="H76:H81" si="4">E76/G76</f>
        <v>97.000000000000014</v>
      </c>
      <c r="I76" s="130">
        <f t="shared" si="3"/>
        <v>1571400</v>
      </c>
      <c r="J76" s="52"/>
      <c r="K76" s="127"/>
      <c r="L76" s="120" t="s">
        <v>112</v>
      </c>
      <c r="M76" s="53"/>
      <c r="N76" s="53"/>
      <c r="O76" s="53"/>
      <c r="P76" s="53"/>
      <c r="Q76" s="53"/>
      <c r="R76" s="53"/>
      <c r="S76" s="190"/>
      <c r="T76" s="53"/>
      <c r="U76" s="127"/>
      <c r="V76" s="127"/>
      <c r="W76" s="192"/>
      <c r="X76" s="192"/>
      <c r="Y76" s="127"/>
      <c r="Z76" s="127"/>
      <c r="AA76" s="127"/>
      <c r="AB76" s="127"/>
      <c r="AC76" s="154"/>
      <c r="AD76" s="154"/>
      <c r="AE76" s="53"/>
      <c r="AF76" s="53"/>
      <c r="AG76" s="162"/>
      <c r="AH76" s="163"/>
      <c r="AI76" s="164"/>
      <c r="AJ76" s="165"/>
      <c r="AK76" s="163"/>
      <c r="AL76" s="163"/>
      <c r="AM76" s="166"/>
      <c r="AN76" s="160"/>
      <c r="AO76" s="160"/>
      <c r="AP76" s="161"/>
      <c r="AQ76" s="160"/>
      <c r="AR76" s="160"/>
      <c r="AS76" s="53"/>
      <c r="AT76" s="127"/>
      <c r="AU76" s="128"/>
      <c r="AV76" s="53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</row>
    <row r="77" spans="1:75" s="114" customFormat="1" x14ac:dyDescent="0.25">
      <c r="A77" s="114" t="s">
        <v>141</v>
      </c>
      <c r="B77" s="114" t="s">
        <v>62</v>
      </c>
      <c r="C77" s="53">
        <v>12</v>
      </c>
      <c r="D77" s="114" t="s">
        <v>132</v>
      </c>
      <c r="E77" s="114">
        <v>18.8</v>
      </c>
      <c r="F77" s="204">
        <v>13500</v>
      </c>
      <c r="G77" s="117">
        <v>1.2</v>
      </c>
      <c r="H77" s="117">
        <f t="shared" si="4"/>
        <v>15.666666666666668</v>
      </c>
      <c r="I77" s="130">
        <f t="shared" si="3"/>
        <v>253800</v>
      </c>
      <c r="J77" s="52">
        <f>SUM(I77+I78+I79+I80+I81)</f>
        <v>8467770</v>
      </c>
      <c r="K77" s="53" t="s">
        <v>44</v>
      </c>
      <c r="L77" s="151">
        <v>9</v>
      </c>
      <c r="M77" s="53" t="s">
        <v>72</v>
      </c>
      <c r="N77" s="53" t="s">
        <v>142</v>
      </c>
      <c r="O77" s="53" t="s">
        <v>143</v>
      </c>
      <c r="P77" s="53" t="s">
        <v>53</v>
      </c>
      <c r="Q77" s="53" t="s">
        <v>144</v>
      </c>
      <c r="R77" s="53">
        <v>193.1</v>
      </c>
      <c r="S77" s="140">
        <f>R77/SUM(E77:E81)</f>
        <v>0.31175330965450437</v>
      </c>
      <c r="T77" s="152">
        <v>118.2</v>
      </c>
      <c r="U77" s="127" t="s">
        <v>145</v>
      </c>
      <c r="V77" s="127">
        <v>13</v>
      </c>
      <c r="W77" s="205">
        <f>T77/R77</f>
        <v>0.61211807353702752</v>
      </c>
      <c r="X77" s="205">
        <f>T77/SUM(E77:E81)</f>
        <v>0.19082983532450759</v>
      </c>
      <c r="Y77" s="127"/>
      <c r="Z77" s="127"/>
      <c r="AA77" s="127"/>
      <c r="AB77" s="127"/>
      <c r="AC77" s="206">
        <f>R77*400</f>
        <v>77240</v>
      </c>
      <c r="AD77" s="206">
        <f>166*(E77+E78+E79+E80+E81)</f>
        <v>102820.4</v>
      </c>
      <c r="AE77" s="207">
        <f>AD77+AC77+J77</f>
        <v>8647830.4000000004</v>
      </c>
      <c r="AF77" s="208">
        <f>AE77/T77</f>
        <v>73162.693739424707</v>
      </c>
      <c r="AG77" s="162"/>
      <c r="AH77" s="163"/>
      <c r="AI77" s="164"/>
      <c r="AJ77" s="165"/>
      <c r="AK77" s="163"/>
      <c r="AL77" s="163"/>
      <c r="AM77" s="166"/>
      <c r="AN77" s="160"/>
      <c r="AO77" s="160"/>
      <c r="AP77" s="161"/>
      <c r="AQ77" s="160"/>
      <c r="AR77" s="160"/>
      <c r="AS77" s="53"/>
      <c r="AT77" s="127"/>
      <c r="AU77" s="128">
        <f>SUM(AD77+AC77+J77)</f>
        <v>8647830.4000000004</v>
      </c>
      <c r="AV77" s="181">
        <f>SUM(AV73-AU77)</f>
        <v>93932517.26000002</v>
      </c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</row>
    <row r="78" spans="1:75" s="114" customFormat="1" x14ac:dyDescent="0.25">
      <c r="A78" s="114" t="s">
        <v>141</v>
      </c>
      <c r="B78" s="114" t="s">
        <v>96</v>
      </c>
      <c r="C78" s="53"/>
      <c r="D78" s="114" t="s">
        <v>109</v>
      </c>
      <c r="E78" s="114">
        <v>63.8</v>
      </c>
      <c r="F78" s="204">
        <v>13800</v>
      </c>
      <c r="G78" s="117">
        <v>1.2</v>
      </c>
      <c r="H78" s="117">
        <f t="shared" si="4"/>
        <v>53.166666666666664</v>
      </c>
      <c r="I78" s="130">
        <f t="shared" si="3"/>
        <v>880440</v>
      </c>
      <c r="J78" s="52"/>
      <c r="K78" s="53"/>
      <c r="L78" s="151" t="s">
        <v>146</v>
      </c>
      <c r="M78" s="53"/>
      <c r="N78" s="53"/>
      <c r="O78" s="53"/>
      <c r="P78" s="53"/>
      <c r="Q78" s="53"/>
      <c r="R78" s="53"/>
      <c r="S78" s="209"/>
      <c r="T78" s="152"/>
      <c r="U78" s="127"/>
      <c r="V78" s="127"/>
      <c r="W78" s="205"/>
      <c r="X78" s="205"/>
      <c r="Y78" s="127"/>
      <c r="Z78" s="127"/>
      <c r="AA78" s="127"/>
      <c r="AB78" s="127"/>
      <c r="AC78" s="206"/>
      <c r="AD78" s="206"/>
      <c r="AE78" s="127"/>
      <c r="AF78" s="127"/>
      <c r="AG78" s="162"/>
      <c r="AH78" s="163"/>
      <c r="AI78" s="164"/>
      <c r="AJ78" s="165"/>
      <c r="AK78" s="163"/>
      <c r="AL78" s="163"/>
      <c r="AM78" s="166"/>
      <c r="AN78" s="160"/>
      <c r="AO78" s="160"/>
      <c r="AP78" s="161"/>
      <c r="AQ78" s="160"/>
      <c r="AR78" s="160"/>
      <c r="AS78" s="53"/>
      <c r="AT78" s="127"/>
      <c r="AU78" s="128"/>
      <c r="AV78" s="181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</row>
    <row r="79" spans="1:75" s="114" customFormat="1" x14ac:dyDescent="0.25">
      <c r="A79" s="114" t="s">
        <v>147</v>
      </c>
      <c r="B79" s="114" t="s">
        <v>120</v>
      </c>
      <c r="C79" s="53"/>
      <c r="D79" s="114" t="s">
        <v>94</v>
      </c>
      <c r="E79" s="114">
        <v>144.1</v>
      </c>
      <c r="F79" s="204">
        <v>13500</v>
      </c>
      <c r="G79" s="117">
        <v>1.2</v>
      </c>
      <c r="H79" s="117">
        <f t="shared" si="4"/>
        <v>120.08333333333333</v>
      </c>
      <c r="I79" s="130">
        <f t="shared" si="3"/>
        <v>1945350</v>
      </c>
      <c r="J79" s="52"/>
      <c r="K79" s="53"/>
      <c r="L79" s="151">
        <v>12</v>
      </c>
      <c r="M79" s="53"/>
      <c r="N79" s="53"/>
      <c r="O79" s="53"/>
      <c r="P79" s="53"/>
      <c r="Q79" s="53"/>
      <c r="R79" s="53"/>
      <c r="S79" s="209"/>
      <c r="T79" s="152"/>
      <c r="U79" s="127"/>
      <c r="V79" s="127"/>
      <c r="W79" s="205"/>
      <c r="X79" s="205"/>
      <c r="Y79" s="127"/>
      <c r="Z79" s="127"/>
      <c r="AA79" s="127"/>
      <c r="AB79" s="127"/>
      <c r="AC79" s="206"/>
      <c r="AD79" s="206"/>
      <c r="AE79" s="127"/>
      <c r="AF79" s="127"/>
      <c r="AG79" s="162"/>
      <c r="AH79" s="163"/>
      <c r="AI79" s="164"/>
      <c r="AJ79" s="165"/>
      <c r="AK79" s="163"/>
      <c r="AL79" s="163"/>
      <c r="AM79" s="166"/>
      <c r="AN79" s="160"/>
      <c r="AO79" s="160"/>
      <c r="AP79" s="161"/>
      <c r="AQ79" s="160"/>
      <c r="AR79" s="160"/>
      <c r="AS79" s="53"/>
      <c r="AT79" s="127"/>
      <c r="AU79" s="128"/>
      <c r="AV79" s="181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</row>
    <row r="80" spans="1:75" s="114" customFormat="1" ht="15.75" x14ac:dyDescent="0.25">
      <c r="A80" s="114" t="s">
        <v>147</v>
      </c>
      <c r="B80" s="114" t="s">
        <v>96</v>
      </c>
      <c r="C80" s="53"/>
      <c r="D80" s="114" t="s">
        <v>109</v>
      </c>
      <c r="E80" s="114">
        <v>289.10000000000002</v>
      </c>
      <c r="F80" s="198">
        <v>13800</v>
      </c>
      <c r="G80" s="117">
        <v>1.2</v>
      </c>
      <c r="H80" s="117">
        <f t="shared" si="4"/>
        <v>240.91666666666669</v>
      </c>
      <c r="I80" s="130">
        <f t="shared" si="3"/>
        <v>3989580.0000000005</v>
      </c>
      <c r="J80" s="52"/>
      <c r="K80" s="53"/>
      <c r="L80" s="151" t="s">
        <v>148</v>
      </c>
      <c r="M80" s="53"/>
      <c r="N80" s="53"/>
      <c r="O80" s="53"/>
      <c r="P80" s="53"/>
      <c r="Q80" s="53"/>
      <c r="R80" s="53"/>
      <c r="S80" s="209"/>
      <c r="T80" s="152"/>
      <c r="U80" s="127"/>
      <c r="V80" s="127"/>
      <c r="W80" s="205"/>
      <c r="X80" s="205"/>
      <c r="Y80" s="127"/>
      <c r="Z80" s="127"/>
      <c r="AA80" s="127"/>
      <c r="AB80" s="127"/>
      <c r="AC80" s="206"/>
      <c r="AD80" s="206"/>
      <c r="AE80" s="127"/>
      <c r="AF80" s="127"/>
      <c r="AG80" s="162"/>
      <c r="AH80" s="163"/>
      <c r="AI80" s="164"/>
      <c r="AJ80" s="165"/>
      <c r="AK80" s="163"/>
      <c r="AL80" s="163"/>
      <c r="AM80" s="166"/>
      <c r="AN80" s="160"/>
      <c r="AO80" s="160"/>
      <c r="AP80" s="161"/>
      <c r="AQ80" s="160"/>
      <c r="AR80" s="160"/>
      <c r="AS80" s="53"/>
      <c r="AT80" s="127"/>
      <c r="AU80" s="128"/>
      <c r="AV80" s="181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</row>
    <row r="81" spans="1:55" x14ac:dyDescent="0.25">
      <c r="A81" s="114" t="s">
        <v>147</v>
      </c>
      <c r="B81" s="114" t="s">
        <v>149</v>
      </c>
      <c r="C81" s="53"/>
      <c r="D81" s="114" t="s">
        <v>132</v>
      </c>
      <c r="E81" s="114">
        <v>103.6</v>
      </c>
      <c r="F81" s="204">
        <v>13500</v>
      </c>
      <c r="G81" s="117">
        <v>1.2</v>
      </c>
      <c r="H81" s="117">
        <f t="shared" si="4"/>
        <v>86.333333333333329</v>
      </c>
      <c r="I81" s="130">
        <f t="shared" si="3"/>
        <v>1398600</v>
      </c>
      <c r="J81" s="52"/>
      <c r="K81" s="53"/>
      <c r="L81" s="151">
        <v>10</v>
      </c>
      <c r="M81" s="53"/>
      <c r="N81" s="53"/>
      <c r="O81" s="53"/>
      <c r="P81" s="53"/>
      <c r="Q81" s="53"/>
      <c r="R81" s="53"/>
      <c r="S81" s="171"/>
      <c r="T81" s="152"/>
      <c r="U81" s="127"/>
      <c r="V81" s="127"/>
      <c r="W81" s="205"/>
      <c r="X81" s="205"/>
      <c r="Y81" s="127"/>
      <c r="Z81" s="127"/>
      <c r="AA81" s="127"/>
      <c r="AB81" s="127"/>
      <c r="AC81" s="206"/>
      <c r="AD81" s="206"/>
      <c r="AE81" s="127"/>
      <c r="AF81" s="127"/>
      <c r="AG81" s="162"/>
      <c r="AH81" s="163"/>
      <c r="AI81" s="164"/>
      <c r="AJ81" s="165"/>
      <c r="AK81" s="163"/>
      <c r="AL81" s="163"/>
      <c r="AM81" s="166"/>
      <c r="AN81" s="160"/>
      <c r="AO81" s="160"/>
      <c r="AP81" s="161"/>
      <c r="AQ81" s="160"/>
      <c r="AR81" s="160"/>
      <c r="AS81" s="53"/>
      <c r="AT81" s="127"/>
      <c r="AU81" s="128"/>
      <c r="AV81" s="181"/>
    </row>
    <row r="82" spans="1:55" ht="15.75" x14ac:dyDescent="0.25">
      <c r="A82" s="210" t="s">
        <v>140</v>
      </c>
      <c r="B82" s="114" t="s">
        <v>114</v>
      </c>
      <c r="C82" s="114" t="s">
        <v>150</v>
      </c>
      <c r="D82" s="114" t="s">
        <v>74</v>
      </c>
      <c r="E82" s="114">
        <v>542.6</v>
      </c>
      <c r="F82" s="150">
        <v>13500</v>
      </c>
      <c r="G82" s="114">
        <v>1.22</v>
      </c>
      <c r="H82" s="168">
        <f>E82*G82</f>
        <v>661.97199999999998</v>
      </c>
      <c r="I82" s="130">
        <f t="shared" si="3"/>
        <v>7325100</v>
      </c>
      <c r="J82" s="193">
        <f>I82</f>
        <v>7325100</v>
      </c>
      <c r="K82" s="177" t="s">
        <v>44</v>
      </c>
      <c r="L82" s="114"/>
      <c r="M82" s="177" t="s">
        <v>116</v>
      </c>
      <c r="N82" s="177"/>
      <c r="O82" s="177" t="s">
        <v>116</v>
      </c>
      <c r="P82" s="177"/>
      <c r="Q82" s="177"/>
      <c r="R82" s="177">
        <f>61.2+88.8</f>
        <v>150</v>
      </c>
      <c r="S82" s="194">
        <f>R82/E82</f>
        <v>0.27644673792849245</v>
      </c>
      <c r="T82" s="177">
        <v>88.8</v>
      </c>
      <c r="U82" s="177">
        <v>16</v>
      </c>
      <c r="V82" s="177">
        <v>12.3</v>
      </c>
      <c r="W82" s="177">
        <f>T82/R82</f>
        <v>0.59199999999999997</v>
      </c>
      <c r="X82" s="195">
        <f>T82/E82</f>
        <v>0.16365646885366752</v>
      </c>
      <c r="Y82" s="114"/>
      <c r="Z82" s="114"/>
      <c r="AA82" s="114"/>
      <c r="AB82" s="114"/>
      <c r="AC82" s="196">
        <f>R82*400</f>
        <v>60000</v>
      </c>
      <c r="AD82" s="196">
        <f>E82*166</f>
        <v>90071.6</v>
      </c>
      <c r="AE82" s="196">
        <f>AD82+AC82+J82</f>
        <v>7475171.5999999996</v>
      </c>
      <c r="AF82" s="196">
        <f>AE82/T82</f>
        <v>84179.860360360355</v>
      </c>
      <c r="AG82" s="162"/>
      <c r="AH82" s="163"/>
      <c r="AI82" s="164"/>
      <c r="AJ82" s="165"/>
      <c r="AK82" s="163"/>
      <c r="AL82" s="163"/>
      <c r="AM82" s="166"/>
      <c r="AN82" s="160"/>
      <c r="AO82" s="160"/>
      <c r="AP82" s="161"/>
      <c r="AQ82" s="160"/>
      <c r="AR82" s="160"/>
      <c r="AS82" s="114"/>
      <c r="AT82" s="114"/>
      <c r="AU82" s="174">
        <f>SUM(AD82+AC82+J82)</f>
        <v>7475171.5999999996</v>
      </c>
      <c r="AV82" s="197">
        <f>SUM(AV77-AU82)</f>
        <v>86457345.660000026</v>
      </c>
    </row>
    <row r="83" spans="1:55" ht="15.75" x14ac:dyDescent="0.25">
      <c r="A83" s="210" t="s">
        <v>140</v>
      </c>
      <c r="B83" s="114" t="s">
        <v>151</v>
      </c>
      <c r="C83" s="114" t="s">
        <v>152</v>
      </c>
      <c r="D83" s="114" t="s">
        <v>63</v>
      </c>
      <c r="E83" s="114">
        <v>560.29999999999995</v>
      </c>
      <c r="F83" s="150">
        <v>13500</v>
      </c>
      <c r="G83" s="114">
        <v>1.2</v>
      </c>
      <c r="H83" s="168">
        <f>E83*G83</f>
        <v>672.3599999999999</v>
      </c>
      <c r="I83" s="130">
        <f t="shared" si="3"/>
        <v>7564049.9999999991</v>
      </c>
      <c r="J83" s="193">
        <f>I83</f>
        <v>7564049.9999999991</v>
      </c>
      <c r="K83" s="177" t="s">
        <v>44</v>
      </c>
      <c r="L83" s="114"/>
      <c r="M83" s="177" t="s">
        <v>153</v>
      </c>
      <c r="N83" s="177"/>
      <c r="O83" s="177" t="s">
        <v>65</v>
      </c>
      <c r="P83" s="177"/>
      <c r="Q83" s="177"/>
      <c r="R83" s="177">
        <f>61.4+T83</f>
        <v>150.4</v>
      </c>
      <c r="S83" s="194">
        <f>R83/E83</f>
        <v>0.26842762805639842</v>
      </c>
      <c r="T83" s="177">
        <v>89</v>
      </c>
      <c r="U83" s="177" t="s">
        <v>154</v>
      </c>
      <c r="V83" s="177">
        <v>10</v>
      </c>
      <c r="W83" s="177">
        <f>T83/R83</f>
        <v>0.5917553191489362</v>
      </c>
      <c r="X83" s="195">
        <f>T83/E83</f>
        <v>0.15884347670890595</v>
      </c>
      <c r="Y83" s="114"/>
      <c r="Z83" s="114"/>
      <c r="AA83" s="114"/>
      <c r="AB83" s="114"/>
      <c r="AC83" s="196">
        <f>T83*400</f>
        <v>35600</v>
      </c>
      <c r="AD83" s="196">
        <f>E83*166</f>
        <v>93009.799999999988</v>
      </c>
      <c r="AE83" s="196">
        <f>AD83+AC83+J83</f>
        <v>7692659.7999999989</v>
      </c>
      <c r="AF83" s="196">
        <f>AE83/T83</f>
        <v>86434.37977528089</v>
      </c>
      <c r="AG83" s="162"/>
      <c r="AH83" s="163"/>
      <c r="AI83" s="164"/>
      <c r="AJ83" s="165"/>
      <c r="AK83" s="163"/>
      <c r="AL83" s="163"/>
      <c r="AM83" s="166"/>
      <c r="AN83" s="160"/>
      <c r="AO83" s="160"/>
      <c r="AP83" s="161"/>
      <c r="AQ83" s="160"/>
      <c r="AR83" s="160"/>
      <c r="AS83" s="114"/>
      <c r="AT83" s="114"/>
      <c r="AU83" s="174">
        <f>SUM(AD83+AC83+J83)</f>
        <v>7692659.7999999989</v>
      </c>
      <c r="AV83" s="197">
        <f>SUM(AV82-AU83)</f>
        <v>78764685.860000029</v>
      </c>
    </row>
    <row r="84" spans="1:55" ht="15.75" x14ac:dyDescent="0.25">
      <c r="A84" s="210" t="s">
        <v>155</v>
      </c>
      <c r="B84" s="114" t="s">
        <v>71</v>
      </c>
      <c r="C84" s="53">
        <v>13</v>
      </c>
      <c r="D84" s="114" t="s">
        <v>72</v>
      </c>
      <c r="E84" s="114">
        <v>89.84</v>
      </c>
      <c r="F84" s="150">
        <v>13500</v>
      </c>
      <c r="G84" s="114">
        <v>1.2</v>
      </c>
      <c r="H84" s="211">
        <f t="shared" ref="H84:H104" si="5">E84/G84</f>
        <v>74.866666666666674</v>
      </c>
      <c r="I84" s="130">
        <f t="shared" si="3"/>
        <v>1212840</v>
      </c>
      <c r="J84" s="212">
        <f>SUM(I84+I85+I86+I87+I88+I89+I90+I91)</f>
        <v>14714610</v>
      </c>
      <c r="K84" s="127" t="s">
        <v>44</v>
      </c>
      <c r="L84" s="177">
        <v>13</v>
      </c>
      <c r="M84" s="127" t="s">
        <v>72</v>
      </c>
      <c r="N84" s="127"/>
      <c r="O84" s="127" t="s">
        <v>156</v>
      </c>
      <c r="P84" s="127" t="s">
        <v>53</v>
      </c>
      <c r="Q84" s="127" t="s">
        <v>157</v>
      </c>
      <c r="R84" s="127">
        <v>238.4</v>
      </c>
      <c r="S84" s="182">
        <f>R84/SUM(E84:E91)</f>
        <v>0.22145843009753832</v>
      </c>
      <c r="T84" s="207">
        <v>162.9</v>
      </c>
      <c r="U84" s="207" t="s">
        <v>158</v>
      </c>
      <c r="V84" s="127">
        <v>8</v>
      </c>
      <c r="W84" s="213">
        <f>T84/R84</f>
        <v>0.68330536912751683</v>
      </c>
      <c r="X84" s="213">
        <f>T84/SUM(E84:E91)</f>
        <v>0.15132373432419879</v>
      </c>
      <c r="Y84" s="127"/>
      <c r="Z84" s="127" t="s">
        <v>159</v>
      </c>
      <c r="AA84" s="206"/>
      <c r="AB84" s="214">
        <v>23790</v>
      </c>
      <c r="AC84" s="206">
        <f>R84*400</f>
        <v>95360</v>
      </c>
      <c r="AD84" s="206">
        <f>166*(E84+E85+E86+E87+E88+E89+E90+E91)</f>
        <v>178699</v>
      </c>
      <c r="AE84" s="207">
        <f>AD84+AC84+J84</f>
        <v>14988669</v>
      </c>
      <c r="AF84" s="207">
        <f>AE84/T84</f>
        <v>92011.473296500917</v>
      </c>
      <c r="AG84" s="162"/>
      <c r="AH84" s="163"/>
      <c r="AI84" s="164"/>
      <c r="AJ84" s="165"/>
      <c r="AK84" s="163"/>
      <c r="AL84" s="163"/>
      <c r="AM84" s="166"/>
      <c r="AN84" s="160"/>
      <c r="AO84" s="160"/>
      <c r="AP84" s="161"/>
      <c r="AQ84" s="160"/>
      <c r="AR84" s="160"/>
      <c r="AS84" s="127"/>
      <c r="AT84" s="127"/>
      <c r="AU84" s="52">
        <f>SUM(AD84+AC84+J84+AB84)</f>
        <v>15012459</v>
      </c>
      <c r="AV84" s="181">
        <f>SUM(AV83-AU84)</f>
        <v>63752226.860000029</v>
      </c>
    </row>
    <row r="85" spans="1:55" ht="15.75" x14ac:dyDescent="0.25">
      <c r="A85" s="210" t="s">
        <v>155</v>
      </c>
      <c r="B85" s="114" t="s">
        <v>59</v>
      </c>
      <c r="C85" s="53"/>
      <c r="D85" s="114" t="s">
        <v>60</v>
      </c>
      <c r="E85" s="114">
        <v>17.8</v>
      </c>
      <c r="F85" s="150">
        <v>13800</v>
      </c>
      <c r="G85" s="114">
        <v>1.2</v>
      </c>
      <c r="H85" s="211">
        <f t="shared" si="5"/>
        <v>14.833333333333334</v>
      </c>
      <c r="I85" s="130">
        <f t="shared" si="3"/>
        <v>245640</v>
      </c>
      <c r="J85" s="212"/>
      <c r="K85" s="127"/>
      <c r="L85" s="177">
        <v>36</v>
      </c>
      <c r="M85" s="127"/>
      <c r="N85" s="127"/>
      <c r="O85" s="127"/>
      <c r="P85" s="127"/>
      <c r="Q85" s="127"/>
      <c r="R85" s="127"/>
      <c r="S85" s="186"/>
      <c r="T85" s="127"/>
      <c r="U85" s="127"/>
      <c r="V85" s="127"/>
      <c r="W85" s="213"/>
      <c r="X85" s="213"/>
      <c r="Y85" s="127"/>
      <c r="Z85" s="127"/>
      <c r="AA85" s="206"/>
      <c r="AB85" s="214"/>
      <c r="AC85" s="206"/>
      <c r="AD85" s="206"/>
      <c r="AE85" s="127"/>
      <c r="AF85" s="127"/>
      <c r="AG85" s="162"/>
      <c r="AH85" s="163"/>
      <c r="AI85" s="164"/>
      <c r="AJ85" s="165"/>
      <c r="AK85" s="163"/>
      <c r="AL85" s="163"/>
      <c r="AM85" s="166"/>
      <c r="AN85" s="160"/>
      <c r="AO85" s="160"/>
      <c r="AP85" s="161"/>
      <c r="AQ85" s="160"/>
      <c r="AR85" s="160"/>
      <c r="AS85" s="127"/>
      <c r="AT85" s="127"/>
      <c r="AU85" s="52"/>
      <c r="AV85" s="53"/>
    </row>
    <row r="86" spans="1:55" ht="15.75" x14ac:dyDescent="0.25">
      <c r="A86" s="210" t="s">
        <v>160</v>
      </c>
      <c r="B86" s="114" t="s">
        <v>71</v>
      </c>
      <c r="C86" s="53"/>
      <c r="D86" s="114" t="s">
        <v>72</v>
      </c>
      <c r="E86" s="114">
        <v>67.760000000000005</v>
      </c>
      <c r="F86" s="150">
        <v>13500</v>
      </c>
      <c r="G86" s="114">
        <v>1.2</v>
      </c>
      <c r="H86" s="211">
        <f t="shared" si="5"/>
        <v>56.466666666666676</v>
      </c>
      <c r="I86" s="130">
        <f t="shared" si="3"/>
        <v>914760.00000000012</v>
      </c>
      <c r="J86" s="212"/>
      <c r="K86" s="127"/>
      <c r="L86" s="177">
        <v>14</v>
      </c>
      <c r="M86" s="127"/>
      <c r="N86" s="127"/>
      <c r="O86" s="127"/>
      <c r="P86" s="127"/>
      <c r="Q86" s="127"/>
      <c r="R86" s="127"/>
      <c r="S86" s="186"/>
      <c r="T86" s="127"/>
      <c r="U86" s="127"/>
      <c r="V86" s="127"/>
      <c r="W86" s="213"/>
      <c r="X86" s="213"/>
      <c r="Y86" s="127"/>
      <c r="Z86" s="127"/>
      <c r="AA86" s="206"/>
      <c r="AB86" s="214"/>
      <c r="AC86" s="206"/>
      <c r="AD86" s="206"/>
      <c r="AE86" s="127"/>
      <c r="AF86" s="127"/>
      <c r="AG86" s="162"/>
      <c r="AH86" s="163"/>
      <c r="AI86" s="164"/>
      <c r="AJ86" s="165"/>
      <c r="AK86" s="163"/>
      <c r="AL86" s="163"/>
      <c r="AM86" s="166"/>
      <c r="AN86" s="160"/>
      <c r="AO86" s="160"/>
      <c r="AP86" s="161"/>
      <c r="AQ86" s="160"/>
      <c r="AR86" s="160"/>
      <c r="AS86" s="127"/>
      <c r="AT86" s="127"/>
      <c r="AU86" s="52"/>
      <c r="AV86" s="53"/>
    </row>
    <row r="87" spans="1:55" ht="15.75" x14ac:dyDescent="0.25">
      <c r="A87" s="210" t="s">
        <v>160</v>
      </c>
      <c r="B87" s="114" t="s">
        <v>59</v>
      </c>
      <c r="C87" s="53"/>
      <c r="D87" s="114" t="s">
        <v>60</v>
      </c>
      <c r="E87" s="114">
        <v>248.6</v>
      </c>
      <c r="F87" s="150">
        <v>13800</v>
      </c>
      <c r="G87" s="114">
        <v>1.2</v>
      </c>
      <c r="H87" s="211">
        <f t="shared" si="5"/>
        <v>207.16666666666666</v>
      </c>
      <c r="I87" s="130">
        <f t="shared" si="3"/>
        <v>3430680</v>
      </c>
      <c r="J87" s="212"/>
      <c r="K87" s="127"/>
      <c r="L87" s="177">
        <v>37</v>
      </c>
      <c r="M87" s="127"/>
      <c r="N87" s="127"/>
      <c r="O87" s="127"/>
      <c r="P87" s="127"/>
      <c r="Q87" s="127"/>
      <c r="R87" s="127"/>
      <c r="S87" s="186"/>
      <c r="T87" s="127"/>
      <c r="U87" s="127"/>
      <c r="V87" s="127"/>
      <c r="W87" s="213"/>
      <c r="X87" s="213"/>
      <c r="Y87" s="127"/>
      <c r="Z87" s="127"/>
      <c r="AA87" s="206"/>
      <c r="AB87" s="214"/>
      <c r="AC87" s="206"/>
      <c r="AD87" s="206"/>
      <c r="AE87" s="127"/>
      <c r="AF87" s="127"/>
      <c r="AG87" s="162"/>
      <c r="AH87" s="163"/>
      <c r="AI87" s="164"/>
      <c r="AJ87" s="165"/>
      <c r="AK87" s="163"/>
      <c r="AL87" s="163"/>
      <c r="AM87" s="166"/>
      <c r="AN87" s="160"/>
      <c r="AO87" s="160"/>
      <c r="AP87" s="161"/>
      <c r="AQ87" s="160"/>
      <c r="AR87" s="160"/>
      <c r="AS87" s="127"/>
      <c r="AT87" s="127"/>
      <c r="AU87" s="52"/>
      <c r="AV87" s="53"/>
    </row>
    <row r="88" spans="1:55" ht="15.75" x14ac:dyDescent="0.25">
      <c r="A88" s="210" t="s">
        <v>160</v>
      </c>
      <c r="B88" s="114" t="s">
        <v>89</v>
      </c>
      <c r="C88" s="53"/>
      <c r="D88" s="114" t="s">
        <v>72</v>
      </c>
      <c r="E88" s="114">
        <v>26</v>
      </c>
      <c r="F88" s="150">
        <v>13500</v>
      </c>
      <c r="G88" s="114">
        <v>1.2</v>
      </c>
      <c r="H88" s="211">
        <f t="shared" si="5"/>
        <v>21.666666666666668</v>
      </c>
      <c r="I88" s="130">
        <f t="shared" si="3"/>
        <v>351000</v>
      </c>
      <c r="J88" s="212"/>
      <c r="K88" s="127"/>
      <c r="L88" s="177">
        <v>8</v>
      </c>
      <c r="M88" s="127"/>
      <c r="N88" s="127"/>
      <c r="O88" s="127"/>
      <c r="P88" s="127"/>
      <c r="Q88" s="127"/>
      <c r="R88" s="127"/>
      <c r="S88" s="186"/>
      <c r="T88" s="127"/>
      <c r="U88" s="127"/>
      <c r="V88" s="127"/>
      <c r="W88" s="213"/>
      <c r="X88" s="213"/>
      <c r="Y88" s="127"/>
      <c r="Z88" s="127"/>
      <c r="AA88" s="206"/>
      <c r="AB88" s="214"/>
      <c r="AC88" s="206"/>
      <c r="AD88" s="206"/>
      <c r="AE88" s="127"/>
      <c r="AF88" s="127"/>
      <c r="AG88" s="162"/>
      <c r="AH88" s="163"/>
      <c r="AI88" s="164"/>
      <c r="AJ88" s="165"/>
      <c r="AK88" s="163"/>
      <c r="AL88" s="163"/>
      <c r="AM88" s="166"/>
      <c r="AN88" s="160"/>
      <c r="AO88" s="160"/>
      <c r="AP88" s="161"/>
      <c r="AQ88" s="160"/>
      <c r="AR88" s="160"/>
      <c r="AS88" s="127"/>
      <c r="AT88" s="127"/>
      <c r="AU88" s="52"/>
      <c r="AV88" s="53"/>
    </row>
    <row r="89" spans="1:55" ht="15.75" x14ac:dyDescent="0.25">
      <c r="A89" s="210" t="s">
        <v>161</v>
      </c>
      <c r="B89" s="114" t="s">
        <v>89</v>
      </c>
      <c r="C89" s="53"/>
      <c r="D89" s="114" t="s">
        <v>72</v>
      </c>
      <c r="E89" s="114">
        <v>216.5</v>
      </c>
      <c r="F89" s="150">
        <v>13500</v>
      </c>
      <c r="G89" s="114">
        <v>1.2</v>
      </c>
      <c r="H89" s="211">
        <f t="shared" si="5"/>
        <v>180.41666666666669</v>
      </c>
      <c r="I89" s="130">
        <f t="shared" si="3"/>
        <v>2922750</v>
      </c>
      <c r="J89" s="212"/>
      <c r="K89" s="127"/>
      <c r="L89" s="177">
        <v>9</v>
      </c>
      <c r="M89" s="127"/>
      <c r="N89" s="127"/>
      <c r="O89" s="127"/>
      <c r="P89" s="127"/>
      <c r="Q89" s="127"/>
      <c r="R89" s="127"/>
      <c r="S89" s="186"/>
      <c r="T89" s="127"/>
      <c r="U89" s="127"/>
      <c r="V89" s="127"/>
      <c r="W89" s="213"/>
      <c r="X89" s="213"/>
      <c r="Y89" s="127"/>
      <c r="Z89" s="127"/>
      <c r="AA89" s="206"/>
      <c r="AB89" s="214"/>
      <c r="AC89" s="206"/>
      <c r="AD89" s="206"/>
      <c r="AE89" s="127"/>
      <c r="AF89" s="127"/>
      <c r="AG89" s="162"/>
      <c r="AH89" s="163"/>
      <c r="AI89" s="164"/>
      <c r="AJ89" s="165"/>
      <c r="AK89" s="163"/>
      <c r="AL89" s="163"/>
      <c r="AM89" s="166"/>
      <c r="AN89" s="160"/>
      <c r="AO89" s="160"/>
      <c r="AP89" s="161"/>
      <c r="AQ89" s="160"/>
      <c r="AR89" s="160"/>
      <c r="AS89" s="127"/>
      <c r="AT89" s="127"/>
      <c r="AU89" s="52"/>
      <c r="AV89" s="53"/>
    </row>
    <row r="90" spans="1:55" ht="15.75" x14ac:dyDescent="0.25">
      <c r="A90" s="210" t="s">
        <v>161</v>
      </c>
      <c r="B90" s="114" t="s">
        <v>71</v>
      </c>
      <c r="C90" s="53"/>
      <c r="D90" s="114" t="s">
        <v>72</v>
      </c>
      <c r="E90" s="114">
        <v>70.2</v>
      </c>
      <c r="F90" s="150">
        <v>13500</v>
      </c>
      <c r="G90" s="114">
        <v>1.2</v>
      </c>
      <c r="H90" s="211">
        <f t="shared" si="5"/>
        <v>58.500000000000007</v>
      </c>
      <c r="I90" s="130">
        <f t="shared" si="3"/>
        <v>947700</v>
      </c>
      <c r="J90" s="212"/>
      <c r="K90" s="127"/>
      <c r="L90" s="177">
        <v>15</v>
      </c>
      <c r="M90" s="127"/>
      <c r="N90" s="127"/>
      <c r="O90" s="127"/>
      <c r="P90" s="127"/>
      <c r="Q90" s="127"/>
      <c r="R90" s="127"/>
      <c r="S90" s="186"/>
      <c r="T90" s="127"/>
      <c r="U90" s="127"/>
      <c r="V90" s="127"/>
      <c r="W90" s="213"/>
      <c r="X90" s="213"/>
      <c r="Y90" s="127"/>
      <c r="Z90" s="127"/>
      <c r="AA90" s="206"/>
      <c r="AB90" s="214"/>
      <c r="AC90" s="206"/>
      <c r="AD90" s="206"/>
      <c r="AE90" s="127"/>
      <c r="AF90" s="127"/>
      <c r="AG90" s="162"/>
      <c r="AH90" s="163"/>
      <c r="AI90" s="164"/>
      <c r="AJ90" s="165"/>
      <c r="AK90" s="163"/>
      <c r="AL90" s="163"/>
      <c r="AM90" s="166"/>
      <c r="AN90" s="160"/>
      <c r="AO90" s="160"/>
      <c r="AP90" s="161"/>
      <c r="AQ90" s="160"/>
      <c r="AR90" s="160"/>
      <c r="AS90" s="127"/>
      <c r="AT90" s="127"/>
      <c r="AU90" s="52"/>
      <c r="AV90" s="53"/>
    </row>
    <row r="91" spans="1:55" ht="15.75" x14ac:dyDescent="0.25">
      <c r="A91" s="210" t="s">
        <v>161</v>
      </c>
      <c r="B91" s="114" t="s">
        <v>59</v>
      </c>
      <c r="C91" s="53"/>
      <c r="D91" s="114" t="s">
        <v>60</v>
      </c>
      <c r="E91" s="114">
        <v>339.8</v>
      </c>
      <c r="F91" s="150">
        <v>13800</v>
      </c>
      <c r="G91" s="114">
        <v>1.2</v>
      </c>
      <c r="H91" s="211">
        <f t="shared" si="5"/>
        <v>283.16666666666669</v>
      </c>
      <c r="I91" s="130">
        <f t="shared" si="3"/>
        <v>4689240</v>
      </c>
      <c r="J91" s="212"/>
      <c r="K91" s="127"/>
      <c r="L91" s="177">
        <v>38</v>
      </c>
      <c r="M91" s="127"/>
      <c r="N91" s="127"/>
      <c r="O91" s="127"/>
      <c r="P91" s="127"/>
      <c r="Q91" s="127"/>
      <c r="R91" s="127"/>
      <c r="S91" s="190"/>
      <c r="T91" s="127"/>
      <c r="U91" s="127"/>
      <c r="V91" s="127"/>
      <c r="W91" s="213"/>
      <c r="X91" s="213"/>
      <c r="Y91" s="127"/>
      <c r="Z91" s="127"/>
      <c r="AA91" s="206"/>
      <c r="AB91" s="214"/>
      <c r="AC91" s="206"/>
      <c r="AD91" s="206"/>
      <c r="AE91" s="127"/>
      <c r="AF91" s="127"/>
      <c r="AG91" s="162"/>
      <c r="AH91" s="163"/>
      <c r="AI91" s="164"/>
      <c r="AJ91" s="165"/>
      <c r="AK91" s="163"/>
      <c r="AL91" s="163"/>
      <c r="AM91" s="166"/>
      <c r="AN91" s="160"/>
      <c r="AO91" s="160"/>
      <c r="AP91" s="161"/>
      <c r="AQ91" s="160"/>
      <c r="AR91" s="160"/>
      <c r="AS91" s="127"/>
      <c r="AT91" s="127"/>
      <c r="AU91" s="52"/>
      <c r="AV91" s="53"/>
    </row>
    <row r="92" spans="1:55" ht="15.75" x14ac:dyDescent="0.25">
      <c r="A92" s="210" t="s">
        <v>144</v>
      </c>
      <c r="B92" s="114" t="s">
        <v>71</v>
      </c>
      <c r="C92" s="53">
        <v>14</v>
      </c>
      <c r="D92" s="114" t="s">
        <v>72</v>
      </c>
      <c r="E92" s="114">
        <v>391.7</v>
      </c>
      <c r="F92" s="150">
        <v>13500</v>
      </c>
      <c r="G92" s="114">
        <v>1.2</v>
      </c>
      <c r="H92" s="211">
        <f t="shared" si="5"/>
        <v>326.41666666666669</v>
      </c>
      <c r="I92" s="130">
        <f t="shared" si="3"/>
        <v>5287950</v>
      </c>
      <c r="J92" s="212">
        <f>SUM(I92+I93+I94+I95+I96+I97+I98)</f>
        <v>10815450</v>
      </c>
      <c r="K92" s="127" t="s">
        <v>44</v>
      </c>
      <c r="L92" s="177">
        <v>16</v>
      </c>
      <c r="M92" s="127" t="s">
        <v>72</v>
      </c>
      <c r="N92" s="127"/>
      <c r="O92" s="127" t="s">
        <v>162</v>
      </c>
      <c r="P92" s="127" t="s">
        <v>53</v>
      </c>
      <c r="Q92" s="127" t="s">
        <v>163</v>
      </c>
      <c r="R92" s="127">
        <v>211</v>
      </c>
      <c r="S92" s="182">
        <f>R92/SUM(E92:E98)</f>
        <v>0.26358525921299186</v>
      </c>
      <c r="T92" s="207">
        <v>131.80000000000001</v>
      </c>
      <c r="U92" s="127">
        <v>16</v>
      </c>
      <c r="V92" s="127">
        <v>13</v>
      </c>
      <c r="W92" s="213">
        <f>T92/R92</f>
        <v>0.62464454976303319</v>
      </c>
      <c r="X92" s="213">
        <f>T92/SUM(E92:E98)</f>
        <v>0.16464709556527171</v>
      </c>
      <c r="Y92" s="127"/>
      <c r="Z92" s="127"/>
      <c r="AA92" s="127"/>
      <c r="AB92" s="127"/>
      <c r="AC92" s="206">
        <f>R92*400</f>
        <v>84400</v>
      </c>
      <c r="AD92" s="206">
        <f>166*(E92+E93+E94+E95+E96+E97+E98)</f>
        <v>132883</v>
      </c>
      <c r="AE92" s="207">
        <f>AD92+AC92+J92</f>
        <v>11032733</v>
      </c>
      <c r="AF92" s="207">
        <f>AE92/T92</f>
        <v>83708.141122913497</v>
      </c>
      <c r="AG92" s="162"/>
      <c r="AH92" s="163"/>
      <c r="AI92" s="164"/>
      <c r="AJ92" s="165"/>
      <c r="AK92" s="163"/>
      <c r="AL92" s="163"/>
      <c r="AM92" s="166"/>
      <c r="AN92" s="160"/>
      <c r="AO92" s="160"/>
      <c r="AP92" s="161"/>
      <c r="AQ92" s="160"/>
      <c r="AR92" s="160"/>
      <c r="AS92" s="127"/>
      <c r="AT92" s="127"/>
      <c r="AU92" s="52">
        <f>SUM(AD92+AC92+J92)</f>
        <v>11032733</v>
      </c>
      <c r="AV92" s="181">
        <f>SUM(AV84-AU92)</f>
        <v>52719493.860000029</v>
      </c>
    </row>
    <row r="93" spans="1:55" ht="15.75" x14ac:dyDescent="0.25">
      <c r="A93" s="210" t="s">
        <v>144</v>
      </c>
      <c r="B93" s="114" t="s">
        <v>89</v>
      </c>
      <c r="C93" s="53"/>
      <c r="D93" s="114" t="s">
        <v>72</v>
      </c>
      <c r="E93" s="114">
        <v>164.4</v>
      </c>
      <c r="F93" s="150">
        <v>13500</v>
      </c>
      <c r="G93" s="114">
        <v>1.2</v>
      </c>
      <c r="H93" s="211">
        <f t="shared" si="5"/>
        <v>137</v>
      </c>
      <c r="I93" s="130">
        <f t="shared" si="3"/>
        <v>2219400</v>
      </c>
      <c r="J93" s="212"/>
      <c r="K93" s="127"/>
      <c r="L93" s="177">
        <v>10</v>
      </c>
      <c r="M93" s="127"/>
      <c r="N93" s="127"/>
      <c r="O93" s="127"/>
      <c r="P93" s="127"/>
      <c r="Q93" s="127"/>
      <c r="R93" s="127"/>
      <c r="S93" s="186"/>
      <c r="T93" s="127"/>
      <c r="U93" s="127"/>
      <c r="V93" s="127"/>
      <c r="W93" s="213"/>
      <c r="X93" s="213"/>
      <c r="Y93" s="127"/>
      <c r="Z93" s="127"/>
      <c r="AA93" s="127"/>
      <c r="AB93" s="127"/>
      <c r="AC93" s="206"/>
      <c r="AD93" s="206"/>
      <c r="AE93" s="127"/>
      <c r="AF93" s="127"/>
      <c r="AG93" s="162"/>
      <c r="AH93" s="163"/>
      <c r="AI93" s="164"/>
      <c r="AJ93" s="165"/>
      <c r="AK93" s="163"/>
      <c r="AL93" s="163"/>
      <c r="AM93" s="166"/>
      <c r="AN93" s="160"/>
      <c r="AO93" s="160"/>
      <c r="AP93" s="161"/>
      <c r="AQ93" s="160"/>
      <c r="AR93" s="160"/>
      <c r="AS93" s="127"/>
      <c r="AT93" s="127"/>
      <c r="AU93" s="52"/>
      <c r="AV93" s="53"/>
      <c r="BC93" s="215"/>
    </row>
    <row r="94" spans="1:55" ht="15.75" x14ac:dyDescent="0.25">
      <c r="A94" s="210" t="s">
        <v>144</v>
      </c>
      <c r="B94" s="114" t="s">
        <v>59</v>
      </c>
      <c r="C94" s="53"/>
      <c r="D94" s="114" t="s">
        <v>60</v>
      </c>
      <c r="E94" s="114">
        <v>23</v>
      </c>
      <c r="F94" s="150">
        <v>13800</v>
      </c>
      <c r="G94" s="114">
        <v>1.2</v>
      </c>
      <c r="H94" s="211">
        <f t="shared" si="5"/>
        <v>19.166666666666668</v>
      </c>
      <c r="I94" s="130">
        <f t="shared" si="3"/>
        <v>317400</v>
      </c>
      <c r="J94" s="212"/>
      <c r="K94" s="127"/>
      <c r="L94" s="177">
        <v>39</v>
      </c>
      <c r="M94" s="127"/>
      <c r="N94" s="127"/>
      <c r="O94" s="127"/>
      <c r="P94" s="127"/>
      <c r="Q94" s="127"/>
      <c r="R94" s="127"/>
      <c r="S94" s="186"/>
      <c r="T94" s="127"/>
      <c r="U94" s="127"/>
      <c r="V94" s="127"/>
      <c r="W94" s="213"/>
      <c r="X94" s="213"/>
      <c r="Y94" s="127"/>
      <c r="Z94" s="127"/>
      <c r="AA94" s="127"/>
      <c r="AB94" s="127"/>
      <c r="AC94" s="206"/>
      <c r="AD94" s="206"/>
      <c r="AE94" s="127"/>
      <c r="AF94" s="127"/>
      <c r="AG94" s="162"/>
      <c r="AH94" s="163"/>
      <c r="AI94" s="164"/>
      <c r="AJ94" s="165"/>
      <c r="AK94" s="163"/>
      <c r="AL94" s="163"/>
      <c r="AM94" s="166"/>
      <c r="AN94" s="160"/>
      <c r="AO94" s="160"/>
      <c r="AP94" s="161"/>
      <c r="AQ94" s="160"/>
      <c r="AR94" s="160"/>
      <c r="AS94" s="127"/>
      <c r="AT94" s="127"/>
      <c r="AU94" s="52"/>
      <c r="AV94" s="53"/>
    </row>
    <row r="95" spans="1:55" ht="15.75" x14ac:dyDescent="0.25">
      <c r="A95" s="210" t="s">
        <v>164</v>
      </c>
      <c r="B95" s="114" t="s">
        <v>71</v>
      </c>
      <c r="C95" s="53"/>
      <c r="D95" s="114" t="s">
        <v>72</v>
      </c>
      <c r="E95" s="114">
        <v>22.8</v>
      </c>
      <c r="F95" s="150">
        <v>13500</v>
      </c>
      <c r="G95" s="114">
        <v>1.2</v>
      </c>
      <c r="H95" s="168">
        <f t="shared" si="5"/>
        <v>19</v>
      </c>
      <c r="I95" s="130">
        <f t="shared" si="3"/>
        <v>307800</v>
      </c>
      <c r="J95" s="212"/>
      <c r="K95" s="127"/>
      <c r="L95" s="177">
        <v>17</v>
      </c>
      <c r="M95" s="127"/>
      <c r="N95" s="127"/>
      <c r="O95" s="127"/>
      <c r="P95" s="127"/>
      <c r="Q95" s="127"/>
      <c r="R95" s="127"/>
      <c r="S95" s="186"/>
      <c r="T95" s="127"/>
      <c r="U95" s="127"/>
      <c r="V95" s="127"/>
      <c r="W95" s="213"/>
      <c r="X95" s="213"/>
      <c r="Y95" s="127"/>
      <c r="Z95" s="127"/>
      <c r="AA95" s="127"/>
      <c r="AB95" s="127"/>
      <c r="AC95" s="206"/>
      <c r="AD95" s="206"/>
      <c r="AE95" s="127"/>
      <c r="AF95" s="127"/>
      <c r="AG95" s="162"/>
      <c r="AH95" s="163"/>
      <c r="AI95" s="164"/>
      <c r="AJ95" s="165"/>
      <c r="AK95" s="163"/>
      <c r="AL95" s="163"/>
      <c r="AM95" s="166"/>
      <c r="AN95" s="160"/>
      <c r="AO95" s="160"/>
      <c r="AP95" s="161"/>
      <c r="AQ95" s="160"/>
      <c r="AR95" s="160"/>
      <c r="AS95" s="127"/>
      <c r="AT95" s="127"/>
      <c r="AU95" s="52"/>
      <c r="AV95" s="53"/>
    </row>
    <row r="96" spans="1:55" ht="15.75" x14ac:dyDescent="0.25">
      <c r="A96" s="210" t="s">
        <v>164</v>
      </c>
      <c r="B96" s="114" t="s">
        <v>89</v>
      </c>
      <c r="C96" s="53"/>
      <c r="D96" s="114" t="s">
        <v>72</v>
      </c>
      <c r="E96" s="114">
        <v>32.4</v>
      </c>
      <c r="F96" s="150">
        <v>13500</v>
      </c>
      <c r="G96" s="114">
        <v>1.2</v>
      </c>
      <c r="H96" s="168">
        <f t="shared" si="5"/>
        <v>27</v>
      </c>
      <c r="I96" s="130">
        <f t="shared" si="3"/>
        <v>437400</v>
      </c>
      <c r="J96" s="212"/>
      <c r="K96" s="127"/>
      <c r="L96" s="177">
        <v>11</v>
      </c>
      <c r="M96" s="127"/>
      <c r="N96" s="127"/>
      <c r="O96" s="127"/>
      <c r="P96" s="127"/>
      <c r="Q96" s="127"/>
      <c r="R96" s="127"/>
      <c r="S96" s="186"/>
      <c r="T96" s="127"/>
      <c r="U96" s="127"/>
      <c r="V96" s="127"/>
      <c r="W96" s="213"/>
      <c r="X96" s="213"/>
      <c r="Y96" s="127"/>
      <c r="Z96" s="127"/>
      <c r="AA96" s="127"/>
      <c r="AB96" s="127"/>
      <c r="AC96" s="206"/>
      <c r="AD96" s="206"/>
      <c r="AE96" s="127"/>
      <c r="AF96" s="127"/>
      <c r="AG96" s="162"/>
      <c r="AH96" s="163"/>
      <c r="AI96" s="164"/>
      <c r="AJ96" s="165"/>
      <c r="AK96" s="163"/>
      <c r="AL96" s="163"/>
      <c r="AM96" s="166"/>
      <c r="AN96" s="160"/>
      <c r="AO96" s="160"/>
      <c r="AP96" s="161"/>
      <c r="AQ96" s="160"/>
      <c r="AR96" s="160"/>
      <c r="AS96" s="127"/>
      <c r="AT96" s="127"/>
      <c r="AU96" s="52"/>
      <c r="AV96" s="53"/>
    </row>
    <row r="97" spans="1:48" ht="15.75" x14ac:dyDescent="0.25">
      <c r="A97" s="210" t="s">
        <v>164</v>
      </c>
      <c r="B97" s="114" t="s">
        <v>59</v>
      </c>
      <c r="C97" s="53"/>
      <c r="D97" s="114" t="s">
        <v>60</v>
      </c>
      <c r="E97" s="114">
        <v>6</v>
      </c>
      <c r="F97" s="150">
        <v>13800</v>
      </c>
      <c r="G97" s="114">
        <v>1.2</v>
      </c>
      <c r="H97" s="168">
        <f t="shared" si="5"/>
        <v>5</v>
      </c>
      <c r="I97" s="130">
        <f t="shared" si="3"/>
        <v>82800</v>
      </c>
      <c r="J97" s="212"/>
      <c r="K97" s="127"/>
      <c r="L97" s="177">
        <v>40</v>
      </c>
      <c r="M97" s="127"/>
      <c r="N97" s="127"/>
      <c r="O97" s="127"/>
      <c r="P97" s="127"/>
      <c r="Q97" s="127"/>
      <c r="R97" s="127"/>
      <c r="S97" s="186"/>
      <c r="T97" s="127"/>
      <c r="U97" s="127"/>
      <c r="V97" s="127"/>
      <c r="W97" s="213"/>
      <c r="X97" s="213"/>
      <c r="Y97" s="127"/>
      <c r="Z97" s="127"/>
      <c r="AA97" s="127"/>
      <c r="AB97" s="127"/>
      <c r="AC97" s="206"/>
      <c r="AD97" s="206"/>
      <c r="AE97" s="127"/>
      <c r="AF97" s="127"/>
      <c r="AG97" s="162"/>
      <c r="AH97" s="163"/>
      <c r="AI97" s="164"/>
      <c r="AJ97" s="165"/>
      <c r="AK97" s="163"/>
      <c r="AL97" s="163"/>
      <c r="AM97" s="166"/>
      <c r="AN97" s="160"/>
      <c r="AO97" s="160"/>
      <c r="AP97" s="161"/>
      <c r="AQ97" s="160"/>
      <c r="AR97" s="160"/>
      <c r="AS97" s="127"/>
      <c r="AT97" s="127"/>
      <c r="AU97" s="52"/>
      <c r="AV97" s="53"/>
    </row>
    <row r="98" spans="1:48" ht="15.75" x14ac:dyDescent="0.25">
      <c r="A98" s="210" t="s">
        <v>157</v>
      </c>
      <c r="B98" s="114" t="s">
        <v>71</v>
      </c>
      <c r="C98" s="53"/>
      <c r="D98" s="114" t="s">
        <v>72</v>
      </c>
      <c r="E98" s="114">
        <v>160.19999999999999</v>
      </c>
      <c r="F98" s="150">
        <v>13500</v>
      </c>
      <c r="G98" s="114">
        <v>1.2</v>
      </c>
      <c r="H98" s="168">
        <f t="shared" si="5"/>
        <v>133.5</v>
      </c>
      <c r="I98" s="130">
        <f t="shared" si="3"/>
        <v>2162700</v>
      </c>
      <c r="J98" s="212"/>
      <c r="K98" s="127"/>
      <c r="L98" s="177">
        <v>18</v>
      </c>
      <c r="M98" s="127"/>
      <c r="N98" s="127"/>
      <c r="O98" s="127"/>
      <c r="P98" s="127"/>
      <c r="Q98" s="127"/>
      <c r="R98" s="127"/>
      <c r="S98" s="190"/>
      <c r="T98" s="127"/>
      <c r="U98" s="127"/>
      <c r="V98" s="127"/>
      <c r="W98" s="213"/>
      <c r="X98" s="213"/>
      <c r="Y98" s="127"/>
      <c r="Z98" s="127"/>
      <c r="AA98" s="127"/>
      <c r="AB98" s="127"/>
      <c r="AC98" s="206"/>
      <c r="AD98" s="206"/>
      <c r="AE98" s="127"/>
      <c r="AF98" s="127"/>
      <c r="AG98" s="162"/>
      <c r="AH98" s="163"/>
      <c r="AI98" s="164"/>
      <c r="AJ98" s="165"/>
      <c r="AK98" s="163"/>
      <c r="AL98" s="163"/>
      <c r="AM98" s="166"/>
      <c r="AN98" s="160"/>
      <c r="AO98" s="160"/>
      <c r="AP98" s="161"/>
      <c r="AQ98" s="160"/>
      <c r="AR98" s="160"/>
      <c r="AS98" s="127"/>
      <c r="AT98" s="127"/>
      <c r="AU98" s="52"/>
      <c r="AV98" s="53"/>
    </row>
    <row r="99" spans="1:48" ht="15.75" x14ac:dyDescent="0.25">
      <c r="A99" s="210" t="s">
        <v>165</v>
      </c>
      <c r="B99" s="114" t="s">
        <v>71</v>
      </c>
      <c r="C99" s="53">
        <v>15</v>
      </c>
      <c r="D99" s="114" t="s">
        <v>72</v>
      </c>
      <c r="E99" s="114">
        <v>60.9</v>
      </c>
      <c r="F99" s="150">
        <v>13500</v>
      </c>
      <c r="G99" s="114">
        <v>1.2</v>
      </c>
      <c r="H99" s="168">
        <f t="shared" si="5"/>
        <v>50.75</v>
      </c>
      <c r="I99" s="130">
        <f t="shared" si="3"/>
        <v>822150</v>
      </c>
      <c r="J99" s="212">
        <f>SUM(I99+I100+I101+I102+I103+I104)</f>
        <v>5038050</v>
      </c>
      <c r="K99" s="127" t="s">
        <v>44</v>
      </c>
      <c r="L99" s="177">
        <v>19</v>
      </c>
      <c r="M99" s="127" t="s">
        <v>72</v>
      </c>
      <c r="N99" s="127" t="s">
        <v>166</v>
      </c>
      <c r="O99" s="127" t="s">
        <v>167</v>
      </c>
      <c r="P99" s="127" t="s">
        <v>168</v>
      </c>
      <c r="Q99" s="127" t="s">
        <v>169</v>
      </c>
      <c r="R99" s="127">
        <v>200</v>
      </c>
      <c r="S99" s="182">
        <f>R99/SUM(E99:E104)</f>
        <v>0.54274084124830391</v>
      </c>
      <c r="T99" s="127">
        <v>66</v>
      </c>
      <c r="U99" s="127">
        <v>16</v>
      </c>
      <c r="V99" s="127">
        <v>11</v>
      </c>
      <c r="W99" s="192">
        <f>T99/R99</f>
        <v>0.33</v>
      </c>
      <c r="X99" s="192">
        <f>T99/SUM(E99:E104)</f>
        <v>0.17910447761194029</v>
      </c>
      <c r="Y99" s="127"/>
      <c r="Z99" s="127"/>
      <c r="AA99" s="127"/>
      <c r="AB99" s="127"/>
      <c r="AC99" s="214">
        <f>R99*400</f>
        <v>80000</v>
      </c>
      <c r="AD99" s="208">
        <v>60175</v>
      </c>
      <c r="AE99" s="208">
        <f>AD99+AC99+J99</f>
        <v>5178225</v>
      </c>
      <c r="AF99" s="127">
        <f>AE99/T99</f>
        <v>78457.954545454544</v>
      </c>
      <c r="AG99" s="162"/>
      <c r="AH99" s="163"/>
      <c r="AI99" s="164"/>
      <c r="AJ99" s="165"/>
      <c r="AK99" s="163"/>
      <c r="AL99" s="163"/>
      <c r="AM99" s="166"/>
      <c r="AN99" s="160"/>
      <c r="AO99" s="160"/>
      <c r="AP99" s="161"/>
      <c r="AQ99" s="160"/>
      <c r="AR99" s="160"/>
      <c r="AS99" s="127"/>
      <c r="AT99" s="127"/>
      <c r="AU99" s="52">
        <f>SUM(AD99+AC99+J99)</f>
        <v>5178225</v>
      </c>
      <c r="AV99" s="181">
        <f>SUM(AV92-AU99)</f>
        <v>47541268.860000029</v>
      </c>
    </row>
    <row r="100" spans="1:48" ht="15.75" x14ac:dyDescent="0.25">
      <c r="A100" s="210" t="s">
        <v>165</v>
      </c>
      <c r="B100" s="114" t="s">
        <v>59</v>
      </c>
      <c r="C100" s="53"/>
      <c r="D100" s="114" t="s">
        <v>60</v>
      </c>
      <c r="E100" s="216">
        <v>129.6</v>
      </c>
      <c r="F100" s="217">
        <v>13800</v>
      </c>
      <c r="G100" s="216">
        <v>1.2</v>
      </c>
      <c r="H100" s="218">
        <f t="shared" si="5"/>
        <v>108</v>
      </c>
      <c r="I100" s="219">
        <f t="shared" si="3"/>
        <v>1788480</v>
      </c>
      <c r="J100" s="212"/>
      <c r="K100" s="127"/>
      <c r="L100" s="177">
        <v>41</v>
      </c>
      <c r="M100" s="127"/>
      <c r="N100" s="127"/>
      <c r="O100" s="127"/>
      <c r="P100" s="127"/>
      <c r="Q100" s="127"/>
      <c r="R100" s="127"/>
      <c r="S100" s="186"/>
      <c r="T100" s="127"/>
      <c r="U100" s="127"/>
      <c r="V100" s="127"/>
      <c r="W100" s="192"/>
      <c r="X100" s="192"/>
      <c r="Y100" s="127"/>
      <c r="Z100" s="127"/>
      <c r="AA100" s="127"/>
      <c r="AB100" s="127"/>
      <c r="AC100" s="214"/>
      <c r="AD100" s="127"/>
      <c r="AE100" s="127"/>
      <c r="AF100" s="127"/>
      <c r="AG100" s="162"/>
      <c r="AH100" s="163"/>
      <c r="AI100" s="164"/>
      <c r="AJ100" s="165"/>
      <c r="AK100" s="163"/>
      <c r="AL100" s="163"/>
      <c r="AM100" s="166"/>
      <c r="AN100" s="160"/>
      <c r="AO100" s="160"/>
      <c r="AP100" s="161"/>
      <c r="AQ100" s="160"/>
      <c r="AR100" s="160"/>
      <c r="AS100" s="127"/>
      <c r="AT100" s="127"/>
      <c r="AU100" s="52"/>
      <c r="AV100" s="53"/>
    </row>
    <row r="101" spans="1:48" ht="15.75" x14ac:dyDescent="0.25">
      <c r="A101" s="210" t="s">
        <v>163</v>
      </c>
      <c r="B101" s="114" t="s">
        <v>71</v>
      </c>
      <c r="C101" s="53"/>
      <c r="D101" s="114" t="s">
        <v>72</v>
      </c>
      <c r="E101" s="114">
        <v>26.4</v>
      </c>
      <c r="F101" s="150">
        <v>13500</v>
      </c>
      <c r="G101" s="114">
        <v>1.2</v>
      </c>
      <c r="H101" s="168">
        <f t="shared" si="5"/>
        <v>22</v>
      </c>
      <c r="I101" s="130">
        <f t="shared" si="3"/>
        <v>356400</v>
      </c>
      <c r="J101" s="212"/>
      <c r="K101" s="127"/>
      <c r="L101" s="177">
        <v>20</v>
      </c>
      <c r="M101" s="127"/>
      <c r="N101" s="127"/>
      <c r="O101" s="127"/>
      <c r="P101" s="127"/>
      <c r="Q101" s="127"/>
      <c r="R101" s="127"/>
      <c r="S101" s="186"/>
      <c r="T101" s="127"/>
      <c r="U101" s="127"/>
      <c r="V101" s="127"/>
      <c r="W101" s="192"/>
      <c r="X101" s="192"/>
      <c r="Y101" s="127"/>
      <c r="Z101" s="127"/>
      <c r="AA101" s="127"/>
      <c r="AB101" s="127"/>
      <c r="AC101" s="214"/>
      <c r="AD101" s="127"/>
      <c r="AE101" s="127"/>
      <c r="AF101" s="127"/>
      <c r="AG101" s="162"/>
      <c r="AH101" s="163"/>
      <c r="AI101" s="164"/>
      <c r="AJ101" s="165"/>
      <c r="AK101" s="163"/>
      <c r="AL101" s="163"/>
      <c r="AM101" s="166"/>
      <c r="AN101" s="160"/>
      <c r="AO101" s="160"/>
      <c r="AP101" s="161"/>
      <c r="AQ101" s="160"/>
      <c r="AR101" s="160"/>
      <c r="AS101" s="127"/>
      <c r="AT101" s="127"/>
      <c r="AU101" s="52"/>
      <c r="AV101" s="53"/>
    </row>
    <row r="102" spans="1:48" ht="15.75" x14ac:dyDescent="0.25">
      <c r="A102" s="210" t="s">
        <v>163</v>
      </c>
      <c r="B102" s="114" t="s">
        <v>59</v>
      </c>
      <c r="C102" s="53"/>
      <c r="D102" s="114" t="s">
        <v>60</v>
      </c>
      <c r="E102" s="114">
        <v>75.3</v>
      </c>
      <c r="F102" s="150">
        <v>13800</v>
      </c>
      <c r="G102" s="114">
        <v>1.2</v>
      </c>
      <c r="H102" s="168">
        <f t="shared" si="5"/>
        <v>62.75</v>
      </c>
      <c r="I102" s="130">
        <f t="shared" si="3"/>
        <v>1039140</v>
      </c>
      <c r="J102" s="212"/>
      <c r="K102" s="127"/>
      <c r="L102" s="177">
        <v>42</v>
      </c>
      <c r="M102" s="127"/>
      <c r="N102" s="127"/>
      <c r="O102" s="127"/>
      <c r="P102" s="127"/>
      <c r="Q102" s="127"/>
      <c r="R102" s="127"/>
      <c r="S102" s="186"/>
      <c r="T102" s="127"/>
      <c r="U102" s="127"/>
      <c r="V102" s="127"/>
      <c r="W102" s="192"/>
      <c r="X102" s="192"/>
      <c r="Y102" s="127"/>
      <c r="Z102" s="127"/>
      <c r="AA102" s="127"/>
      <c r="AB102" s="127"/>
      <c r="AC102" s="214"/>
      <c r="AD102" s="127"/>
      <c r="AE102" s="127"/>
      <c r="AF102" s="127"/>
      <c r="AG102" s="162"/>
      <c r="AH102" s="163"/>
      <c r="AI102" s="164"/>
      <c r="AJ102" s="165"/>
      <c r="AK102" s="163"/>
      <c r="AL102" s="163"/>
      <c r="AM102" s="166"/>
      <c r="AN102" s="160"/>
      <c r="AO102" s="160"/>
      <c r="AP102" s="161"/>
      <c r="AQ102" s="160"/>
      <c r="AR102" s="160"/>
      <c r="AS102" s="127"/>
      <c r="AT102" s="127"/>
      <c r="AU102" s="52"/>
      <c r="AV102" s="53"/>
    </row>
    <row r="103" spans="1:48" ht="15.75" x14ac:dyDescent="0.25">
      <c r="A103" s="210" t="s">
        <v>166</v>
      </c>
      <c r="B103" s="220" t="s">
        <v>71</v>
      </c>
      <c r="C103" s="53"/>
      <c r="D103" s="114" t="s">
        <v>72</v>
      </c>
      <c r="E103" s="221">
        <v>70.2</v>
      </c>
      <c r="F103" s="150">
        <v>13500</v>
      </c>
      <c r="G103" s="168">
        <v>1.2</v>
      </c>
      <c r="H103" s="130">
        <f t="shared" si="5"/>
        <v>58.500000000000007</v>
      </c>
      <c r="I103" s="130">
        <f t="shared" si="3"/>
        <v>947700</v>
      </c>
      <c r="J103" s="212"/>
      <c r="K103" s="127"/>
      <c r="L103" s="177">
        <v>21</v>
      </c>
      <c r="M103" s="127"/>
      <c r="N103" s="127"/>
      <c r="O103" s="127"/>
      <c r="P103" s="127"/>
      <c r="Q103" s="127"/>
      <c r="R103" s="127"/>
      <c r="S103" s="186"/>
      <c r="T103" s="127"/>
      <c r="U103" s="127"/>
      <c r="V103" s="127"/>
      <c r="W103" s="192"/>
      <c r="X103" s="192"/>
      <c r="Y103" s="127"/>
      <c r="Z103" s="127"/>
      <c r="AA103" s="127"/>
      <c r="AB103" s="127"/>
      <c r="AC103" s="214"/>
      <c r="AD103" s="127"/>
      <c r="AE103" s="127"/>
      <c r="AF103" s="127"/>
      <c r="AG103" s="162"/>
      <c r="AH103" s="163"/>
      <c r="AI103" s="164"/>
      <c r="AJ103" s="165"/>
      <c r="AK103" s="163"/>
      <c r="AL103" s="163"/>
      <c r="AM103" s="166"/>
      <c r="AN103" s="160"/>
      <c r="AO103" s="160"/>
      <c r="AP103" s="161"/>
      <c r="AQ103" s="160"/>
      <c r="AR103" s="160"/>
      <c r="AS103" s="127"/>
      <c r="AT103" s="127"/>
      <c r="AU103" s="52"/>
      <c r="AV103" s="53"/>
    </row>
    <row r="104" spans="1:48" ht="15.75" x14ac:dyDescent="0.25">
      <c r="A104" s="210" t="s">
        <v>166</v>
      </c>
      <c r="B104" s="220" t="s">
        <v>59</v>
      </c>
      <c r="C104" s="53"/>
      <c r="D104" s="114" t="s">
        <v>60</v>
      </c>
      <c r="E104" s="221">
        <v>6.1</v>
      </c>
      <c r="F104" s="115">
        <v>13800</v>
      </c>
      <c r="G104" s="168">
        <v>1.2</v>
      </c>
      <c r="H104" s="130">
        <f t="shared" si="5"/>
        <v>5.083333333333333</v>
      </c>
      <c r="I104" s="130">
        <f t="shared" si="3"/>
        <v>84180</v>
      </c>
      <c r="J104" s="212"/>
      <c r="K104" s="127"/>
      <c r="L104" s="177">
        <v>43</v>
      </c>
      <c r="M104" s="127"/>
      <c r="N104" s="127"/>
      <c r="O104" s="127"/>
      <c r="P104" s="127"/>
      <c r="Q104" s="127"/>
      <c r="R104" s="127"/>
      <c r="S104" s="190"/>
      <c r="T104" s="127"/>
      <c r="U104" s="127"/>
      <c r="V104" s="127"/>
      <c r="W104" s="192"/>
      <c r="X104" s="192"/>
      <c r="Y104" s="127"/>
      <c r="Z104" s="127"/>
      <c r="AA104" s="127"/>
      <c r="AB104" s="127"/>
      <c r="AC104" s="214"/>
      <c r="AD104" s="127"/>
      <c r="AE104" s="127"/>
      <c r="AF104" s="127"/>
      <c r="AG104" s="162"/>
      <c r="AH104" s="163"/>
      <c r="AI104" s="164"/>
      <c r="AJ104" s="165"/>
      <c r="AK104" s="163"/>
      <c r="AL104" s="222"/>
      <c r="AM104" s="166"/>
      <c r="AN104" s="160"/>
      <c r="AO104" s="160"/>
      <c r="AP104" s="161"/>
      <c r="AQ104" s="160"/>
      <c r="AR104" s="160"/>
      <c r="AS104" s="127"/>
      <c r="AT104" s="127"/>
      <c r="AU104" s="52"/>
      <c r="AV104" s="53"/>
    </row>
    <row r="105" spans="1:48" ht="15.75" x14ac:dyDescent="0.25">
      <c r="A105" s="114" t="s">
        <v>170</v>
      </c>
      <c r="B105" s="114" t="s">
        <v>80</v>
      </c>
      <c r="C105" s="114" t="s">
        <v>171</v>
      </c>
      <c r="D105" s="114" t="s">
        <v>172</v>
      </c>
      <c r="E105" s="130">
        <v>1190</v>
      </c>
      <c r="F105" s="150">
        <v>14500</v>
      </c>
      <c r="G105" s="168" t="s">
        <v>173</v>
      </c>
      <c r="H105" s="114">
        <v>991</v>
      </c>
      <c r="I105" s="130">
        <f>F105*E105</f>
        <v>17255000</v>
      </c>
      <c r="J105" s="130">
        <f>I105</f>
        <v>17255000</v>
      </c>
      <c r="K105" s="114" t="s">
        <v>44</v>
      </c>
      <c r="L105" s="114">
        <v>2</v>
      </c>
      <c r="M105" s="114" t="s">
        <v>172</v>
      </c>
      <c r="N105" s="114" t="s">
        <v>170</v>
      </c>
      <c r="O105" s="114" t="s">
        <v>174</v>
      </c>
      <c r="P105" s="114" t="s">
        <v>168</v>
      </c>
      <c r="Q105" s="210">
        <v>44968</v>
      </c>
      <c r="R105" s="114">
        <v>238</v>
      </c>
      <c r="S105" s="194">
        <f>R105/E105</f>
        <v>0.2</v>
      </c>
      <c r="T105" s="114">
        <v>205.6</v>
      </c>
      <c r="U105" s="114">
        <v>16</v>
      </c>
      <c r="V105" s="114">
        <v>12</v>
      </c>
      <c r="W105" s="114">
        <f>T99/R99</f>
        <v>0.33</v>
      </c>
      <c r="X105" s="223">
        <f>T105/E105</f>
        <v>0.17277310924369749</v>
      </c>
      <c r="Y105" s="114"/>
      <c r="Z105" s="114"/>
      <c r="AA105" s="114"/>
      <c r="AB105" s="114"/>
      <c r="AC105" s="150">
        <v>95600</v>
      </c>
      <c r="AD105" s="150">
        <f>E105*166</f>
        <v>197540</v>
      </c>
      <c r="AE105" s="130">
        <v>17106600</v>
      </c>
      <c r="AF105" s="224">
        <f>AE105/T105</f>
        <v>83203.30739299611</v>
      </c>
      <c r="AG105" s="225"/>
      <c r="AH105" s="222"/>
      <c r="AI105" s="226"/>
      <c r="AJ105" s="227"/>
      <c r="AK105" s="163"/>
      <c r="AL105" s="228"/>
      <c r="AM105" s="229"/>
      <c r="AN105" s="228"/>
      <c r="AO105" s="228"/>
      <c r="AP105" s="228"/>
      <c r="AQ105" s="228"/>
      <c r="AR105" s="228"/>
      <c r="AS105" s="114"/>
      <c r="AT105" s="114"/>
      <c r="AU105" s="130">
        <f>SUM(AD105+AC105+J105)</f>
        <v>17548140</v>
      </c>
      <c r="AV105" s="230">
        <f>SUM(AV99-AU105)</f>
        <v>29993128.860000029</v>
      </c>
    </row>
    <row r="106" spans="1:48" x14ac:dyDescent="0.25">
      <c r="A106" s="14"/>
      <c r="D106" s="86"/>
      <c r="H106" s="215"/>
      <c r="I106" s="215"/>
      <c r="J106" s="215"/>
      <c r="K106" s="215">
        <f>SUM(K4:K105)</f>
        <v>0</v>
      </c>
      <c r="L106" s="215"/>
      <c r="M106" s="215"/>
      <c r="N106" s="215"/>
      <c r="O106" s="215"/>
      <c r="P106" s="215"/>
      <c r="Q106" s="215"/>
      <c r="R106" s="215"/>
      <c r="AC106" s="215"/>
      <c r="AD106" s="215"/>
      <c r="AL106" s="233"/>
      <c r="AM106" s="234"/>
      <c r="AN106" s="234"/>
      <c r="AO106" s="234"/>
      <c r="AP106" s="234"/>
      <c r="AQ106" s="233"/>
      <c r="AR106" s="233"/>
      <c r="AS106" s="14"/>
      <c r="AU106" s="215"/>
      <c r="AV106" s="235"/>
    </row>
    <row r="107" spans="1:48" ht="15.75" x14ac:dyDescent="0.25">
      <c r="A107" s="14"/>
      <c r="F107" s="215"/>
      <c r="G107" s="215"/>
      <c r="H107" s="215"/>
      <c r="I107" s="215">
        <v>263302634</v>
      </c>
      <c r="J107" s="215">
        <v>263302634</v>
      </c>
      <c r="K107" s="233"/>
      <c r="L107" s="14"/>
      <c r="R107" s="236">
        <f>AVERAGE(R4:R105)</f>
        <v>253.66999999999993</v>
      </c>
      <c r="S107" s="237">
        <f>AVERAGE(S4:S105)</f>
        <v>0.27791873538826684</v>
      </c>
      <c r="T107" s="236">
        <f>AVERAGE(T4:T105)</f>
        <v>156.04999999999998</v>
      </c>
      <c r="U107" s="236"/>
      <c r="V107" s="236"/>
      <c r="W107" s="237">
        <f>AVERAGE(W4:W105)</f>
        <v>0.58486462411414908</v>
      </c>
      <c r="X107" s="238"/>
      <c r="AC107" s="239"/>
      <c r="AD107" s="239"/>
      <c r="AE107" s="215"/>
      <c r="AG107" s="240"/>
      <c r="AH107" s="241"/>
      <c r="AI107" s="242">
        <f>AVERAGE(AI4:AI105)</f>
        <v>0.83246788842009145</v>
      </c>
      <c r="AJ107" s="239"/>
      <c r="AL107" s="233"/>
      <c r="AM107" s="233"/>
      <c r="AN107" s="233"/>
      <c r="AO107" s="233"/>
      <c r="AP107" s="243">
        <f>AVERAGE(AP4:AP104)</f>
        <v>0.70058493942251743</v>
      </c>
      <c r="AQ107" s="244"/>
      <c r="AR107" s="233"/>
      <c r="AS107" s="14"/>
      <c r="AU107" s="216" t="s">
        <v>175</v>
      </c>
      <c r="AV107" s="245">
        <v>300000000</v>
      </c>
    </row>
    <row r="108" spans="1:48" x14ac:dyDescent="0.25">
      <c r="A108" s="14"/>
      <c r="H108" s="215"/>
      <c r="I108" s="215"/>
      <c r="K108" s="233"/>
      <c r="L108" s="14"/>
      <c r="AL108" s="233"/>
      <c r="AM108" s="233"/>
      <c r="AN108" s="233"/>
      <c r="AO108" s="233"/>
      <c r="AP108" s="233"/>
      <c r="AQ108" s="233"/>
      <c r="AR108" s="233"/>
      <c r="AS108" s="14"/>
      <c r="AU108" s="216" t="s">
        <v>176</v>
      </c>
      <c r="AV108" s="246"/>
    </row>
    <row r="109" spans="1:48" ht="15.75" x14ac:dyDescent="0.25">
      <c r="A109" s="14"/>
      <c r="H109" s="215"/>
      <c r="I109" s="215"/>
      <c r="K109" s="233"/>
      <c r="L109" s="14"/>
      <c r="W109" s="247"/>
      <c r="AE109" s="248"/>
      <c r="AL109" s="233"/>
      <c r="AM109" s="233"/>
      <c r="AN109" s="233"/>
      <c r="AO109" s="233"/>
      <c r="AP109" s="233"/>
      <c r="AQ109" s="233"/>
      <c r="AR109" s="233"/>
      <c r="AS109" s="14"/>
      <c r="AV109" s="235"/>
    </row>
    <row r="110" spans="1:48" x14ac:dyDescent="0.25">
      <c r="A110" s="14"/>
      <c r="H110" s="215"/>
      <c r="I110" s="215"/>
      <c r="K110" s="233"/>
      <c r="L110" s="14"/>
      <c r="AL110" s="233"/>
      <c r="AM110" s="233"/>
      <c r="AN110" s="233"/>
      <c r="AO110" s="233"/>
      <c r="AP110" s="233"/>
      <c r="AQ110" s="233"/>
      <c r="AR110" s="233"/>
      <c r="AS110" s="14"/>
    </row>
    <row r="111" spans="1:48" ht="15.75" thickBot="1" x14ac:dyDescent="0.3">
      <c r="A111" s="14"/>
      <c r="H111" s="215"/>
      <c r="I111" s="215"/>
      <c r="K111" s="233"/>
      <c r="L111" s="14"/>
      <c r="AL111" s="233"/>
      <c r="AM111" s="233"/>
      <c r="AN111" s="233"/>
      <c r="AO111" s="233"/>
      <c r="AP111" s="233"/>
      <c r="AQ111" s="233"/>
      <c r="AR111" s="233"/>
      <c r="AS111" s="14"/>
    </row>
    <row r="112" spans="1:48" ht="16.5" customHeight="1" thickBot="1" x14ac:dyDescent="0.3">
      <c r="A112" s="14"/>
      <c r="H112" s="215"/>
      <c r="I112" s="215"/>
      <c r="K112" s="233"/>
      <c r="L112" s="14"/>
      <c r="N112" s="249" t="s">
        <v>177</v>
      </c>
      <c r="O112" s="250"/>
      <c r="P112" s="250"/>
      <c r="Q112" s="250"/>
      <c r="R112" s="250"/>
      <c r="S112" s="251"/>
      <c r="AL112" s="233"/>
      <c r="AM112" s="233"/>
      <c r="AN112" s="233"/>
      <c r="AO112" s="233"/>
      <c r="AP112" s="233"/>
      <c r="AQ112" s="233"/>
      <c r="AR112" s="233"/>
      <c r="AS112" s="14"/>
    </row>
    <row r="113" spans="1:48" x14ac:dyDescent="0.25">
      <c r="A113" s="14"/>
      <c r="B113" s="252" t="s">
        <v>178</v>
      </c>
      <c r="C113" s="252" t="s">
        <v>179</v>
      </c>
      <c r="D113" s="252" t="s">
        <v>30</v>
      </c>
      <c r="E113" s="252" t="s">
        <v>180</v>
      </c>
      <c r="F113" s="252" t="s">
        <v>21</v>
      </c>
      <c r="H113" s="215"/>
      <c r="I113" s="215"/>
      <c r="K113" s="233"/>
      <c r="L113" s="14"/>
      <c r="N113" s="253" t="s">
        <v>181</v>
      </c>
      <c r="O113" s="254" t="s">
        <v>182</v>
      </c>
      <c r="P113" s="255" t="s">
        <v>183</v>
      </c>
      <c r="Q113" s="255" t="s">
        <v>184</v>
      </c>
      <c r="R113" s="256" t="s">
        <v>185</v>
      </c>
      <c r="S113" s="14"/>
      <c r="W113" s="232"/>
      <c r="X113" s="14"/>
      <c r="AK113" s="233"/>
      <c r="AL113" s="233"/>
      <c r="AM113" s="233"/>
      <c r="AN113" s="233"/>
      <c r="AO113" s="233"/>
      <c r="AP113" s="233"/>
      <c r="AQ113" s="233"/>
      <c r="AS113" s="14"/>
    </row>
    <row r="114" spans="1:48" x14ac:dyDescent="0.25">
      <c r="A114" s="14"/>
      <c r="B114" s="257" t="s">
        <v>186</v>
      </c>
      <c r="C114" s="114" t="s">
        <v>187</v>
      </c>
      <c r="D114" s="177">
        <v>19.263000000000002</v>
      </c>
      <c r="E114" s="258" t="s">
        <v>188</v>
      </c>
      <c r="F114" s="215">
        <v>263302634</v>
      </c>
      <c r="H114" s="215"/>
      <c r="I114" s="215"/>
      <c r="K114" s="233"/>
      <c r="L114" s="14"/>
      <c r="N114" s="259" t="s">
        <v>4</v>
      </c>
      <c r="O114" s="260">
        <v>1</v>
      </c>
      <c r="P114" s="261">
        <f>1000</f>
        <v>1000</v>
      </c>
      <c r="R114" s="262"/>
      <c r="S114" s="14"/>
      <c r="W114" s="232"/>
      <c r="X114" s="14"/>
      <c r="AK114" s="233"/>
      <c r="AL114" s="233"/>
      <c r="AM114" s="233"/>
      <c r="AN114" s="233"/>
      <c r="AO114" s="233"/>
      <c r="AP114" s="233"/>
      <c r="AQ114" s="233"/>
      <c r="AS114" s="14"/>
      <c r="AV114" s="263"/>
    </row>
    <row r="115" spans="1:48" ht="15.75" x14ac:dyDescent="0.25">
      <c r="A115" s="14"/>
      <c r="B115" s="257"/>
      <c r="C115" s="114" t="s">
        <v>189</v>
      </c>
      <c r="D115" s="177">
        <v>16.79</v>
      </c>
      <c r="E115" s="258" t="s">
        <v>190</v>
      </c>
      <c r="F115" s="264">
        <v>3198793</v>
      </c>
      <c r="H115" s="215"/>
      <c r="I115" s="215"/>
      <c r="K115" s="233"/>
      <c r="L115" s="14"/>
      <c r="N115" s="265" t="s">
        <v>191</v>
      </c>
      <c r="O115" s="260">
        <f>S107</f>
        <v>0.27791873538826684</v>
      </c>
      <c r="P115" s="266">
        <f>P114*O115</f>
        <v>277.91873538826684</v>
      </c>
      <c r="Q115" s="267">
        <f t="shared" ref="Q115:Q116" si="6">P114-P115</f>
        <v>722.0812646117331</v>
      </c>
      <c r="R115" s="268">
        <f>P115/P114</f>
        <v>0.27791873538826684</v>
      </c>
      <c r="S115" s="14" t="s">
        <v>192</v>
      </c>
      <c r="W115" s="232"/>
      <c r="X115" s="14"/>
      <c r="AK115" s="233"/>
      <c r="AL115" s="233"/>
      <c r="AM115" s="233"/>
      <c r="AN115" s="233"/>
      <c r="AO115" s="233"/>
      <c r="AP115" s="233"/>
      <c r="AQ115" s="233"/>
      <c r="AS115" s="14"/>
    </row>
    <row r="116" spans="1:48" ht="15.75" x14ac:dyDescent="0.25">
      <c r="A116" s="14"/>
      <c r="B116" s="114" t="s">
        <v>193</v>
      </c>
      <c r="C116" s="114" t="s">
        <v>187</v>
      </c>
      <c r="D116" s="177">
        <v>5.0739999999999998</v>
      </c>
      <c r="E116" s="114"/>
      <c r="F116" s="269"/>
      <c r="H116" s="215"/>
      <c r="I116" s="215"/>
      <c r="K116" s="233"/>
      <c r="L116" s="14"/>
      <c r="N116" s="265" t="s">
        <v>14</v>
      </c>
      <c r="O116" s="260">
        <f>W107</f>
        <v>0.58486462411414908</v>
      </c>
      <c r="P116" s="266">
        <f>P115*O116</f>
        <v>162.54483670713836</v>
      </c>
      <c r="Q116" s="267">
        <f t="shared" si="6"/>
        <v>115.37389868112848</v>
      </c>
      <c r="R116" s="268">
        <f>P116/P114</f>
        <v>0.16254483670713835</v>
      </c>
      <c r="S116" s="14" t="s">
        <v>194</v>
      </c>
      <c r="W116" s="232"/>
      <c r="X116" s="14"/>
      <c r="AK116" s="233"/>
      <c r="AL116" s="233"/>
      <c r="AM116" s="233"/>
      <c r="AN116" s="233"/>
      <c r="AO116" s="233"/>
      <c r="AP116" s="233"/>
      <c r="AQ116" s="233"/>
      <c r="AS116" s="14"/>
    </row>
    <row r="117" spans="1:48" ht="15.75" x14ac:dyDescent="0.25">
      <c r="A117" s="14"/>
      <c r="B117" s="114" t="s">
        <v>195</v>
      </c>
      <c r="C117" s="114" t="s">
        <v>187</v>
      </c>
      <c r="D117" s="177">
        <v>3.121</v>
      </c>
      <c r="E117" s="114" t="s">
        <v>196</v>
      </c>
      <c r="F117" s="264">
        <v>2004740</v>
      </c>
      <c r="H117" s="215"/>
      <c r="I117" s="215"/>
      <c r="K117" s="233"/>
      <c r="L117" s="14"/>
      <c r="N117" s="265" t="s">
        <v>44</v>
      </c>
      <c r="O117" s="260">
        <f>AI107</f>
        <v>0.83246788842009145</v>
      </c>
      <c r="P117" s="266">
        <f>P116*O117</f>
        <v>135.31335698718004</v>
      </c>
      <c r="Q117" s="267">
        <f>P116-P117</f>
        <v>27.231479719958315</v>
      </c>
      <c r="R117" s="268">
        <f>P117/P114</f>
        <v>0.13531335698718006</v>
      </c>
      <c r="S117" s="14" t="s">
        <v>197</v>
      </c>
      <c r="W117" s="232"/>
      <c r="X117" s="14"/>
      <c r="AK117" s="233"/>
      <c r="AL117" s="233"/>
      <c r="AM117" s="233"/>
      <c r="AN117" s="233"/>
      <c r="AO117" s="233"/>
      <c r="AP117" s="233"/>
      <c r="AQ117" s="233"/>
      <c r="AS117" s="14"/>
    </row>
    <row r="118" spans="1:48" ht="16.5" thickBot="1" x14ac:dyDescent="0.3">
      <c r="A118" s="14"/>
      <c r="B118" s="114" t="s">
        <v>198</v>
      </c>
      <c r="C118" s="114" t="s">
        <v>187</v>
      </c>
      <c r="D118" s="177">
        <v>2.2189999999999999</v>
      </c>
      <c r="E118" s="114" t="s">
        <v>199</v>
      </c>
      <c r="F118" s="269">
        <v>3120900</v>
      </c>
      <c r="H118" s="215"/>
      <c r="I118" s="215"/>
      <c r="K118" s="233"/>
      <c r="L118" s="14"/>
      <c r="N118" s="270" t="s">
        <v>200</v>
      </c>
      <c r="O118" s="271">
        <f>AP107</f>
        <v>0.70058493942251743</v>
      </c>
      <c r="P118" s="272">
        <f>P117*O118</f>
        <v>94.798500007921007</v>
      </c>
      <c r="Q118" s="273">
        <f>P117-P118</f>
        <v>40.514856979259037</v>
      </c>
      <c r="R118" s="274">
        <f>P118/P114</f>
        <v>9.4798500007921005E-2</v>
      </c>
      <c r="S118" s="14" t="s">
        <v>201</v>
      </c>
      <c r="W118" s="232"/>
      <c r="X118" s="14"/>
      <c r="AK118" s="233"/>
      <c r="AL118" s="233"/>
      <c r="AM118" s="233"/>
      <c r="AN118" s="233"/>
      <c r="AO118" s="233"/>
      <c r="AP118" s="233"/>
      <c r="AQ118" s="233"/>
      <c r="AS118" s="14"/>
    </row>
    <row r="119" spans="1:48" ht="15.75" x14ac:dyDescent="0.25">
      <c r="A119" s="14"/>
      <c r="B119" s="114" t="s">
        <v>202</v>
      </c>
      <c r="C119" s="114" t="s">
        <v>187</v>
      </c>
      <c r="D119" s="177">
        <v>429</v>
      </c>
      <c r="E119" s="114"/>
      <c r="F119" s="269"/>
      <c r="H119" s="215"/>
      <c r="I119" s="215"/>
      <c r="K119" s="233"/>
      <c r="L119" s="14"/>
      <c r="AL119" s="233"/>
      <c r="AM119" s="233"/>
      <c r="AN119" s="233"/>
      <c r="AO119" s="233"/>
      <c r="AP119" s="233"/>
      <c r="AQ119" s="233"/>
      <c r="AR119" s="233"/>
      <c r="AS119" s="14"/>
    </row>
    <row r="120" spans="1:48" x14ac:dyDescent="0.25">
      <c r="A120" s="14"/>
      <c r="B120" s="114" t="s">
        <v>203</v>
      </c>
      <c r="C120" s="114" t="s">
        <v>187</v>
      </c>
      <c r="D120" s="177">
        <v>1.544</v>
      </c>
      <c r="E120" s="257" t="s">
        <v>204</v>
      </c>
      <c r="F120" s="275">
        <v>1052050</v>
      </c>
      <c r="H120" s="215"/>
      <c r="I120" s="215"/>
      <c r="K120" s="233"/>
      <c r="L120" s="14"/>
      <c r="AL120" s="233"/>
      <c r="AM120" s="233"/>
      <c r="AN120" s="233"/>
      <c r="AO120" s="233"/>
      <c r="AP120" s="233"/>
      <c r="AQ120" s="233"/>
      <c r="AR120" s="233"/>
      <c r="AS120" s="14"/>
    </row>
    <row r="121" spans="1:48" ht="15.75" x14ac:dyDescent="0.25">
      <c r="A121" s="14"/>
      <c r="B121" s="114" t="s">
        <v>205</v>
      </c>
      <c r="C121" s="114" t="s">
        <v>187</v>
      </c>
      <c r="D121" s="177">
        <v>412</v>
      </c>
      <c r="E121" s="257"/>
      <c r="F121" s="275"/>
      <c r="H121" s="215"/>
      <c r="I121" s="248"/>
      <c r="K121" s="233"/>
      <c r="L121" s="14"/>
      <c r="AL121" s="233"/>
      <c r="AM121" s="233"/>
      <c r="AN121" s="233"/>
      <c r="AO121" s="233"/>
      <c r="AP121" s="233"/>
      <c r="AQ121" s="233"/>
      <c r="AR121" s="233"/>
      <c r="AS121" s="14"/>
    </row>
    <row r="122" spans="1:48" ht="15.75" thickBot="1" x14ac:dyDescent="0.3">
      <c r="A122" s="14"/>
      <c r="B122" s="114" t="s">
        <v>206</v>
      </c>
      <c r="C122" s="114" t="s">
        <v>187</v>
      </c>
      <c r="D122" s="177">
        <v>260</v>
      </c>
      <c r="E122" s="257"/>
      <c r="F122" s="275"/>
      <c r="H122" s="215"/>
      <c r="I122" s="215"/>
      <c r="K122" s="233"/>
      <c r="L122" s="14"/>
      <c r="N122" s="276"/>
      <c r="O122" s="277"/>
      <c r="P122" s="276"/>
      <c r="Q122" s="276"/>
      <c r="R122" s="276"/>
      <c r="AL122" s="233"/>
      <c r="AM122" s="233"/>
      <c r="AN122" s="233"/>
      <c r="AO122" s="233"/>
      <c r="AP122" s="233"/>
      <c r="AQ122" s="233"/>
      <c r="AR122" s="233"/>
      <c r="AS122" s="14"/>
    </row>
    <row r="123" spans="1:48" x14ac:dyDescent="0.25">
      <c r="A123" s="14"/>
      <c r="B123" s="114"/>
      <c r="C123" s="114"/>
      <c r="D123" s="114"/>
      <c r="E123" s="114"/>
      <c r="F123" s="278"/>
      <c r="H123" s="215"/>
      <c r="I123" s="215"/>
      <c r="K123" s="233"/>
      <c r="L123" s="14"/>
      <c r="N123" s="279" t="s">
        <v>4</v>
      </c>
      <c r="O123" s="277">
        <f>P114*14000</f>
        <v>14000000</v>
      </c>
      <c r="P123" s="276"/>
      <c r="Q123" s="276">
        <v>16500</v>
      </c>
      <c r="R123" s="276"/>
      <c r="AL123" s="233"/>
      <c r="AM123" s="233"/>
      <c r="AN123" s="233"/>
      <c r="AO123" s="233"/>
      <c r="AP123" s="233"/>
      <c r="AQ123" s="233"/>
      <c r="AR123" s="233"/>
      <c r="AS123" s="14"/>
    </row>
    <row r="124" spans="1:48" x14ac:dyDescent="0.25">
      <c r="A124" s="14"/>
      <c r="C124" s="215"/>
      <c r="D124" s="215"/>
      <c r="F124" s="233"/>
      <c r="L124" s="14"/>
      <c r="N124" s="280" t="s">
        <v>191</v>
      </c>
      <c r="O124" s="277">
        <f>P114*I105</f>
        <v>17255000000</v>
      </c>
      <c r="P124" s="276"/>
      <c r="Q124" s="276">
        <f>Q123*1.2</f>
        <v>19800</v>
      </c>
      <c r="R124" s="276"/>
      <c r="AF124" s="233"/>
      <c r="AG124" s="233"/>
      <c r="AH124" s="233"/>
      <c r="AI124" s="233"/>
      <c r="AJ124" s="233"/>
      <c r="AK124" s="233"/>
      <c r="AL124" s="233"/>
      <c r="AS124" s="14"/>
    </row>
    <row r="125" spans="1:48" x14ac:dyDescent="0.25">
      <c r="A125" s="14"/>
      <c r="F125" s="281">
        <f>SUM(F114:F122)</f>
        <v>272679117</v>
      </c>
      <c r="H125" s="215">
        <f>I107+AC107+AD107+AJ107+AQ107</f>
        <v>263302634</v>
      </c>
      <c r="I125" s="215"/>
      <c r="K125" s="233"/>
      <c r="L125" s="14"/>
      <c r="N125" s="280" t="s">
        <v>14</v>
      </c>
      <c r="O125" s="277">
        <f>P115*I107</f>
        <v>73176735065.679672</v>
      </c>
      <c r="P125" s="276"/>
      <c r="Q125" s="276"/>
      <c r="R125" s="276"/>
      <c r="AL125" s="233"/>
      <c r="AM125" s="233"/>
      <c r="AN125" s="233"/>
      <c r="AO125" s="233"/>
      <c r="AP125" s="233"/>
      <c r="AQ125" s="233"/>
      <c r="AR125" s="233"/>
      <c r="AS125" s="14"/>
    </row>
    <row r="126" spans="1:48" x14ac:dyDescent="0.25">
      <c r="A126" s="14"/>
      <c r="F126" s="281">
        <f>300000000-F125</f>
        <v>27320883</v>
      </c>
      <c r="H126" s="215"/>
      <c r="I126" s="215"/>
      <c r="K126" s="233"/>
      <c r="L126" s="14"/>
      <c r="N126" s="280" t="s">
        <v>44</v>
      </c>
      <c r="O126" s="277">
        <f>P116*I108</f>
        <v>0</v>
      </c>
      <c r="P126" s="282">
        <f>SUM(O123:O126)</f>
        <v>90445735065.679672</v>
      </c>
      <c r="Q126" s="282">
        <f>P126/P117</f>
        <v>668416903.39741361</v>
      </c>
      <c r="R126" s="276"/>
      <c r="AL126" s="233"/>
      <c r="AM126" s="233"/>
      <c r="AN126" s="233"/>
      <c r="AO126" s="233"/>
      <c r="AP126" s="233"/>
      <c r="AQ126" s="233"/>
      <c r="AR126" s="233"/>
      <c r="AS126" s="14"/>
    </row>
    <row r="127" spans="1:48" ht="15.75" thickBot="1" x14ac:dyDescent="0.3">
      <c r="A127" s="14"/>
      <c r="H127" s="215"/>
      <c r="I127" s="215"/>
      <c r="K127" s="233"/>
      <c r="L127" s="14"/>
      <c r="N127" s="283" t="s">
        <v>200</v>
      </c>
      <c r="O127" s="277">
        <f>P117*500</f>
        <v>67656.678493590021</v>
      </c>
      <c r="P127" s="276"/>
      <c r="Q127" s="276"/>
      <c r="R127" s="276"/>
      <c r="AL127" s="233"/>
      <c r="AM127" s="233"/>
      <c r="AN127" s="233"/>
      <c r="AO127" s="233"/>
      <c r="AP127" s="233"/>
      <c r="AQ127" s="233"/>
      <c r="AR127" s="233"/>
      <c r="AS127" s="14"/>
    </row>
    <row r="128" spans="1:48" x14ac:dyDescent="0.25">
      <c r="A128" s="14"/>
      <c r="H128" s="215"/>
      <c r="I128" s="215"/>
      <c r="K128" s="233"/>
      <c r="L128" s="14"/>
      <c r="N128" s="276"/>
      <c r="O128" s="277">
        <f>SUM(O123:O127)</f>
        <v>90445802722.35817</v>
      </c>
      <c r="P128" s="282">
        <f>O128/P118</f>
        <v>954084745.16791785</v>
      </c>
      <c r="Q128" s="276"/>
      <c r="R128" s="276"/>
      <c r="AL128" s="233"/>
      <c r="AM128" s="233"/>
      <c r="AN128" s="233"/>
      <c r="AO128" s="233"/>
      <c r="AP128" s="233"/>
      <c r="AQ128" s="233"/>
      <c r="AR128" s="233"/>
      <c r="AS128" s="14"/>
    </row>
    <row r="129" spans="1:45" x14ac:dyDescent="0.25">
      <c r="A129" s="14"/>
      <c r="H129" s="215"/>
      <c r="I129" s="215"/>
      <c r="K129" s="233"/>
      <c r="L129" s="14"/>
      <c r="N129" s="276"/>
      <c r="O129" s="277"/>
      <c r="P129" s="276"/>
      <c r="Q129" s="276"/>
      <c r="R129" s="276"/>
      <c r="AL129" s="233"/>
      <c r="AM129" s="233"/>
      <c r="AN129" s="233"/>
      <c r="AO129" s="233"/>
      <c r="AP129" s="233"/>
      <c r="AQ129" s="233"/>
      <c r="AR129" s="233"/>
      <c r="AS129" s="14"/>
    </row>
    <row r="130" spans="1:45" x14ac:dyDescent="0.25">
      <c r="A130" s="14"/>
      <c r="H130" s="215"/>
      <c r="I130" s="215"/>
      <c r="K130" s="233"/>
      <c r="L130" s="14"/>
      <c r="N130" s="276"/>
      <c r="O130" s="277"/>
      <c r="P130" s="276"/>
      <c r="Q130" s="276"/>
      <c r="R130" s="276"/>
      <c r="AL130" s="233"/>
      <c r="AM130" s="233"/>
      <c r="AN130" s="233"/>
      <c r="AO130" s="233"/>
      <c r="AP130" s="233"/>
      <c r="AQ130" s="233"/>
      <c r="AR130" s="233"/>
      <c r="AS130" s="14"/>
    </row>
    <row r="131" spans="1:45" x14ac:dyDescent="0.25">
      <c r="A131" s="14"/>
      <c r="H131" s="215"/>
      <c r="I131" s="215"/>
      <c r="K131" s="233"/>
      <c r="L131" s="14"/>
      <c r="AL131" s="233"/>
      <c r="AM131" s="233"/>
      <c r="AN131" s="233"/>
      <c r="AO131" s="233"/>
      <c r="AP131" s="233"/>
      <c r="AQ131" s="233"/>
      <c r="AR131" s="233"/>
      <c r="AS131" s="14"/>
    </row>
    <row r="132" spans="1:45" x14ac:dyDescent="0.25">
      <c r="A132" s="14"/>
      <c r="K132" s="233"/>
      <c r="L132" s="14"/>
      <c r="AL132" s="233"/>
      <c r="AM132" s="233"/>
      <c r="AN132" s="233"/>
      <c r="AO132" s="233"/>
      <c r="AP132" s="233"/>
      <c r="AQ132" s="233"/>
      <c r="AR132" s="233"/>
      <c r="AS132" s="14"/>
    </row>
    <row r="133" spans="1:45" x14ac:dyDescent="0.25">
      <c r="A133" s="14"/>
      <c r="K133" s="233"/>
      <c r="L133" s="14"/>
      <c r="AL133" s="233"/>
      <c r="AM133" s="233"/>
      <c r="AN133" s="233"/>
      <c r="AO133" s="233"/>
      <c r="AP133" s="233"/>
      <c r="AQ133" s="233"/>
      <c r="AR133" s="233"/>
      <c r="AS133" s="14"/>
    </row>
    <row r="134" spans="1:45" x14ac:dyDescent="0.25">
      <c r="A134" s="14"/>
      <c r="K134" s="233"/>
      <c r="L134" s="14"/>
      <c r="AL134" s="233"/>
      <c r="AM134" s="233"/>
      <c r="AN134" s="233"/>
      <c r="AO134" s="233"/>
      <c r="AP134" s="233"/>
      <c r="AQ134" s="233"/>
      <c r="AR134" s="233"/>
      <c r="AS134" s="14"/>
    </row>
    <row r="135" spans="1:45" x14ac:dyDescent="0.25">
      <c r="A135" s="14"/>
      <c r="K135" s="233"/>
      <c r="L135" s="14"/>
      <c r="AL135" s="233"/>
      <c r="AM135" s="233"/>
      <c r="AN135" s="233"/>
      <c r="AO135" s="233"/>
      <c r="AP135" s="233"/>
      <c r="AQ135" s="233"/>
      <c r="AR135" s="233"/>
      <c r="AS135" s="14"/>
    </row>
    <row r="136" spans="1:45" x14ac:dyDescent="0.25">
      <c r="A136" s="14"/>
      <c r="K136" s="233"/>
      <c r="L136" s="14"/>
      <c r="AL136" s="233"/>
      <c r="AM136" s="233"/>
      <c r="AN136" s="233"/>
      <c r="AO136" s="233"/>
      <c r="AP136" s="233"/>
      <c r="AQ136" s="233"/>
      <c r="AR136" s="233"/>
      <c r="AS136" s="14"/>
    </row>
    <row r="137" spans="1:45" x14ac:dyDescent="0.25">
      <c r="A137" s="14"/>
      <c r="K137" s="233"/>
      <c r="L137" s="14"/>
      <c r="AL137" s="233"/>
      <c r="AM137" s="233"/>
      <c r="AN137" s="233"/>
      <c r="AO137" s="233"/>
      <c r="AP137" s="233"/>
      <c r="AQ137" s="233"/>
      <c r="AR137" s="233"/>
      <c r="AS137" s="14"/>
    </row>
    <row r="138" spans="1:45" x14ac:dyDescent="0.25">
      <c r="A138" s="14"/>
      <c r="K138" s="233"/>
      <c r="L138" s="14"/>
      <c r="AL138" s="233"/>
      <c r="AM138" s="233"/>
      <c r="AN138" s="233"/>
      <c r="AO138" s="233"/>
      <c r="AP138" s="233"/>
      <c r="AQ138" s="233"/>
      <c r="AR138" s="233"/>
      <c r="AS138" s="14"/>
    </row>
    <row r="139" spans="1:45" x14ac:dyDescent="0.25">
      <c r="A139" s="14"/>
      <c r="K139" s="233"/>
      <c r="L139" s="14"/>
      <c r="AL139" s="233"/>
      <c r="AM139" s="233"/>
      <c r="AN139" s="233"/>
      <c r="AO139" s="233"/>
      <c r="AP139" s="233"/>
      <c r="AQ139" s="233"/>
      <c r="AR139" s="233"/>
      <c r="AS139" s="14"/>
    </row>
    <row r="140" spans="1:45" x14ac:dyDescent="0.25">
      <c r="A140" s="14"/>
      <c r="K140" s="233"/>
      <c r="L140" s="14"/>
      <c r="AL140" s="233"/>
      <c r="AM140" s="233"/>
      <c r="AN140" s="233"/>
      <c r="AO140" s="233"/>
      <c r="AP140" s="233"/>
      <c r="AQ140" s="233"/>
      <c r="AR140" s="233"/>
      <c r="AS140" s="14"/>
    </row>
    <row r="141" spans="1:45" x14ac:dyDescent="0.25">
      <c r="A141" s="14"/>
      <c r="K141" s="233"/>
      <c r="L141" s="14"/>
      <c r="AL141" s="233"/>
      <c r="AM141" s="233"/>
      <c r="AN141" s="233"/>
      <c r="AO141" s="233"/>
      <c r="AP141" s="233"/>
      <c r="AQ141" s="233"/>
      <c r="AR141" s="233"/>
      <c r="AS141" s="14"/>
    </row>
    <row r="142" spans="1:45" x14ac:dyDescent="0.25">
      <c r="A142" s="14"/>
      <c r="K142" s="233"/>
      <c r="L142" s="14"/>
      <c r="AL142" s="233"/>
      <c r="AM142" s="233"/>
      <c r="AN142" s="233"/>
      <c r="AO142" s="233"/>
      <c r="AP142" s="233"/>
      <c r="AQ142" s="233"/>
      <c r="AR142" s="233"/>
      <c r="AS142" s="14"/>
    </row>
    <row r="143" spans="1:45" x14ac:dyDescent="0.25">
      <c r="A143" s="14"/>
      <c r="K143" s="233"/>
      <c r="L143" s="14"/>
      <c r="AL143" s="233"/>
      <c r="AM143" s="233"/>
      <c r="AN143" s="233"/>
      <c r="AO143" s="233"/>
      <c r="AP143" s="233"/>
      <c r="AQ143" s="233"/>
      <c r="AR143" s="233"/>
      <c r="AS143" s="14"/>
    </row>
    <row r="144" spans="1:45" x14ac:dyDescent="0.25">
      <c r="A144" s="14"/>
      <c r="K144" s="233"/>
      <c r="L144" s="14"/>
      <c r="AL144" s="233"/>
      <c r="AM144" s="233"/>
      <c r="AN144" s="233"/>
      <c r="AO144" s="233"/>
      <c r="AP144" s="233"/>
      <c r="AQ144" s="233"/>
      <c r="AR144" s="233"/>
      <c r="AS144" s="14"/>
    </row>
    <row r="145" spans="1:45" x14ac:dyDescent="0.25">
      <c r="A145" s="14"/>
      <c r="K145" s="233"/>
      <c r="L145" s="14"/>
      <c r="AL145" s="233"/>
      <c r="AM145" s="233"/>
      <c r="AN145" s="233"/>
      <c r="AO145" s="233"/>
      <c r="AP145" s="233"/>
      <c r="AQ145" s="233"/>
      <c r="AR145" s="233"/>
      <c r="AS145" s="14"/>
    </row>
    <row r="146" spans="1:45" x14ac:dyDescent="0.25">
      <c r="A146" s="14"/>
      <c r="K146" s="233"/>
      <c r="L146" s="14"/>
      <c r="AL146" s="233"/>
      <c r="AM146" s="233"/>
      <c r="AN146" s="233"/>
      <c r="AO146" s="233"/>
      <c r="AP146" s="233"/>
      <c r="AQ146" s="233"/>
      <c r="AR146" s="233"/>
      <c r="AS146" s="14"/>
    </row>
    <row r="147" spans="1:45" x14ac:dyDescent="0.25">
      <c r="A147" s="14"/>
      <c r="K147" s="233"/>
      <c r="L147" s="14"/>
      <c r="AL147" s="233"/>
      <c r="AM147" s="233"/>
      <c r="AN147" s="233"/>
      <c r="AO147" s="233"/>
      <c r="AP147" s="233"/>
      <c r="AQ147" s="233"/>
      <c r="AR147" s="233"/>
      <c r="AS147" s="14"/>
    </row>
    <row r="148" spans="1:45" x14ac:dyDescent="0.25">
      <c r="A148" s="14"/>
      <c r="K148" s="233"/>
      <c r="L148" s="14"/>
      <c r="AL148" s="233"/>
      <c r="AM148" s="233"/>
      <c r="AN148" s="233"/>
      <c r="AO148" s="233"/>
      <c r="AP148" s="233"/>
      <c r="AQ148" s="233"/>
      <c r="AR148" s="233"/>
      <c r="AS148" s="14"/>
    </row>
    <row r="149" spans="1:45" x14ac:dyDescent="0.25">
      <c r="A149" s="14"/>
      <c r="K149" s="233"/>
      <c r="L149" s="14"/>
      <c r="AL149" s="233"/>
      <c r="AM149" s="233"/>
      <c r="AN149" s="233"/>
      <c r="AO149" s="233"/>
      <c r="AP149" s="233"/>
      <c r="AQ149" s="233"/>
      <c r="AR149" s="233"/>
      <c r="AS149" s="14"/>
    </row>
    <row r="150" spans="1:45" x14ac:dyDescent="0.25">
      <c r="A150" s="14"/>
      <c r="K150" s="233"/>
      <c r="L150" s="14"/>
      <c r="AL150" s="233"/>
      <c r="AM150" s="233"/>
      <c r="AN150" s="233"/>
      <c r="AO150" s="233"/>
      <c r="AP150" s="233"/>
      <c r="AQ150" s="233"/>
      <c r="AR150" s="233"/>
      <c r="AS150" s="14"/>
    </row>
    <row r="151" spans="1:45" x14ac:dyDescent="0.25">
      <c r="A151" s="14"/>
      <c r="K151" s="233"/>
      <c r="L151" s="14"/>
      <c r="AL151" s="233"/>
      <c r="AM151" s="233"/>
      <c r="AN151" s="233"/>
      <c r="AO151" s="233"/>
      <c r="AP151" s="233"/>
      <c r="AQ151" s="233"/>
      <c r="AR151" s="233"/>
      <c r="AS151" s="14"/>
    </row>
    <row r="152" spans="1:45" x14ac:dyDescent="0.25">
      <c r="A152" s="14"/>
      <c r="K152" s="233"/>
      <c r="L152" s="14"/>
      <c r="AL152" s="233"/>
      <c r="AM152" s="233"/>
      <c r="AN152" s="233"/>
      <c r="AO152" s="233"/>
      <c r="AP152" s="233"/>
      <c r="AQ152" s="233"/>
      <c r="AR152" s="233"/>
      <c r="AS152" s="14"/>
    </row>
  </sheetData>
  <autoFilter ref="A2:AT16" xr:uid="{00000000-0009-0000-0000-000000000000}"/>
  <mergeCells count="468">
    <mergeCell ref="N112:R112"/>
    <mergeCell ref="B114:B115"/>
    <mergeCell ref="E120:E122"/>
    <mergeCell ref="F120:F122"/>
    <mergeCell ref="AE99:AE104"/>
    <mergeCell ref="AF99:AF104"/>
    <mergeCell ref="AS99:AS104"/>
    <mergeCell ref="AT99:AT104"/>
    <mergeCell ref="AU99:AU104"/>
    <mergeCell ref="AV99:AV104"/>
    <mergeCell ref="Y99:Y104"/>
    <mergeCell ref="Z99:Z104"/>
    <mergeCell ref="AA99:AA104"/>
    <mergeCell ref="AB99:AB104"/>
    <mergeCell ref="AC99:AC104"/>
    <mergeCell ref="AD99:AD104"/>
    <mergeCell ref="S99:S104"/>
    <mergeCell ref="T99:T104"/>
    <mergeCell ref="U99:U104"/>
    <mergeCell ref="V99:V104"/>
    <mergeCell ref="W99:W104"/>
    <mergeCell ref="X99:X104"/>
    <mergeCell ref="AV92:AV98"/>
    <mergeCell ref="C99:C104"/>
    <mergeCell ref="J99:J104"/>
    <mergeCell ref="K99:K104"/>
    <mergeCell ref="M99:M104"/>
    <mergeCell ref="N99:N104"/>
    <mergeCell ref="O99:O104"/>
    <mergeCell ref="P99:P104"/>
    <mergeCell ref="Q99:Q104"/>
    <mergeCell ref="R99:R104"/>
    <mergeCell ref="AD92:AD98"/>
    <mergeCell ref="AE92:AE98"/>
    <mergeCell ref="AF92:AF98"/>
    <mergeCell ref="AS92:AS98"/>
    <mergeCell ref="AT92:AT98"/>
    <mergeCell ref="AU92:AU98"/>
    <mergeCell ref="X92:X98"/>
    <mergeCell ref="Y92:Y98"/>
    <mergeCell ref="Z92:Z98"/>
    <mergeCell ref="AA92:AA98"/>
    <mergeCell ref="AB92:AB98"/>
    <mergeCell ref="AC92:AC98"/>
    <mergeCell ref="R92:R98"/>
    <mergeCell ref="S92:S98"/>
    <mergeCell ref="T92:T98"/>
    <mergeCell ref="U92:U98"/>
    <mergeCell ref="V92:V98"/>
    <mergeCell ref="W92:W98"/>
    <mergeCell ref="AU84:AU91"/>
    <mergeCell ref="AV84:AV91"/>
    <mergeCell ref="C92:C98"/>
    <mergeCell ref="J92:J98"/>
    <mergeCell ref="K92:K98"/>
    <mergeCell ref="M92:M98"/>
    <mergeCell ref="N92:N98"/>
    <mergeCell ref="O92:O98"/>
    <mergeCell ref="P92:P98"/>
    <mergeCell ref="Q92:Q98"/>
    <mergeCell ref="AC84:AC91"/>
    <mergeCell ref="AD84:AD91"/>
    <mergeCell ref="AE84:AE91"/>
    <mergeCell ref="AF84:AF91"/>
    <mergeCell ref="AS84:AS91"/>
    <mergeCell ref="AT84:AT91"/>
    <mergeCell ref="W84:W91"/>
    <mergeCell ref="X84:X91"/>
    <mergeCell ref="Y84:Y91"/>
    <mergeCell ref="Z84:Z91"/>
    <mergeCell ref="AA84:AA91"/>
    <mergeCell ref="AB84:AB91"/>
    <mergeCell ref="Q84:Q91"/>
    <mergeCell ref="R84:R91"/>
    <mergeCell ref="S84:S91"/>
    <mergeCell ref="T84:T91"/>
    <mergeCell ref="U84:U91"/>
    <mergeCell ref="V84:V91"/>
    <mergeCell ref="AT77:AT81"/>
    <mergeCell ref="AU77:AU81"/>
    <mergeCell ref="AV77:AV81"/>
    <mergeCell ref="C84:C91"/>
    <mergeCell ref="J84:J91"/>
    <mergeCell ref="K84:K91"/>
    <mergeCell ref="M84:M91"/>
    <mergeCell ref="N84:N91"/>
    <mergeCell ref="O84:O91"/>
    <mergeCell ref="P84:P91"/>
    <mergeCell ref="AB77:AB81"/>
    <mergeCell ref="AC77:AC81"/>
    <mergeCell ref="AD77:AD81"/>
    <mergeCell ref="AE77:AE81"/>
    <mergeCell ref="AF77:AF81"/>
    <mergeCell ref="AS77:AS81"/>
    <mergeCell ref="V77:V81"/>
    <mergeCell ref="W77:W81"/>
    <mergeCell ref="X77:X81"/>
    <mergeCell ref="Y77:Y81"/>
    <mergeCell ref="Z77:Z81"/>
    <mergeCell ref="AA77:AA81"/>
    <mergeCell ref="P77:P81"/>
    <mergeCell ref="Q77:Q81"/>
    <mergeCell ref="R77:R81"/>
    <mergeCell ref="S77:S81"/>
    <mergeCell ref="T77:T81"/>
    <mergeCell ref="U77:U81"/>
    <mergeCell ref="C77:C81"/>
    <mergeCell ref="J77:J81"/>
    <mergeCell ref="K77:K81"/>
    <mergeCell ref="M77:M81"/>
    <mergeCell ref="N77:N81"/>
    <mergeCell ref="O77:O81"/>
    <mergeCell ref="AE73:AE76"/>
    <mergeCell ref="AF73:AF76"/>
    <mergeCell ref="AS73:AS76"/>
    <mergeCell ref="AT73:AT76"/>
    <mergeCell ref="AU73:AU76"/>
    <mergeCell ref="AV73:AV76"/>
    <mergeCell ref="Y73:Y76"/>
    <mergeCell ref="Z73:Z76"/>
    <mergeCell ref="AA73:AA76"/>
    <mergeCell ref="AB73:AB76"/>
    <mergeCell ref="AC73:AC76"/>
    <mergeCell ref="AD73:AD76"/>
    <mergeCell ref="S73:S76"/>
    <mergeCell ref="T73:T76"/>
    <mergeCell ref="U73:U76"/>
    <mergeCell ref="V73:V76"/>
    <mergeCell ref="W73:W76"/>
    <mergeCell ref="X73:X76"/>
    <mergeCell ref="AV69:AV72"/>
    <mergeCell ref="C73:C76"/>
    <mergeCell ref="J73:J76"/>
    <mergeCell ref="K73:K76"/>
    <mergeCell ref="M73:M76"/>
    <mergeCell ref="N73:N76"/>
    <mergeCell ref="O73:O76"/>
    <mergeCell ref="P73:P76"/>
    <mergeCell ref="Q73:Q76"/>
    <mergeCell ref="R73:R76"/>
    <mergeCell ref="AD69:AD72"/>
    <mergeCell ref="AE69:AE72"/>
    <mergeCell ref="AF69:AF72"/>
    <mergeCell ref="AS69:AS72"/>
    <mergeCell ref="AT69:AT72"/>
    <mergeCell ref="AU69:AU72"/>
    <mergeCell ref="X69:X72"/>
    <mergeCell ref="Y69:Y72"/>
    <mergeCell ref="Z69:Z72"/>
    <mergeCell ref="AA69:AA72"/>
    <mergeCell ref="AB69:AB72"/>
    <mergeCell ref="AC69:AC72"/>
    <mergeCell ref="R69:R72"/>
    <mergeCell ref="S69:S72"/>
    <mergeCell ref="T69:T72"/>
    <mergeCell ref="U69:U72"/>
    <mergeCell ref="V69:V72"/>
    <mergeCell ref="W69:W72"/>
    <mergeCell ref="AU62:AU68"/>
    <mergeCell ref="AV62:AV68"/>
    <mergeCell ref="C69:C72"/>
    <mergeCell ref="J69:J72"/>
    <mergeCell ref="K69:K72"/>
    <mergeCell ref="M69:M72"/>
    <mergeCell ref="N69:N72"/>
    <mergeCell ref="O69:O72"/>
    <mergeCell ref="P69:P72"/>
    <mergeCell ref="Q69:Q72"/>
    <mergeCell ref="AB62:AB68"/>
    <mergeCell ref="AC62:AC68"/>
    <mergeCell ref="AD62:AD68"/>
    <mergeCell ref="AE62:AE68"/>
    <mergeCell ref="AF62:AF68"/>
    <mergeCell ref="AS62:AS68"/>
    <mergeCell ref="V62:V68"/>
    <mergeCell ref="W62:W68"/>
    <mergeCell ref="X62:X68"/>
    <mergeCell ref="Y62:Y68"/>
    <mergeCell ref="Z62:Z68"/>
    <mergeCell ref="AA62:AA68"/>
    <mergeCell ref="P62:P68"/>
    <mergeCell ref="Q62:Q68"/>
    <mergeCell ref="R62:R68"/>
    <mergeCell ref="S62:S68"/>
    <mergeCell ref="T62:T68"/>
    <mergeCell ref="U62:U68"/>
    <mergeCell ref="C62:C68"/>
    <mergeCell ref="J62:J68"/>
    <mergeCell ref="K62:K68"/>
    <mergeCell ref="M62:M68"/>
    <mergeCell ref="N62:N68"/>
    <mergeCell ref="O62:O68"/>
    <mergeCell ref="AE50:AE61"/>
    <mergeCell ref="AF50:AF61"/>
    <mergeCell ref="AS50:AS61"/>
    <mergeCell ref="AT50:AT61"/>
    <mergeCell ref="AU50:AU61"/>
    <mergeCell ref="AV50:AV61"/>
    <mergeCell ref="Y50:Y61"/>
    <mergeCell ref="Z50:Z61"/>
    <mergeCell ref="AA50:AA61"/>
    <mergeCell ref="AB50:AB61"/>
    <mergeCell ref="AC50:AC61"/>
    <mergeCell ref="AD50:AD61"/>
    <mergeCell ref="S50:S61"/>
    <mergeCell ref="T50:T61"/>
    <mergeCell ref="U50:U61"/>
    <mergeCell ref="V50:V61"/>
    <mergeCell ref="W50:W61"/>
    <mergeCell ref="X50:X61"/>
    <mergeCell ref="AV36:AV48"/>
    <mergeCell ref="C50:C61"/>
    <mergeCell ref="J50:J61"/>
    <mergeCell ref="K50:K61"/>
    <mergeCell ref="M50:M61"/>
    <mergeCell ref="N50:N61"/>
    <mergeCell ref="O50:O61"/>
    <mergeCell ref="P50:P61"/>
    <mergeCell ref="Q50:Q61"/>
    <mergeCell ref="R50:R61"/>
    <mergeCell ref="AD36:AD48"/>
    <mergeCell ref="AE36:AE48"/>
    <mergeCell ref="AF36:AF48"/>
    <mergeCell ref="AS36:AS48"/>
    <mergeCell ref="AT36:AT48"/>
    <mergeCell ref="AU36:AU48"/>
    <mergeCell ref="X36:X48"/>
    <mergeCell ref="Y36:Y48"/>
    <mergeCell ref="Z36:Z48"/>
    <mergeCell ref="AA36:AA48"/>
    <mergeCell ref="AB36:AB48"/>
    <mergeCell ref="AC36:AC48"/>
    <mergeCell ref="R36:R48"/>
    <mergeCell ref="S36:S48"/>
    <mergeCell ref="T36:T48"/>
    <mergeCell ref="U36:U48"/>
    <mergeCell ref="V36:V48"/>
    <mergeCell ref="W36:W48"/>
    <mergeCell ref="AU28:AU35"/>
    <mergeCell ref="AV28:AV35"/>
    <mergeCell ref="C36:C48"/>
    <mergeCell ref="J36:J48"/>
    <mergeCell ref="K36:K48"/>
    <mergeCell ref="M36:M48"/>
    <mergeCell ref="N36:N48"/>
    <mergeCell ref="O36:O48"/>
    <mergeCell ref="P36:P48"/>
    <mergeCell ref="Q36:Q48"/>
    <mergeCell ref="AB28:AB35"/>
    <mergeCell ref="AC28:AC35"/>
    <mergeCell ref="AD28:AD35"/>
    <mergeCell ref="AE28:AE35"/>
    <mergeCell ref="AF28:AF35"/>
    <mergeCell ref="AS28:AS35"/>
    <mergeCell ref="V28:V35"/>
    <mergeCell ref="W28:W35"/>
    <mergeCell ref="X28:X35"/>
    <mergeCell ref="Y28:Y35"/>
    <mergeCell ref="Z28:Z35"/>
    <mergeCell ref="AA28:AA35"/>
    <mergeCell ref="P28:P35"/>
    <mergeCell ref="Q28:Q35"/>
    <mergeCell ref="R28:R35"/>
    <mergeCell ref="S28:S35"/>
    <mergeCell ref="T28:T35"/>
    <mergeCell ref="U28:U35"/>
    <mergeCell ref="C28:C35"/>
    <mergeCell ref="J28:J35"/>
    <mergeCell ref="K28:K35"/>
    <mergeCell ref="M28:M35"/>
    <mergeCell ref="N28:N35"/>
    <mergeCell ref="O28:O35"/>
    <mergeCell ref="AE23:AE26"/>
    <mergeCell ref="AF23:AF26"/>
    <mergeCell ref="AS23:AS26"/>
    <mergeCell ref="AT23:AT26"/>
    <mergeCell ref="AU23:AU26"/>
    <mergeCell ref="AV23:AV26"/>
    <mergeCell ref="X23:X26"/>
    <mergeCell ref="Y23:Y26"/>
    <mergeCell ref="Z23:Z26"/>
    <mergeCell ref="AA23:AA26"/>
    <mergeCell ref="AB23:AB26"/>
    <mergeCell ref="AC23:AC26"/>
    <mergeCell ref="R23:R26"/>
    <mergeCell ref="S23:S26"/>
    <mergeCell ref="T23:T26"/>
    <mergeCell ref="U23:U26"/>
    <mergeCell ref="V23:V26"/>
    <mergeCell ref="W23:W26"/>
    <mergeCell ref="AU21:AU22"/>
    <mergeCell ref="AV21:AV22"/>
    <mergeCell ref="C23:C26"/>
    <mergeCell ref="J23:J26"/>
    <mergeCell ref="K23:K26"/>
    <mergeCell ref="M23:M26"/>
    <mergeCell ref="N23:N26"/>
    <mergeCell ref="O23:O26"/>
    <mergeCell ref="P23:P26"/>
    <mergeCell ref="Q23:Q26"/>
    <mergeCell ref="X21:X22"/>
    <mergeCell ref="Y21:Y22"/>
    <mergeCell ref="Z21:Z22"/>
    <mergeCell ref="AA21:AA22"/>
    <mergeCell ref="AB21:AB22"/>
    <mergeCell ref="AC21:AC22"/>
    <mergeCell ref="R21:R22"/>
    <mergeCell ref="S21:S22"/>
    <mergeCell ref="T21:T22"/>
    <mergeCell ref="U21:U22"/>
    <mergeCell ref="V21:V22"/>
    <mergeCell ref="W21:W22"/>
    <mergeCell ref="AU14:AU20"/>
    <mergeCell ref="AV14:AV20"/>
    <mergeCell ref="C21:C22"/>
    <mergeCell ref="J21:J22"/>
    <mergeCell ref="K21:K22"/>
    <mergeCell ref="M21:M22"/>
    <mergeCell ref="N21:N22"/>
    <mergeCell ref="O21:O22"/>
    <mergeCell ref="P21:P22"/>
    <mergeCell ref="Q21:Q22"/>
    <mergeCell ref="AO14:AO104"/>
    <mergeCell ref="AP14:AP104"/>
    <mergeCell ref="AQ14:AQ104"/>
    <mergeCell ref="AR14:AR104"/>
    <mergeCell ref="AS14:AS20"/>
    <mergeCell ref="AT14:AT20"/>
    <mergeCell ref="AS21:AS22"/>
    <mergeCell ref="AT21:AT22"/>
    <mergeCell ref="AT28:AT35"/>
    <mergeCell ref="AT62:AT68"/>
    <mergeCell ref="AI14:AI105"/>
    <mergeCell ref="AJ14:AJ105"/>
    <mergeCell ref="AK14:AK105"/>
    <mergeCell ref="AL14:AL104"/>
    <mergeCell ref="AM14:AM105"/>
    <mergeCell ref="AN14:AN104"/>
    <mergeCell ref="AC14:AC20"/>
    <mergeCell ref="AD14:AD20"/>
    <mergeCell ref="AE14:AE20"/>
    <mergeCell ref="AF14:AF20"/>
    <mergeCell ref="AG14:AG105"/>
    <mergeCell ref="AH14:AH105"/>
    <mergeCell ref="AD21:AD22"/>
    <mergeCell ref="AE21:AE22"/>
    <mergeCell ref="AF21:AF22"/>
    <mergeCell ref="AD23:AD26"/>
    <mergeCell ref="W14:W20"/>
    <mergeCell ref="X14:X20"/>
    <mergeCell ref="Y14:Y20"/>
    <mergeCell ref="Z14:Z20"/>
    <mergeCell ref="AA14:AA20"/>
    <mergeCell ref="AB14:AB20"/>
    <mergeCell ref="Q14:Q20"/>
    <mergeCell ref="R14:R20"/>
    <mergeCell ref="S14:S20"/>
    <mergeCell ref="T14:T20"/>
    <mergeCell ref="U14:U20"/>
    <mergeCell ref="V14:V20"/>
    <mergeCell ref="AT7:AT13"/>
    <mergeCell ref="AU7:AU13"/>
    <mergeCell ref="AV7:AV13"/>
    <mergeCell ref="C14:C20"/>
    <mergeCell ref="J14:J20"/>
    <mergeCell ref="K14:K20"/>
    <mergeCell ref="M14:M20"/>
    <mergeCell ref="N14:N20"/>
    <mergeCell ref="O14:O20"/>
    <mergeCell ref="P14:P20"/>
    <mergeCell ref="AH7:AH13"/>
    <mergeCell ref="AI7:AI13"/>
    <mergeCell ref="AJ7:AJ13"/>
    <mergeCell ref="AK7:AK13"/>
    <mergeCell ref="AL7:AL13"/>
    <mergeCell ref="AS7:AS13"/>
    <mergeCell ref="AB7:AB13"/>
    <mergeCell ref="AC7:AC13"/>
    <mergeCell ref="AD7:AD13"/>
    <mergeCell ref="AE7:AE13"/>
    <mergeCell ref="AF7:AF13"/>
    <mergeCell ref="AG7:AG13"/>
    <mergeCell ref="V7:V13"/>
    <mergeCell ref="W7:W13"/>
    <mergeCell ref="X7:X13"/>
    <mergeCell ref="Y7:Y13"/>
    <mergeCell ref="Z7:Z13"/>
    <mergeCell ref="AA7:AA13"/>
    <mergeCell ref="P7:P13"/>
    <mergeCell ref="Q7:Q13"/>
    <mergeCell ref="R7:R13"/>
    <mergeCell ref="S7:S13"/>
    <mergeCell ref="T7:T13"/>
    <mergeCell ref="U7:U13"/>
    <mergeCell ref="AS4:AS5"/>
    <mergeCell ref="AT4:AT5"/>
    <mergeCell ref="AU4:AU5"/>
    <mergeCell ref="AV4:AV5"/>
    <mergeCell ref="C7:C13"/>
    <mergeCell ref="J7:J13"/>
    <mergeCell ref="K7:K13"/>
    <mergeCell ref="M7:M13"/>
    <mergeCell ref="N7:N13"/>
    <mergeCell ref="O7:O13"/>
    <mergeCell ref="AM4:AM13"/>
    <mergeCell ref="AN4:AN13"/>
    <mergeCell ref="AO4:AO13"/>
    <mergeCell ref="AP4:AP13"/>
    <mergeCell ref="AQ4:AQ13"/>
    <mergeCell ref="AR4:AR13"/>
    <mergeCell ref="AG4:AG5"/>
    <mergeCell ref="AH4:AH5"/>
    <mergeCell ref="AI4:AI5"/>
    <mergeCell ref="AJ4:AJ5"/>
    <mergeCell ref="AK4:AK5"/>
    <mergeCell ref="AL4:AL5"/>
    <mergeCell ref="AA4:AA5"/>
    <mergeCell ref="AB4:AB5"/>
    <mergeCell ref="AC4:AC5"/>
    <mergeCell ref="AD4:AD5"/>
    <mergeCell ref="AE4:AE5"/>
    <mergeCell ref="AF4:AF5"/>
    <mergeCell ref="U4:U5"/>
    <mergeCell ref="V4:V5"/>
    <mergeCell ref="W4:W5"/>
    <mergeCell ref="X4:X5"/>
    <mergeCell ref="Y4:Y5"/>
    <mergeCell ref="Z4:Z5"/>
    <mergeCell ref="O4:O5"/>
    <mergeCell ref="P4:P5"/>
    <mergeCell ref="Q4:Q5"/>
    <mergeCell ref="R4:R5"/>
    <mergeCell ref="S4:S5"/>
    <mergeCell ref="T4:T5"/>
    <mergeCell ref="AR1:AR2"/>
    <mergeCell ref="AS1:AS2"/>
    <mergeCell ref="AT1:AT2"/>
    <mergeCell ref="AU1:AU2"/>
    <mergeCell ref="AV1:AV2"/>
    <mergeCell ref="C4:C5"/>
    <mergeCell ref="J4:J5"/>
    <mergeCell ref="K4:K5"/>
    <mergeCell ref="M4:M5"/>
    <mergeCell ref="N4:N5"/>
    <mergeCell ref="AE1:AE2"/>
    <mergeCell ref="AF1:AF2"/>
    <mergeCell ref="AG1:AK1"/>
    <mergeCell ref="AL1:AL2"/>
    <mergeCell ref="AM1:AP1"/>
    <mergeCell ref="AQ1:AQ2"/>
    <mergeCell ref="Q1:Q2"/>
    <mergeCell ref="R1:R2"/>
    <mergeCell ref="S1:S2"/>
    <mergeCell ref="T1:X1"/>
    <mergeCell ref="Y1:Y2"/>
    <mergeCell ref="AC1:AD1"/>
    <mergeCell ref="K1:K2"/>
    <mergeCell ref="L1:L2"/>
    <mergeCell ref="M1:M2"/>
    <mergeCell ref="N1:N2"/>
    <mergeCell ref="O1:O2"/>
    <mergeCell ref="P1:P2"/>
    <mergeCell ref="A1:A2"/>
    <mergeCell ref="B1:B2"/>
    <mergeCell ref="C1:C2"/>
    <mergeCell ref="D1:D2"/>
    <mergeCell ref="G1:I1"/>
    <mergeCell ref="J1:J2"/>
  </mergeCells>
  <pageMargins left="0.7" right="0.7" top="0.75" bottom="0.75" header="0.3" footer="0.3"/>
  <pageSetup scale="71" orientation="portrait" horizontalDpi="0" verticalDpi="0" r:id="rId1"/>
  <colBreaks count="2" manualBreakCount="2">
    <brk id="31" max="105" man="1"/>
    <brk id="43" max="10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pema</dc:creator>
  <cp:lastModifiedBy>pt pema</cp:lastModifiedBy>
  <dcterms:created xsi:type="dcterms:W3CDTF">2024-03-14T02:15:58Z</dcterms:created>
  <dcterms:modified xsi:type="dcterms:W3CDTF">2024-03-14T02:16:41Z</dcterms:modified>
</cp:coreProperties>
</file>