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9EE98D81-4034-4800-9299-997BB12E12EB}" xr6:coauthVersionLast="47" xr6:coauthVersionMax="47" xr10:uidLastSave="{00000000-0000-0000-0000-000000000000}"/>
  <bookViews>
    <workbookView xWindow="14295" yWindow="0" windowWidth="14610" windowHeight="15585" tabRatio="826" firstSheet="2" activeTab="2" xr2:uid="{00000000-000D-0000-FFFF-FFFF00000000}"/>
  </bookViews>
  <sheets>
    <sheet name="Assumption" sheetId="20" r:id="rId1"/>
    <sheet name="Rincian Tarif Toll" sheetId="80" r:id="rId2"/>
    <sheet name="ProjectValuation" sheetId="38" r:id="rId3"/>
    <sheet name="Sensitivity" sheetId="65" r:id="rId4"/>
    <sheet name="IncomeStatement" sheetId="41" r:id="rId5"/>
    <sheet name="CashFlow" sheetId="46" r:id="rId6"/>
    <sheet name="Variable Cost" sheetId="74" r:id="rId7"/>
    <sheet name="OVH Expenses" sheetId="75" r:id="rId8"/>
    <sheet name="Revenue" sheetId="28" r:id="rId9"/>
    <sheet name="Dividen" sheetId="78" r:id="rId10"/>
    <sheet name="EquityChange" sheetId="77" r:id="rId11"/>
    <sheet name="CapitalInvestment" sheetId="50" r:id="rId12"/>
    <sheet name="WorkingCapital" sheetId="60" r:id="rId13"/>
    <sheet name="CostofCapital" sheetId="72" r:id="rId14"/>
    <sheet name="SG&amp;A" sheetId="57" r:id="rId15"/>
    <sheet name="FreightCost" sheetId="61" state="hidden" r:id="rId16"/>
    <sheet name="Salary" sheetId="30" r:id="rId17"/>
    <sheet name="LoanInterest (2)" sheetId="81" r:id="rId18"/>
    <sheet name="LoanInterest" sheetId="29" r:id="rId19"/>
    <sheet name="Depreciation" sheetId="33" r:id="rId20"/>
    <sheet name="TransportReference" sheetId="62" state="hidden" r:id="rId21"/>
    <sheet name="Lamp P&amp;L" sheetId="51" state="hidden" r:id="rId22"/>
    <sheet name="Lamp CF" sheetId="52" state="hidden" r:id="rId23"/>
    <sheet name="Theory" sheetId="40" state="hidden" r:id="rId24"/>
    <sheet name="FullCosting" sheetId="53" state="hidden" r:id="rId25"/>
    <sheet name="Costs&amp;Expenses" sheetId="54" state="hidden" r:id="rId26"/>
    <sheet name="CostChecking" sheetId="45" state="hidden" r:id="rId27"/>
    <sheet name="Cost" sheetId="4" state="hidden" r:id="rId28"/>
    <sheet name="Supply schedule" sheetId="79" state="hidden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6" i="41" l="1"/>
  <c r="W26" i="38"/>
  <c r="W24" i="38"/>
  <c r="W25" i="38"/>
  <c r="AO10" i="60"/>
  <c r="AC20" i="29"/>
  <c r="AL11" i="60"/>
  <c r="AL12" i="60"/>
  <c r="AL13" i="60"/>
  <c r="AL22" i="60" s="1"/>
  <c r="AL14" i="60"/>
  <c r="AL15" i="60"/>
  <c r="AL16" i="60"/>
  <c r="AL17" i="60"/>
  <c r="AL18" i="60"/>
  <c r="AN18" i="60" s="1"/>
  <c r="AL19" i="60"/>
  <c r="AN19" i="60" s="1"/>
  <c r="AL20" i="60"/>
  <c r="AN20" i="60" s="1"/>
  <c r="AL21" i="60"/>
  <c r="AN21" i="60" s="1"/>
  <c r="AL10" i="60"/>
  <c r="AC8" i="29"/>
  <c r="AC21" i="29"/>
  <c r="AC31" i="29"/>
  <c r="AA72" i="29"/>
  <c r="AA59" i="29"/>
  <c r="AA46" i="29"/>
  <c r="AA33" i="29"/>
  <c r="AA20" i="29"/>
  <c r="AA21" i="29"/>
  <c r="AA22" i="29"/>
  <c r="AA23" i="29"/>
  <c r="AA24" i="29"/>
  <c r="AA25" i="29"/>
  <c r="AA26" i="29"/>
  <c r="AA27" i="29"/>
  <c r="AA28" i="29"/>
  <c r="AA29" i="29"/>
  <c r="AA30" i="29"/>
  <c r="AA31" i="29"/>
  <c r="AA32" i="29"/>
  <c r="AA34" i="29"/>
  <c r="AA35" i="29"/>
  <c r="AA36" i="29"/>
  <c r="AA37" i="29"/>
  <c r="AA38" i="29"/>
  <c r="AA39" i="29"/>
  <c r="AA40" i="29"/>
  <c r="AA41" i="29"/>
  <c r="AA42" i="29"/>
  <c r="AA43" i="29"/>
  <c r="AA44" i="29"/>
  <c r="AA45" i="29"/>
  <c r="AA47" i="29"/>
  <c r="AA48" i="29"/>
  <c r="AA49" i="29"/>
  <c r="AA50" i="29"/>
  <c r="AA51" i="29"/>
  <c r="AA52" i="29"/>
  <c r="AA53" i="29"/>
  <c r="AA54" i="29"/>
  <c r="AA55" i="29"/>
  <c r="AA56" i="29"/>
  <c r="AA57" i="29"/>
  <c r="AA58" i="29"/>
  <c r="AA60" i="29"/>
  <c r="AA61" i="29"/>
  <c r="AA62" i="29"/>
  <c r="AA63" i="29"/>
  <c r="AA64" i="29"/>
  <c r="AA65" i="29"/>
  <c r="AA66" i="29"/>
  <c r="AA67" i="29"/>
  <c r="AA68" i="29"/>
  <c r="AA69" i="29"/>
  <c r="AA70" i="29"/>
  <c r="AA71" i="29"/>
  <c r="AA9" i="29"/>
  <c r="AA10" i="29"/>
  <c r="AA11" i="29"/>
  <c r="AA12" i="29"/>
  <c r="AA13" i="29"/>
  <c r="AA14" i="29"/>
  <c r="AA15" i="29"/>
  <c r="AA16" i="29"/>
  <c r="AA17" i="29"/>
  <c r="AA18" i="29"/>
  <c r="AA19" i="29"/>
  <c r="AA8" i="29"/>
  <c r="AB8" i="29"/>
  <c r="R8" i="81"/>
  <c r="S8" i="81"/>
  <c r="Q9" i="81"/>
  <c r="Z8" i="29"/>
  <c r="X12" i="29"/>
  <c r="X13" i="29" s="1"/>
  <c r="X14" i="29" s="1"/>
  <c r="X15" i="29" s="1"/>
  <c r="X16" i="29" s="1"/>
  <c r="X17" i="29" s="1"/>
  <c r="X18" i="29" s="1"/>
  <c r="X19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10" i="29"/>
  <c r="X11" i="29" s="1"/>
  <c r="R71" i="81"/>
  <c r="R70" i="81"/>
  <c r="R69" i="81"/>
  <c r="R68" i="81"/>
  <c r="R67" i="81"/>
  <c r="R66" i="81"/>
  <c r="R65" i="81"/>
  <c r="R64" i="81"/>
  <c r="R63" i="81"/>
  <c r="R62" i="81"/>
  <c r="R61" i="81"/>
  <c r="R60" i="81"/>
  <c r="R72" i="81" s="1"/>
  <c r="R58" i="81"/>
  <c r="R56" i="81"/>
  <c r="R54" i="81"/>
  <c r="R52" i="81"/>
  <c r="R50" i="81"/>
  <c r="R48" i="81"/>
  <c r="R45" i="81"/>
  <c r="R43" i="81"/>
  <c r="R41" i="81"/>
  <c r="R39" i="81"/>
  <c r="R37" i="81"/>
  <c r="R35" i="81"/>
  <c r="K32" i="81"/>
  <c r="L32" i="81" s="1"/>
  <c r="R31" i="81"/>
  <c r="L31" i="81"/>
  <c r="L30" i="81"/>
  <c r="R29" i="81"/>
  <c r="L29" i="81"/>
  <c r="R28" i="81"/>
  <c r="L28" i="81"/>
  <c r="R26" i="81"/>
  <c r="R24" i="81"/>
  <c r="R22" i="81"/>
  <c r="R21" i="81"/>
  <c r="R18" i="81"/>
  <c r="R17" i="81"/>
  <c r="R16" i="81"/>
  <c r="J15" i="81"/>
  <c r="J16" i="81" s="1"/>
  <c r="L14" i="81"/>
  <c r="M14" i="81" s="1"/>
  <c r="K14" i="81"/>
  <c r="D14" i="81"/>
  <c r="R13" i="81"/>
  <c r="G13" i="81"/>
  <c r="G14" i="81" s="1"/>
  <c r="G15" i="81" s="1"/>
  <c r="G16" i="81" s="1"/>
  <c r="G17" i="81" s="1"/>
  <c r="D13" i="81"/>
  <c r="R12" i="81"/>
  <c r="G12" i="81"/>
  <c r="D12" i="81"/>
  <c r="G11" i="81"/>
  <c r="D11" i="81"/>
  <c r="O10" i="81"/>
  <c r="O11" i="81" s="1"/>
  <c r="O12" i="81" s="1"/>
  <c r="O13" i="81" s="1"/>
  <c r="O14" i="81" s="1"/>
  <c r="O15" i="81" s="1"/>
  <c r="O16" i="81" s="1"/>
  <c r="O17" i="81" s="1"/>
  <c r="O18" i="81" s="1"/>
  <c r="O19" i="81" s="1"/>
  <c r="O21" i="81" s="1"/>
  <c r="O22" i="81" s="1"/>
  <c r="O23" i="81" s="1"/>
  <c r="O24" i="81" s="1"/>
  <c r="O25" i="81" s="1"/>
  <c r="O26" i="81" s="1"/>
  <c r="O27" i="81" s="1"/>
  <c r="O28" i="81" s="1"/>
  <c r="O29" i="81" s="1"/>
  <c r="O30" i="81" s="1"/>
  <c r="O31" i="81" s="1"/>
  <c r="O32" i="81" s="1"/>
  <c r="O34" i="81" s="1"/>
  <c r="O35" i="81" s="1"/>
  <c r="O36" i="81" s="1"/>
  <c r="O37" i="81" s="1"/>
  <c r="O38" i="81" s="1"/>
  <c r="O39" i="81" s="1"/>
  <c r="O40" i="81" s="1"/>
  <c r="O41" i="81" s="1"/>
  <c r="O42" i="81" s="1"/>
  <c r="O43" i="81" s="1"/>
  <c r="O44" i="81" s="1"/>
  <c r="O45" i="81" s="1"/>
  <c r="O47" i="81" s="1"/>
  <c r="O48" i="81" s="1"/>
  <c r="O49" i="81" s="1"/>
  <c r="O50" i="81" s="1"/>
  <c r="O51" i="81" s="1"/>
  <c r="O52" i="81" s="1"/>
  <c r="O53" i="81" s="1"/>
  <c r="O54" i="81" s="1"/>
  <c r="O55" i="81" s="1"/>
  <c r="O56" i="81" s="1"/>
  <c r="O57" i="81" s="1"/>
  <c r="O58" i="81" s="1"/>
  <c r="O60" i="81" s="1"/>
  <c r="O61" i="81" s="1"/>
  <c r="O62" i="81" s="1"/>
  <c r="O63" i="81" s="1"/>
  <c r="O64" i="81" s="1"/>
  <c r="O65" i="81" s="1"/>
  <c r="O66" i="81" s="1"/>
  <c r="O67" i="81" s="1"/>
  <c r="O68" i="81" s="1"/>
  <c r="O69" i="81" s="1"/>
  <c r="O70" i="81" s="1"/>
  <c r="O71" i="81" s="1"/>
  <c r="G10" i="81"/>
  <c r="D9" i="81"/>
  <c r="H8" i="81" s="1"/>
  <c r="I8" i="81" s="1"/>
  <c r="Q8" i="81"/>
  <c r="R57" i="81" s="1"/>
  <c r="A2" i="81"/>
  <c r="A1" i="81"/>
  <c r="AC22" i="60"/>
  <c r="AI22" i="60"/>
  <c r="AK22" i="60"/>
  <c r="AM22" i="60"/>
  <c r="AN17" i="60"/>
  <c r="AN16" i="60"/>
  <c r="AN15" i="60"/>
  <c r="AN14" i="60"/>
  <c r="AN13" i="60"/>
  <c r="AN12" i="60"/>
  <c r="AN11" i="60"/>
  <c r="AN10" i="60"/>
  <c r="AP10" i="60" s="1"/>
  <c r="AM11" i="60"/>
  <c r="AM12" i="60"/>
  <c r="AM13" i="60"/>
  <c r="AM14" i="60"/>
  <c r="AM15" i="60"/>
  <c r="AM16" i="60"/>
  <c r="AM17" i="60"/>
  <c r="AM18" i="60"/>
  <c r="AM19" i="60"/>
  <c r="AM20" i="60"/>
  <c r="AM21" i="60"/>
  <c r="AM10" i="60"/>
  <c r="AK21" i="60"/>
  <c r="L26" i="46"/>
  <c r="K26" i="46"/>
  <c r="J26" i="46"/>
  <c r="I26" i="46"/>
  <c r="H26" i="46"/>
  <c r="G26" i="46"/>
  <c r="F26" i="46"/>
  <c r="E26" i="46"/>
  <c r="D26" i="46"/>
  <c r="G25" i="46"/>
  <c r="F25" i="46"/>
  <c r="E25" i="46"/>
  <c r="D25" i="46"/>
  <c r="C26" i="46"/>
  <c r="C25" i="46"/>
  <c r="J9" i="29"/>
  <c r="M8" i="29"/>
  <c r="J8" i="29"/>
  <c r="D20" i="41"/>
  <c r="E20" i="41"/>
  <c r="F20" i="41"/>
  <c r="G20" i="41"/>
  <c r="H20" i="41"/>
  <c r="I20" i="41"/>
  <c r="J20" i="41"/>
  <c r="K20" i="41"/>
  <c r="L20" i="41"/>
  <c r="B19" i="41"/>
  <c r="L23" i="41"/>
  <c r="K23" i="41"/>
  <c r="J23" i="41"/>
  <c r="M8" i="57"/>
  <c r="M9" i="57"/>
  <c r="M10" i="57"/>
  <c r="M11" i="57"/>
  <c r="M12" i="57"/>
  <c r="M13" i="57"/>
  <c r="M14" i="57"/>
  <c r="M15" i="57"/>
  <c r="M16" i="57"/>
  <c r="M7" i="57"/>
  <c r="M17" i="57" s="1"/>
  <c r="D12" i="29"/>
  <c r="L28" i="29"/>
  <c r="L29" i="29"/>
  <c r="L30" i="29"/>
  <c r="L31" i="29"/>
  <c r="L32" i="29"/>
  <c r="K32" i="29"/>
  <c r="Q25" i="29"/>
  <c r="R27" i="29"/>
  <c r="Q27" i="29"/>
  <c r="Q26" i="29"/>
  <c r="Q24" i="29"/>
  <c r="AI9" i="60"/>
  <c r="L7" i="57"/>
  <c r="AI10" i="60" s="1"/>
  <c r="O18" i="29"/>
  <c r="O19" i="29"/>
  <c r="O11" i="29"/>
  <c r="O12" i="29" s="1"/>
  <c r="O13" i="29" s="1"/>
  <c r="O14" i="29" s="1"/>
  <c r="O15" i="29" s="1"/>
  <c r="O16" i="29" s="1"/>
  <c r="O17" i="29" s="1"/>
  <c r="O10" i="29"/>
  <c r="AN22" i="60" l="1"/>
  <c r="J17" i="81"/>
  <c r="K17" i="81" s="1"/>
  <c r="L17" i="81" s="1"/>
  <c r="M17" i="81" s="1"/>
  <c r="K16" i="81"/>
  <c r="L16" i="81" s="1"/>
  <c r="M16" i="81" s="1"/>
  <c r="J8" i="81"/>
  <c r="J9" i="81" s="1"/>
  <c r="K15" i="81"/>
  <c r="L15" i="81" s="1"/>
  <c r="M15" i="81" s="1"/>
  <c r="R9" i="81"/>
  <c r="R10" i="81"/>
  <c r="R15" i="81"/>
  <c r="R19" i="81"/>
  <c r="R30" i="81"/>
  <c r="R34" i="81"/>
  <c r="R46" i="81" s="1"/>
  <c r="R36" i="81"/>
  <c r="R38" i="81"/>
  <c r="R11" i="81"/>
  <c r="R14" i="81"/>
  <c r="R23" i="81"/>
  <c r="R33" i="81" s="1"/>
  <c r="R25" i="81"/>
  <c r="R27" i="81"/>
  <c r="R40" i="81"/>
  <c r="R42" i="81"/>
  <c r="R44" i="81"/>
  <c r="R32" i="81"/>
  <c r="R47" i="81"/>
  <c r="R49" i="81"/>
  <c r="R51" i="81"/>
  <c r="R53" i="81"/>
  <c r="R55" i="81"/>
  <c r="C19" i="41"/>
  <c r="C20" i="41" s="1"/>
  <c r="G19" i="38"/>
  <c r="G18" i="38"/>
  <c r="G17" i="38"/>
  <c r="G16" i="38"/>
  <c r="G15" i="38"/>
  <c r="G14" i="38"/>
  <c r="G13" i="38"/>
  <c r="G12" i="38"/>
  <c r="G11" i="38"/>
  <c r="G10" i="38"/>
  <c r="B19" i="46"/>
  <c r="L11" i="46"/>
  <c r="K11" i="46"/>
  <c r="J11" i="46"/>
  <c r="I11" i="46"/>
  <c r="H11" i="46"/>
  <c r="G11" i="46"/>
  <c r="F11" i="46"/>
  <c r="E11" i="46"/>
  <c r="D11" i="46"/>
  <c r="C11" i="46"/>
  <c r="L10" i="41"/>
  <c r="K10" i="41"/>
  <c r="J10" i="41"/>
  <c r="I10" i="41"/>
  <c r="H10" i="41"/>
  <c r="G10" i="41"/>
  <c r="F10" i="41"/>
  <c r="E10" i="41"/>
  <c r="D10" i="41"/>
  <c r="C10" i="41"/>
  <c r="L8" i="41"/>
  <c r="K8" i="41"/>
  <c r="J8" i="41"/>
  <c r="I8" i="41"/>
  <c r="H8" i="41"/>
  <c r="G8" i="41"/>
  <c r="F8" i="41"/>
  <c r="E8" i="41"/>
  <c r="D8" i="41"/>
  <c r="C8" i="41"/>
  <c r="O10" i="60"/>
  <c r="G8" i="28"/>
  <c r="H8" i="28"/>
  <c r="E16" i="20"/>
  <c r="E15" i="20"/>
  <c r="C8" i="28"/>
  <c r="V7" i="75"/>
  <c r="E59" i="75"/>
  <c r="E60" i="75" s="1"/>
  <c r="P7" i="75" s="1"/>
  <c r="E15" i="75"/>
  <c r="P33" i="75"/>
  <c r="P34" i="75"/>
  <c r="P32" i="75"/>
  <c r="P31" i="75"/>
  <c r="N32" i="75"/>
  <c r="O32" i="75" s="1"/>
  <c r="N33" i="75"/>
  <c r="O33" i="75" s="1"/>
  <c r="N34" i="75"/>
  <c r="O34" i="75" s="1"/>
  <c r="N35" i="75"/>
  <c r="O35" i="75" s="1"/>
  <c r="N31" i="75"/>
  <c r="O31" i="75" s="1"/>
  <c r="O36" i="75" s="1"/>
  <c r="M36" i="75"/>
  <c r="S7" i="74"/>
  <c r="R7" i="74"/>
  <c r="Q7" i="74"/>
  <c r="P7" i="74"/>
  <c r="O7" i="74"/>
  <c r="N7" i="74"/>
  <c r="N12" i="74"/>
  <c r="N11" i="74"/>
  <c r="N10" i="74"/>
  <c r="N9" i="74"/>
  <c r="N8" i="74"/>
  <c r="I33" i="74"/>
  <c r="I32" i="74"/>
  <c r="I29" i="74"/>
  <c r="I28" i="74"/>
  <c r="I27" i="74"/>
  <c r="I25" i="74"/>
  <c r="I24" i="74"/>
  <c r="I23" i="74"/>
  <c r="I21" i="74"/>
  <c r="I14" i="74"/>
  <c r="I20" i="74"/>
  <c r="I19" i="74"/>
  <c r="I13" i="74"/>
  <c r="I12" i="74"/>
  <c r="I11" i="74"/>
  <c r="C10" i="74"/>
  <c r="C59" i="20"/>
  <c r="I17" i="74"/>
  <c r="I15" i="74"/>
  <c r="C55" i="20"/>
  <c r="I9" i="74"/>
  <c r="G13" i="80"/>
  <c r="J10" i="81" l="1"/>
  <c r="J11" i="81" s="1"/>
  <c r="J12" i="81" s="1"/>
  <c r="K8" i="81"/>
  <c r="R20" i="81"/>
  <c r="R59" i="81"/>
  <c r="N36" i="75"/>
  <c r="K36" i="65"/>
  <c r="N36" i="65" s="1"/>
  <c r="N15" i="65"/>
  <c r="K38" i="65"/>
  <c r="K49" i="65"/>
  <c r="K48" i="65"/>
  <c r="M43" i="65"/>
  <c r="K37" i="65"/>
  <c r="N35" i="65" s="1"/>
  <c r="R36" i="65"/>
  <c r="R35" i="65"/>
  <c r="R34" i="65"/>
  <c r="K33" i="65"/>
  <c r="N33" i="65" s="1"/>
  <c r="R32" i="65"/>
  <c r="R31" i="65"/>
  <c r="N32" i="65"/>
  <c r="Z30" i="65"/>
  <c r="Y30" i="65"/>
  <c r="X30" i="65"/>
  <c r="W30" i="65"/>
  <c r="V30" i="65"/>
  <c r="U30" i="65"/>
  <c r="T30" i="65"/>
  <c r="S30" i="65"/>
  <c r="M22" i="65"/>
  <c r="Q15" i="65"/>
  <c r="Q14" i="65"/>
  <c r="N14" i="65"/>
  <c r="K13" i="65"/>
  <c r="N12" i="65" s="1"/>
  <c r="Q12" i="65"/>
  <c r="Q11" i="65"/>
  <c r="N11" i="65"/>
  <c r="V10" i="65"/>
  <c r="T10" i="65"/>
  <c r="U10" i="65" s="1"/>
  <c r="S10" i="65"/>
  <c r="C7" i="50"/>
  <c r="AD8" i="29" l="1"/>
  <c r="Z9" i="29" s="1"/>
  <c r="H28" i="81"/>
  <c r="H29" i="81" s="1"/>
  <c r="H33" i="81" s="1"/>
  <c r="J20" i="81"/>
  <c r="T8" i="81"/>
  <c r="N13" i="65"/>
  <c r="K51" i="65"/>
  <c r="K52" i="65" s="1"/>
  <c r="K53" i="65" s="1"/>
  <c r="N34" i="65"/>
  <c r="AB9" i="29" l="1"/>
  <c r="AC9" i="29" s="1"/>
  <c r="U8" i="81"/>
  <c r="N37" i="65"/>
  <c r="N39" i="65" s="1"/>
  <c r="N40" i="65" s="1"/>
  <c r="R30" i="65" s="1"/>
  <c r="N16" i="65"/>
  <c r="N18" i="65" s="1"/>
  <c r="N19" i="65" s="1"/>
  <c r="Q10" i="65" s="1"/>
  <c r="S9" i="81" l="1"/>
  <c r="T9" i="81"/>
  <c r="E64" i="75"/>
  <c r="E65" i="75" s="1"/>
  <c r="Q7" i="75" s="1"/>
  <c r="E9" i="75"/>
  <c r="E10" i="75" s="1"/>
  <c r="E11" i="75" s="1"/>
  <c r="K7" i="75" s="1"/>
  <c r="C14" i="74"/>
  <c r="I31" i="74"/>
  <c r="I30" i="74"/>
  <c r="I26" i="74"/>
  <c r="E11" i="20"/>
  <c r="I22" i="74"/>
  <c r="C8" i="74"/>
  <c r="C11" i="74"/>
  <c r="D10" i="74"/>
  <c r="D11" i="74"/>
  <c r="I7" i="74"/>
  <c r="I18" i="74"/>
  <c r="I16" i="74"/>
  <c r="I8" i="74"/>
  <c r="C12" i="80"/>
  <c r="C52" i="20"/>
  <c r="I10" i="74" s="1"/>
  <c r="AD9" i="29" l="1"/>
  <c r="Z10" i="29"/>
  <c r="U9" i="81"/>
  <c r="Q10" i="81"/>
  <c r="Y17" i="60"/>
  <c r="Y15" i="60"/>
  <c r="Y13" i="60"/>
  <c r="Y11" i="60"/>
  <c r="Y21" i="60"/>
  <c r="Y19" i="60"/>
  <c r="Q8" i="75"/>
  <c r="Q9" i="75" s="1"/>
  <c r="Q10" i="75" s="1"/>
  <c r="Q11" i="75" s="1"/>
  <c r="Q12" i="75" s="1"/>
  <c r="Q13" i="75" s="1"/>
  <c r="Q14" i="75" s="1"/>
  <c r="Q15" i="75" s="1"/>
  <c r="Q16" i="75" s="1"/>
  <c r="Q17" i="75"/>
  <c r="X21" i="60"/>
  <c r="X15" i="60"/>
  <c r="X12" i="60"/>
  <c r="X18" i="60"/>
  <c r="P8" i="75"/>
  <c r="P9" i="75" s="1"/>
  <c r="P10" i="75" s="1"/>
  <c r="P11" i="75" s="1"/>
  <c r="P12" i="75" s="1"/>
  <c r="P13" i="75" s="1"/>
  <c r="P14" i="75" s="1"/>
  <c r="P15" i="75" s="1"/>
  <c r="P16" i="75" s="1"/>
  <c r="E47" i="75"/>
  <c r="E54" i="75"/>
  <c r="E48" i="75"/>
  <c r="E43" i="75"/>
  <c r="E44" i="75" s="1"/>
  <c r="S7" i="75" s="1"/>
  <c r="E38" i="75"/>
  <c r="E40" i="75" s="1"/>
  <c r="R7" i="75" s="1"/>
  <c r="E33" i="75"/>
  <c r="E27" i="75"/>
  <c r="E28" i="75" s="1"/>
  <c r="E29" i="75" s="1"/>
  <c r="N7" i="75" s="1"/>
  <c r="E21" i="75"/>
  <c r="E22" i="75" s="1"/>
  <c r="M7" i="75" s="1"/>
  <c r="E16" i="75"/>
  <c r="E17" i="75" s="1"/>
  <c r="E18" i="75" s="1"/>
  <c r="L7" i="75" s="1"/>
  <c r="AB10" i="29" l="1"/>
  <c r="AC10" i="29"/>
  <c r="S10" i="81"/>
  <c r="T10" i="81"/>
  <c r="E49" i="75"/>
  <c r="E34" i="75"/>
  <c r="E35" i="75" s="1"/>
  <c r="O7" i="75" s="1"/>
  <c r="Y22" i="60"/>
  <c r="E55" i="75"/>
  <c r="U7" i="75" s="1"/>
  <c r="AC10" i="60" s="1"/>
  <c r="P17" i="75"/>
  <c r="X22" i="60"/>
  <c r="U8" i="75"/>
  <c r="U9" i="75" s="1"/>
  <c r="U10" i="75" s="1"/>
  <c r="U11" i="75" s="1"/>
  <c r="U12" i="75" s="1"/>
  <c r="U13" i="75" s="1"/>
  <c r="U14" i="75" s="1"/>
  <c r="U15" i="75" s="1"/>
  <c r="U16" i="75" s="1"/>
  <c r="AD10" i="29" l="1"/>
  <c r="Z11" i="29"/>
  <c r="U10" i="81"/>
  <c r="Q11" i="81"/>
  <c r="E50" i="75"/>
  <c r="T7" i="75" s="1"/>
  <c r="AB10" i="60" s="1"/>
  <c r="T12" i="75"/>
  <c r="T13" i="75" s="1"/>
  <c r="T14" i="75" s="1"/>
  <c r="T15" i="75" s="1"/>
  <c r="T16" i="75" s="1"/>
  <c r="U17" i="75"/>
  <c r="D41" i="72"/>
  <c r="D42" i="72"/>
  <c r="AB11" i="29" l="1"/>
  <c r="AC11" i="29"/>
  <c r="S11" i="81"/>
  <c r="W7" i="75"/>
  <c r="C11" i="41" s="1"/>
  <c r="D43" i="72"/>
  <c r="C14" i="78"/>
  <c r="C42" i="20"/>
  <c r="C15" i="78" s="1"/>
  <c r="AD11" i="29" l="1"/>
  <c r="Z12" i="29"/>
  <c r="T11" i="81"/>
  <c r="E19" i="30"/>
  <c r="AB12" i="29" l="1"/>
  <c r="U11" i="81"/>
  <c r="Q12" i="81"/>
  <c r="D24" i="65"/>
  <c r="F24" i="65"/>
  <c r="G24" i="65"/>
  <c r="C27" i="65"/>
  <c r="B27" i="65"/>
  <c r="B25" i="65"/>
  <c r="AC12" i="29" l="1"/>
  <c r="S12" i="81"/>
  <c r="A1" i="75"/>
  <c r="A1" i="74"/>
  <c r="C10" i="50"/>
  <c r="D9" i="29" s="1"/>
  <c r="L25" i="46"/>
  <c r="H25" i="46"/>
  <c r="AD12" i="29" l="1"/>
  <c r="Z13" i="29"/>
  <c r="T12" i="81"/>
  <c r="N27" i="38"/>
  <c r="J22" i="60"/>
  <c r="AB22" i="60"/>
  <c r="K10" i="60"/>
  <c r="H11" i="30"/>
  <c r="I11" i="30" s="1"/>
  <c r="AB13" i="29" l="1"/>
  <c r="U12" i="81"/>
  <c r="Q13" i="81"/>
  <c r="C8" i="50"/>
  <c r="AC13" i="29" l="1"/>
  <c r="AD13" i="29" s="1"/>
  <c r="S13" i="81"/>
  <c r="B20" i="46"/>
  <c r="C9" i="77"/>
  <c r="S10" i="60"/>
  <c r="K8" i="75"/>
  <c r="D13" i="74"/>
  <c r="D12" i="74"/>
  <c r="C13" i="74"/>
  <c r="C12" i="74"/>
  <c r="B12" i="74"/>
  <c r="B13" i="74" s="1"/>
  <c r="B9" i="74"/>
  <c r="M26" i="74"/>
  <c r="M25" i="74"/>
  <c r="M24" i="74"/>
  <c r="M23" i="74"/>
  <c r="M22" i="74"/>
  <c r="R6" i="74"/>
  <c r="Q6" i="74"/>
  <c r="P6" i="74"/>
  <c r="Z14" i="29" l="1"/>
  <c r="AB14" i="29" s="1"/>
  <c r="T13" i="81"/>
  <c r="U13" i="81" s="1"/>
  <c r="K9" i="75"/>
  <c r="S11" i="60"/>
  <c r="AC14" i="29" l="1"/>
  <c r="AD14" i="29" s="1"/>
  <c r="Q14" i="81"/>
  <c r="S12" i="60"/>
  <c r="K10" i="75"/>
  <c r="O6" i="74"/>
  <c r="N6" i="74"/>
  <c r="D7" i="74"/>
  <c r="D9" i="74"/>
  <c r="B7" i="74"/>
  <c r="E36" i="20"/>
  <c r="Z15" i="29" l="1"/>
  <c r="S14" i="81"/>
  <c r="K11" i="75"/>
  <c r="O11" i="60"/>
  <c r="O12" i="60" s="1"/>
  <c r="O13" i="60" s="1"/>
  <c r="O14" i="60" s="1"/>
  <c r="O15" i="60" s="1"/>
  <c r="O16" i="60" s="1"/>
  <c r="O17" i="60" s="1"/>
  <c r="O18" i="60" s="1"/>
  <c r="O19" i="60" s="1"/>
  <c r="O20" i="60" s="1"/>
  <c r="O21" i="60" s="1"/>
  <c r="S13" i="60"/>
  <c r="AB15" i="29" l="1"/>
  <c r="T14" i="81"/>
  <c r="U14" i="81" s="1"/>
  <c r="O22" i="60"/>
  <c r="S14" i="60"/>
  <c r="K12" i="75"/>
  <c r="AC15" i="29" l="1"/>
  <c r="AD15" i="29" s="1"/>
  <c r="Q15" i="81"/>
  <c r="K13" i="75"/>
  <c r="S15" i="60"/>
  <c r="H10" i="30"/>
  <c r="Z16" i="29" l="1"/>
  <c r="S15" i="81"/>
  <c r="T15" i="81"/>
  <c r="U15" i="81" s="1"/>
  <c r="S16" i="60"/>
  <c r="K14" i="75"/>
  <c r="J15" i="29"/>
  <c r="I25" i="46" s="1"/>
  <c r="C9" i="28"/>
  <c r="O37" i="79"/>
  <c r="J37" i="79"/>
  <c r="T31" i="79"/>
  <c r="T32" i="79" s="1"/>
  <c r="T33" i="79" s="1"/>
  <c r="T34" i="79" s="1"/>
  <c r="T35" i="79" s="1"/>
  <c r="T36" i="79" s="1"/>
  <c r="T37" i="79" s="1"/>
  <c r="O31" i="79"/>
  <c r="O32" i="79" s="1"/>
  <c r="O33" i="79" s="1"/>
  <c r="O34" i="79" s="1"/>
  <c r="O35" i="79" s="1"/>
  <c r="O36" i="79" s="1"/>
  <c r="J31" i="79"/>
  <c r="J32" i="79" s="1"/>
  <c r="J33" i="79" s="1"/>
  <c r="J34" i="79" s="1"/>
  <c r="J35" i="79" s="1"/>
  <c r="J36" i="79" s="1"/>
  <c r="V30" i="79"/>
  <c r="O25" i="79"/>
  <c r="O26" i="79" s="1"/>
  <c r="O27" i="79" s="1"/>
  <c r="O28" i="79" s="1"/>
  <c r="O29" i="79" s="1"/>
  <c r="O30" i="79" s="1"/>
  <c r="J25" i="79"/>
  <c r="J26" i="79" s="1"/>
  <c r="J27" i="79" s="1"/>
  <c r="J28" i="79" s="1"/>
  <c r="J29" i="79" s="1"/>
  <c r="J30" i="79" s="1"/>
  <c r="T20" i="79"/>
  <c r="T21" i="79" s="1"/>
  <c r="T22" i="79" s="1"/>
  <c r="T23" i="79" s="1"/>
  <c r="T24" i="79" s="1"/>
  <c r="T25" i="79" s="1"/>
  <c r="T26" i="79" s="1"/>
  <c r="T27" i="79" s="1"/>
  <c r="T28" i="79" s="1"/>
  <c r="T29" i="79" s="1"/>
  <c r="T30" i="79" s="1"/>
  <c r="O20" i="79"/>
  <c r="O21" i="79" s="1"/>
  <c r="O22" i="79" s="1"/>
  <c r="O23" i="79" s="1"/>
  <c r="O24" i="79" s="1"/>
  <c r="J20" i="79"/>
  <c r="J21" i="79" s="1"/>
  <c r="J22" i="79" s="1"/>
  <c r="J23" i="79" s="1"/>
  <c r="J24" i="79" s="1"/>
  <c r="O14" i="79"/>
  <c r="O15" i="79" s="1"/>
  <c r="O16" i="79" s="1"/>
  <c r="O17" i="79" s="1"/>
  <c r="O18" i="79" s="1"/>
  <c r="J14" i="79"/>
  <c r="J15" i="79" s="1"/>
  <c r="J16" i="79" s="1"/>
  <c r="J17" i="79" s="1"/>
  <c r="J18" i="79" s="1"/>
  <c r="C10" i="79"/>
  <c r="Q9" i="79"/>
  <c r="Q10" i="79" s="1"/>
  <c r="H9" i="79"/>
  <c r="H10" i="79" s="1"/>
  <c r="E9" i="79"/>
  <c r="E10" i="79" s="1"/>
  <c r="R8" i="79"/>
  <c r="M8" i="79"/>
  <c r="M9" i="79" s="1"/>
  <c r="M10" i="79" s="1"/>
  <c r="J8" i="79"/>
  <c r="J9" i="79" s="1"/>
  <c r="H8" i="79"/>
  <c r="D8" i="79"/>
  <c r="D9" i="79" s="1"/>
  <c r="A2" i="79"/>
  <c r="A1" i="79"/>
  <c r="AB16" i="29" l="1"/>
  <c r="AC16" i="29" s="1"/>
  <c r="AD16" i="29" s="1"/>
  <c r="Q16" i="81"/>
  <c r="K15" i="75"/>
  <c r="S17" i="60"/>
  <c r="R9" i="79"/>
  <c r="R10" i="79" s="1"/>
  <c r="T10" i="79" s="1"/>
  <c r="D10" i="79"/>
  <c r="O10" i="79"/>
  <c r="O11" i="79" s="1"/>
  <c r="O12" i="79" s="1"/>
  <c r="O13" i="79" s="1"/>
  <c r="M11" i="79"/>
  <c r="M12" i="79" s="1"/>
  <c r="M13" i="79" s="1"/>
  <c r="M14" i="79" s="1"/>
  <c r="M15" i="79" s="1"/>
  <c r="M16" i="79" s="1"/>
  <c r="M17" i="79" s="1"/>
  <c r="M18" i="79" s="1"/>
  <c r="M19" i="79" s="1"/>
  <c r="M20" i="79" s="1"/>
  <c r="M21" i="79" s="1"/>
  <c r="M22" i="79" s="1"/>
  <c r="M23" i="79" s="1"/>
  <c r="M24" i="79" s="1"/>
  <c r="M25" i="79" s="1"/>
  <c r="M26" i="79" s="1"/>
  <c r="M27" i="79" s="1"/>
  <c r="M28" i="79" s="1"/>
  <c r="M29" i="79" s="1"/>
  <c r="M30" i="79" s="1"/>
  <c r="M31" i="79" s="1"/>
  <c r="M32" i="79" s="1"/>
  <c r="M33" i="79" s="1"/>
  <c r="M34" i="79" s="1"/>
  <c r="M35" i="79" s="1"/>
  <c r="M36" i="79" s="1"/>
  <c r="M37" i="79" s="1"/>
  <c r="N103" i="79" s="1"/>
  <c r="H11" i="79"/>
  <c r="H12" i="79" s="1"/>
  <c r="H13" i="79" s="1"/>
  <c r="H14" i="79" s="1"/>
  <c r="H15" i="79" s="1"/>
  <c r="H16" i="79" s="1"/>
  <c r="H17" i="79" s="1"/>
  <c r="H18" i="79" s="1"/>
  <c r="H19" i="79" s="1"/>
  <c r="H20" i="79" s="1"/>
  <c r="H21" i="79" s="1"/>
  <c r="H22" i="79" s="1"/>
  <c r="H23" i="79" s="1"/>
  <c r="H24" i="79" s="1"/>
  <c r="H25" i="79" s="1"/>
  <c r="H26" i="79" s="1"/>
  <c r="H27" i="79" s="1"/>
  <c r="H28" i="79" s="1"/>
  <c r="H29" i="79" s="1"/>
  <c r="H30" i="79" s="1"/>
  <c r="H31" i="79" s="1"/>
  <c r="H32" i="79" s="1"/>
  <c r="H33" i="79" s="1"/>
  <c r="H34" i="79" s="1"/>
  <c r="H35" i="79" s="1"/>
  <c r="H36" i="79" s="1"/>
  <c r="H37" i="79" s="1"/>
  <c r="I103" i="79" s="1"/>
  <c r="J10" i="79"/>
  <c r="J11" i="79" s="1"/>
  <c r="J12" i="79" s="1"/>
  <c r="J13" i="79" s="1"/>
  <c r="Q11" i="79"/>
  <c r="C11" i="79"/>
  <c r="D11" i="79" s="1"/>
  <c r="D12" i="79" s="1"/>
  <c r="D13" i="79" s="1"/>
  <c r="D14" i="79" s="1"/>
  <c r="D15" i="79" s="1"/>
  <c r="D16" i="79" s="1"/>
  <c r="D17" i="79" s="1"/>
  <c r="D18" i="79" s="1"/>
  <c r="D19" i="79" s="1"/>
  <c r="D20" i="79" s="1"/>
  <c r="D21" i="79" s="1"/>
  <c r="D22" i="79" s="1"/>
  <c r="D23" i="79" s="1"/>
  <c r="D24" i="79" s="1"/>
  <c r="D25" i="79" s="1"/>
  <c r="D26" i="79" s="1"/>
  <c r="D27" i="79" s="1"/>
  <c r="D28" i="79" s="1"/>
  <c r="D29" i="79" s="1"/>
  <c r="D30" i="79" s="1"/>
  <c r="D31" i="79" s="1"/>
  <c r="D32" i="79" s="1"/>
  <c r="D33" i="79" s="1"/>
  <c r="D34" i="79" s="1"/>
  <c r="D35" i="79" s="1"/>
  <c r="D36" i="79" s="1"/>
  <c r="D37" i="79" s="1"/>
  <c r="D38" i="79" s="1"/>
  <c r="D39" i="79" s="1"/>
  <c r="D40" i="79" s="1"/>
  <c r="D41" i="79" s="1"/>
  <c r="D42" i="79" s="1"/>
  <c r="D43" i="79" s="1"/>
  <c r="D44" i="79" s="1"/>
  <c r="D45" i="79" s="1"/>
  <c r="D46" i="79" s="1"/>
  <c r="D47" i="79" s="1"/>
  <c r="D48" i="79" s="1"/>
  <c r="D49" i="79" s="1"/>
  <c r="D50" i="79" s="1"/>
  <c r="D51" i="79" s="1"/>
  <c r="D52" i="79" s="1"/>
  <c r="D53" i="79" s="1"/>
  <c r="D54" i="79" s="1"/>
  <c r="D55" i="79" s="1"/>
  <c r="D56" i="79" s="1"/>
  <c r="D57" i="79" s="1"/>
  <c r="D58" i="79" s="1"/>
  <c r="D59" i="79" s="1"/>
  <c r="D60" i="79" s="1"/>
  <c r="D61" i="79" s="1"/>
  <c r="D62" i="79" s="1"/>
  <c r="D63" i="79" s="1"/>
  <c r="D64" i="79" s="1"/>
  <c r="D65" i="79" s="1"/>
  <c r="D66" i="79" s="1"/>
  <c r="D67" i="79" s="1"/>
  <c r="D68" i="79" s="1"/>
  <c r="D69" i="79" s="1"/>
  <c r="D70" i="79" s="1"/>
  <c r="D71" i="79" s="1"/>
  <c r="D72" i="79" s="1"/>
  <c r="D73" i="79" s="1"/>
  <c r="D74" i="79" s="1"/>
  <c r="D75" i="79" s="1"/>
  <c r="D76" i="79" s="1"/>
  <c r="D77" i="79" s="1"/>
  <c r="D78" i="79" s="1"/>
  <c r="D79" i="79" s="1"/>
  <c r="D80" i="79" s="1"/>
  <c r="D81" i="79" s="1"/>
  <c r="D82" i="79" s="1"/>
  <c r="D83" i="79" s="1"/>
  <c r="D84" i="79" s="1"/>
  <c r="D85" i="79" s="1"/>
  <c r="D86" i="79" s="1"/>
  <c r="D87" i="79" s="1"/>
  <c r="D88" i="79" s="1"/>
  <c r="D89" i="79" s="1"/>
  <c r="D90" i="79" s="1"/>
  <c r="D91" i="79" s="1"/>
  <c r="D92" i="79" s="1"/>
  <c r="D93" i="79" s="1"/>
  <c r="D94" i="79" s="1"/>
  <c r="D95" i="79" s="1"/>
  <c r="D96" i="79" s="1"/>
  <c r="D97" i="79" s="1"/>
  <c r="D98" i="79" s="1"/>
  <c r="Z17" i="29" l="1"/>
  <c r="S16" i="81"/>
  <c r="S18" i="60"/>
  <c r="K16" i="75"/>
  <c r="R11" i="79"/>
  <c r="R12" i="79" s="1"/>
  <c r="R13" i="79" s="1"/>
  <c r="R14" i="79" s="1"/>
  <c r="R15" i="79" s="1"/>
  <c r="R16" i="79" s="1"/>
  <c r="R17" i="79" s="1"/>
  <c r="R18" i="79" s="1"/>
  <c r="R19" i="79" s="1"/>
  <c r="R20" i="79" s="1"/>
  <c r="R21" i="79" s="1"/>
  <c r="R22" i="79" s="1"/>
  <c r="R23" i="79" s="1"/>
  <c r="R24" i="79" s="1"/>
  <c r="R25" i="79" s="1"/>
  <c r="R26" i="79" s="1"/>
  <c r="R27" i="79" s="1"/>
  <c r="R28" i="79" s="1"/>
  <c r="R29" i="79" s="1"/>
  <c r="R30" i="79" s="1"/>
  <c r="R31" i="79" s="1"/>
  <c r="R32" i="79" s="1"/>
  <c r="R33" i="79" s="1"/>
  <c r="R34" i="79" s="1"/>
  <c r="R35" i="79" s="1"/>
  <c r="R36" i="79" s="1"/>
  <c r="R37" i="79" s="1"/>
  <c r="S103" i="79" s="1"/>
  <c r="T11" i="79"/>
  <c r="T12" i="79" s="1"/>
  <c r="T13" i="79" s="1"/>
  <c r="T14" i="79" s="1"/>
  <c r="T15" i="79" s="1"/>
  <c r="T16" i="79" s="1"/>
  <c r="T17" i="79" s="1"/>
  <c r="T18" i="79" s="1"/>
  <c r="E11" i="79"/>
  <c r="E12" i="79" s="1"/>
  <c r="E13" i="79" s="1"/>
  <c r="E14" i="79" s="1"/>
  <c r="E15" i="79" s="1"/>
  <c r="E16" i="79" s="1"/>
  <c r="E17" i="79" s="1"/>
  <c r="E18" i="79" s="1"/>
  <c r="E19" i="79" s="1"/>
  <c r="E20" i="79" s="1"/>
  <c r="E21" i="79" s="1"/>
  <c r="E22" i="79" s="1"/>
  <c r="E23" i="79" s="1"/>
  <c r="E24" i="79" s="1"/>
  <c r="E25" i="79" s="1"/>
  <c r="E26" i="79" s="1"/>
  <c r="E27" i="79" s="1"/>
  <c r="E28" i="79" s="1"/>
  <c r="E29" i="79" s="1"/>
  <c r="E30" i="79" s="1"/>
  <c r="E31" i="79" s="1"/>
  <c r="E32" i="79" s="1"/>
  <c r="E33" i="79" s="1"/>
  <c r="E34" i="79" s="1"/>
  <c r="E35" i="79" s="1"/>
  <c r="E36" i="79" s="1"/>
  <c r="E37" i="79" s="1"/>
  <c r="E38" i="79" s="1"/>
  <c r="E39" i="79" s="1"/>
  <c r="E40" i="79" s="1"/>
  <c r="E41" i="79" s="1"/>
  <c r="E42" i="79" s="1"/>
  <c r="E43" i="79" s="1"/>
  <c r="E44" i="79" s="1"/>
  <c r="E45" i="79" s="1"/>
  <c r="E46" i="79" s="1"/>
  <c r="E47" i="79" s="1"/>
  <c r="E48" i="79" s="1"/>
  <c r="E49" i="79" s="1"/>
  <c r="E50" i="79" s="1"/>
  <c r="E51" i="79" s="1"/>
  <c r="E52" i="79" s="1"/>
  <c r="E53" i="79" s="1"/>
  <c r="E54" i="79" s="1"/>
  <c r="E55" i="79" s="1"/>
  <c r="E56" i="79" s="1"/>
  <c r="E57" i="79" s="1"/>
  <c r="E58" i="79" s="1"/>
  <c r="E59" i="79" s="1"/>
  <c r="E60" i="79" s="1"/>
  <c r="E61" i="79" s="1"/>
  <c r="E62" i="79" s="1"/>
  <c r="E63" i="79" s="1"/>
  <c r="E64" i="79" s="1"/>
  <c r="E65" i="79" s="1"/>
  <c r="E66" i="79" s="1"/>
  <c r="E67" i="79" s="1"/>
  <c r="E68" i="79" s="1"/>
  <c r="E69" i="79" s="1"/>
  <c r="E70" i="79" s="1"/>
  <c r="E71" i="79" s="1"/>
  <c r="E72" i="79" s="1"/>
  <c r="E73" i="79" s="1"/>
  <c r="E74" i="79" s="1"/>
  <c r="E75" i="79" s="1"/>
  <c r="E76" i="79" s="1"/>
  <c r="E77" i="79" s="1"/>
  <c r="E78" i="79" s="1"/>
  <c r="E79" i="79" s="1"/>
  <c r="E80" i="79" s="1"/>
  <c r="E81" i="79" s="1"/>
  <c r="E82" i="79" s="1"/>
  <c r="E83" i="79" s="1"/>
  <c r="E84" i="79" s="1"/>
  <c r="E85" i="79" s="1"/>
  <c r="E86" i="79" s="1"/>
  <c r="E87" i="79" s="1"/>
  <c r="E88" i="79" s="1"/>
  <c r="E89" i="79" s="1"/>
  <c r="E90" i="79" s="1"/>
  <c r="E91" i="79" s="1"/>
  <c r="E92" i="79" s="1"/>
  <c r="E93" i="79" s="1"/>
  <c r="E94" i="79" s="1"/>
  <c r="E95" i="79" s="1"/>
  <c r="E96" i="79" s="1"/>
  <c r="E97" i="79" s="1"/>
  <c r="E98" i="79" s="1"/>
  <c r="AB17" i="29" l="1"/>
  <c r="T16" i="81"/>
  <c r="U16" i="81" s="1"/>
  <c r="S19" i="60"/>
  <c r="AC17" i="29" l="1"/>
  <c r="AD17" i="29" s="1"/>
  <c r="Q17" i="81"/>
  <c r="S20" i="60"/>
  <c r="D11" i="29"/>
  <c r="D7" i="77"/>
  <c r="E7" i="77" s="1"/>
  <c r="F7" i="77" s="1"/>
  <c r="G7" i="77" s="1"/>
  <c r="H7" i="77" s="1"/>
  <c r="I7" i="77" s="1"/>
  <c r="J7" i="77" s="1"/>
  <c r="K7" i="77" s="1"/>
  <c r="L7" i="77" s="1"/>
  <c r="Z18" i="29" l="1"/>
  <c r="S17" i="81"/>
  <c r="S21" i="60"/>
  <c r="B24" i="46"/>
  <c r="AB18" i="29" l="1"/>
  <c r="AC18" i="29"/>
  <c r="AD18" i="29" s="1"/>
  <c r="T17" i="81"/>
  <c r="U17" i="81" s="1"/>
  <c r="S22" i="60"/>
  <c r="B9" i="33"/>
  <c r="E25" i="20"/>
  <c r="D14" i="29"/>
  <c r="D40" i="72"/>
  <c r="D39" i="72"/>
  <c r="D37" i="72"/>
  <c r="P17" i="72"/>
  <c r="A2" i="72"/>
  <c r="Z19" i="29" l="1"/>
  <c r="Q18" i="81"/>
  <c r="B8" i="33"/>
  <c r="AB19" i="29" l="1"/>
  <c r="S18" i="81"/>
  <c r="T17" i="75"/>
  <c r="Q8" i="74"/>
  <c r="Q9" i="74" s="1"/>
  <c r="Q10" i="74" s="1"/>
  <c r="Q11" i="74" s="1"/>
  <c r="Q12" i="74" s="1"/>
  <c r="Q13" i="74" s="1"/>
  <c r="Q14" i="74" s="1"/>
  <c r="Q15" i="74" s="1"/>
  <c r="Q16" i="74" s="1"/>
  <c r="P10" i="60"/>
  <c r="O8" i="74"/>
  <c r="O9" i="74" s="1"/>
  <c r="O10" i="74" s="1"/>
  <c r="O11" i="74" s="1"/>
  <c r="O12" i="74" s="1"/>
  <c r="O13" i="74" s="1"/>
  <c r="O14" i="74" s="1"/>
  <c r="O15" i="74" s="1"/>
  <c r="O16" i="74" s="1"/>
  <c r="N10" i="60"/>
  <c r="R8" i="74"/>
  <c r="R9" i="74" s="1"/>
  <c r="R10" i="74" s="1"/>
  <c r="R11" i="74" s="1"/>
  <c r="R12" i="74" s="1"/>
  <c r="R13" i="74" s="1"/>
  <c r="R14" i="74" s="1"/>
  <c r="R15" i="74" s="1"/>
  <c r="R16" i="74" s="1"/>
  <c r="Q10" i="60"/>
  <c r="P8" i="74"/>
  <c r="AC19" i="29" l="1"/>
  <c r="T18" i="81"/>
  <c r="U18" i="81" s="1"/>
  <c r="Q11" i="60"/>
  <c r="Q12" i="60" s="1"/>
  <c r="Q13" i="60" s="1"/>
  <c r="Q14" i="60" s="1"/>
  <c r="Q15" i="60" s="1"/>
  <c r="Q16" i="60" s="1"/>
  <c r="Q17" i="60" s="1"/>
  <c r="Q18" i="60" s="1"/>
  <c r="Q19" i="60" s="1"/>
  <c r="Q20" i="60" s="1"/>
  <c r="Q21" i="60" s="1"/>
  <c r="N11" i="60"/>
  <c r="N12" i="60" s="1"/>
  <c r="N13" i="60" s="1"/>
  <c r="N14" i="60" s="1"/>
  <c r="N15" i="60" s="1"/>
  <c r="N16" i="60" s="1"/>
  <c r="N17" i="60" s="1"/>
  <c r="N18" i="60" s="1"/>
  <c r="N19" i="60" s="1"/>
  <c r="N20" i="60" s="1"/>
  <c r="N21" i="60" s="1"/>
  <c r="P11" i="60"/>
  <c r="P12" i="60" s="1"/>
  <c r="P13" i="60" s="1"/>
  <c r="P14" i="60" s="1"/>
  <c r="P15" i="60" s="1"/>
  <c r="P16" i="60" s="1"/>
  <c r="P17" i="60" s="1"/>
  <c r="P18" i="60" s="1"/>
  <c r="P19" i="60" s="1"/>
  <c r="P20" i="60" s="1"/>
  <c r="P21" i="60" s="1"/>
  <c r="P9" i="74"/>
  <c r="D13" i="29"/>
  <c r="AD19" i="29" l="1"/>
  <c r="Z21" i="29" s="1"/>
  <c r="Q19" i="81"/>
  <c r="T7" i="74"/>
  <c r="U7" i="74" s="1"/>
  <c r="V7" i="74" s="1"/>
  <c r="P22" i="60"/>
  <c r="N22" i="60"/>
  <c r="Q22" i="60"/>
  <c r="M10" i="60"/>
  <c r="P10" i="74"/>
  <c r="J7" i="57"/>
  <c r="K7" i="57"/>
  <c r="I7" i="57"/>
  <c r="C16" i="41" s="1"/>
  <c r="AB21" i="29" l="1"/>
  <c r="S19" i="81"/>
  <c r="T19" i="81"/>
  <c r="C18" i="41"/>
  <c r="AH10" i="60"/>
  <c r="J8" i="57"/>
  <c r="D17" i="41" s="1"/>
  <c r="C17" i="41"/>
  <c r="AG10" i="60"/>
  <c r="M11" i="60"/>
  <c r="R10" i="60"/>
  <c r="P11" i="74"/>
  <c r="I8" i="57"/>
  <c r="K8" i="57"/>
  <c r="D18" i="41" s="1"/>
  <c r="J9" i="57"/>
  <c r="E17" i="41" s="1"/>
  <c r="AD21" i="29" l="1"/>
  <c r="Z22" i="29" s="1"/>
  <c r="U19" i="81"/>
  <c r="T20" i="81"/>
  <c r="Q21" i="81"/>
  <c r="I9" i="57"/>
  <c r="D16" i="41"/>
  <c r="M12" i="60"/>
  <c r="R11" i="60"/>
  <c r="P12" i="74"/>
  <c r="K9" i="57"/>
  <c r="J10" i="57"/>
  <c r="F17" i="41" s="1"/>
  <c r="AB22" i="29" l="1"/>
  <c r="S21" i="81"/>
  <c r="L8" i="81"/>
  <c r="K10" i="57"/>
  <c r="F18" i="41" s="1"/>
  <c r="E18" i="41"/>
  <c r="I10" i="57"/>
  <c r="E16" i="41"/>
  <c r="AG11" i="60"/>
  <c r="AG12" i="60" s="1"/>
  <c r="AG13" i="60" s="1"/>
  <c r="AG14" i="60" s="1"/>
  <c r="AG15" i="60" s="1"/>
  <c r="AG16" i="60" s="1"/>
  <c r="AG17" i="60" s="1"/>
  <c r="AG18" i="60" s="1"/>
  <c r="AG19" i="60" s="1"/>
  <c r="AG20" i="60" s="1"/>
  <c r="AG21" i="60" s="1"/>
  <c r="AH11" i="60"/>
  <c r="AH12" i="60" s="1"/>
  <c r="AH13" i="60" s="1"/>
  <c r="AH14" i="60" s="1"/>
  <c r="AH15" i="60" s="1"/>
  <c r="AH16" i="60" s="1"/>
  <c r="AH17" i="60" s="1"/>
  <c r="AH18" i="60" s="1"/>
  <c r="AH19" i="60" s="1"/>
  <c r="AH20" i="60" s="1"/>
  <c r="AH21" i="60" s="1"/>
  <c r="M13" i="60"/>
  <c r="R12" i="60"/>
  <c r="P13" i="74"/>
  <c r="K11" i="57"/>
  <c r="G18" i="41" s="1"/>
  <c r="J11" i="57"/>
  <c r="G17" i="41" s="1"/>
  <c r="AC22" i="29" l="1"/>
  <c r="M21" i="81"/>
  <c r="M8" i="81"/>
  <c r="I9" i="81"/>
  <c r="T21" i="81"/>
  <c r="AF10" i="60"/>
  <c r="AF22" i="60" s="1"/>
  <c r="F16" i="41"/>
  <c r="I11" i="57"/>
  <c r="AH22" i="60"/>
  <c r="AG22" i="60"/>
  <c r="R13" i="60"/>
  <c r="M14" i="60"/>
  <c r="P14" i="74"/>
  <c r="K12" i="57"/>
  <c r="H18" i="41" s="1"/>
  <c r="J12" i="57"/>
  <c r="H17" i="41" s="1"/>
  <c r="AD22" i="29" l="1"/>
  <c r="Z23" i="29" s="1"/>
  <c r="U21" i="81"/>
  <c r="Q22" i="81"/>
  <c r="H20" i="81"/>
  <c r="K9" i="81"/>
  <c r="G16" i="41"/>
  <c r="I12" i="57"/>
  <c r="R14" i="60"/>
  <c r="M15" i="60"/>
  <c r="P15" i="74"/>
  <c r="K13" i="57"/>
  <c r="I18" i="41" s="1"/>
  <c r="J13" i="57"/>
  <c r="I17" i="41" s="1"/>
  <c r="AB23" i="29" l="1"/>
  <c r="K23" i="81"/>
  <c r="J23" i="81" s="1"/>
  <c r="S22" i="81"/>
  <c r="H16" i="41"/>
  <c r="I13" i="57"/>
  <c r="R15" i="60"/>
  <c r="M16" i="60"/>
  <c r="P16" i="74"/>
  <c r="K14" i="57"/>
  <c r="J18" i="41" s="1"/>
  <c r="J14" i="57"/>
  <c r="J17" i="41" s="1"/>
  <c r="AC23" i="29" l="1"/>
  <c r="T22" i="81"/>
  <c r="I16" i="41"/>
  <c r="I14" i="57"/>
  <c r="M17" i="60"/>
  <c r="R16" i="60"/>
  <c r="K15" i="57"/>
  <c r="K18" i="41" s="1"/>
  <c r="J15" i="57"/>
  <c r="K17" i="41" s="1"/>
  <c r="AD23" i="29" l="1"/>
  <c r="Z24" i="29"/>
  <c r="U22" i="81"/>
  <c r="Q23" i="81"/>
  <c r="J16" i="41"/>
  <c r="I15" i="57"/>
  <c r="M18" i="60"/>
  <c r="R17" i="60"/>
  <c r="K16" i="57"/>
  <c r="L18" i="41" s="1"/>
  <c r="J16" i="57"/>
  <c r="L17" i="41" s="1"/>
  <c r="AB24" i="29" l="1"/>
  <c r="S23" i="81"/>
  <c r="K16" i="41"/>
  <c r="I16" i="57"/>
  <c r="L16" i="41" s="1"/>
  <c r="R18" i="60"/>
  <c r="M19" i="60"/>
  <c r="AC24" i="29" l="1"/>
  <c r="T23" i="81"/>
  <c r="M20" i="60"/>
  <c r="R19" i="60"/>
  <c r="AD24" i="29" l="1"/>
  <c r="Z25" i="29" s="1"/>
  <c r="U23" i="81"/>
  <c r="Q24" i="81"/>
  <c r="M21" i="60"/>
  <c r="R20" i="60"/>
  <c r="AB25" i="29" l="1"/>
  <c r="S24" i="81"/>
  <c r="R21" i="60"/>
  <c r="M22" i="60"/>
  <c r="AC25" i="29" l="1"/>
  <c r="T24" i="81"/>
  <c r="R22" i="60"/>
  <c r="AD25" i="29" l="1"/>
  <c r="Z26" i="29"/>
  <c r="U24" i="81"/>
  <c r="Q25" i="81"/>
  <c r="N16" i="41"/>
  <c r="AB26" i="29" l="1"/>
  <c r="S25" i="81"/>
  <c r="N17" i="41"/>
  <c r="N18" i="41"/>
  <c r="J8" i="75"/>
  <c r="J9" i="75" s="1"/>
  <c r="J10" i="75" s="1"/>
  <c r="J11" i="75" s="1"/>
  <c r="J12" i="75" s="1"/>
  <c r="J13" i="75" s="1"/>
  <c r="J14" i="75" s="1"/>
  <c r="J15" i="75" s="1"/>
  <c r="J16" i="75" s="1"/>
  <c r="A2" i="75"/>
  <c r="M8" i="74"/>
  <c r="M9" i="74" s="1"/>
  <c r="M10" i="74" s="1"/>
  <c r="M11" i="74" s="1"/>
  <c r="M12" i="74" s="1"/>
  <c r="M13" i="74" s="1"/>
  <c r="M14" i="74" s="1"/>
  <c r="M15" i="74" s="1"/>
  <c r="M16" i="74" s="1"/>
  <c r="C7" i="74"/>
  <c r="A2" i="74"/>
  <c r="E29" i="20"/>
  <c r="D38" i="72" s="1"/>
  <c r="D45" i="72" s="1"/>
  <c r="M6" i="38" s="1"/>
  <c r="N26" i="38" s="1"/>
  <c r="AC26" i="29" l="1"/>
  <c r="AD26" i="29" s="1"/>
  <c r="T25" i="81"/>
  <c r="F8" i="65"/>
  <c r="U15" i="60"/>
  <c r="M8" i="75"/>
  <c r="M9" i="75" s="1"/>
  <c r="M10" i="75" s="1"/>
  <c r="M11" i="75" s="1"/>
  <c r="M12" i="75" s="1"/>
  <c r="M13" i="75" s="1"/>
  <c r="M14" i="75" s="1"/>
  <c r="M15" i="75" s="1"/>
  <c r="M16" i="75" s="1"/>
  <c r="V11" i="60"/>
  <c r="N8" i="75"/>
  <c r="N9" i="75" s="1"/>
  <c r="N10" i="75" s="1"/>
  <c r="N11" i="75" s="1"/>
  <c r="N12" i="75" s="1"/>
  <c r="N13" i="75" s="1"/>
  <c r="N14" i="75" s="1"/>
  <c r="N15" i="75" s="1"/>
  <c r="N16" i="75" s="1"/>
  <c r="T10" i="60"/>
  <c r="L8" i="75"/>
  <c r="W11" i="60"/>
  <c r="O8" i="75"/>
  <c r="O9" i="75" s="1"/>
  <c r="O10" i="75" s="1"/>
  <c r="O11" i="75" s="1"/>
  <c r="O12" i="75" s="1"/>
  <c r="O13" i="75" s="1"/>
  <c r="O14" i="75" s="1"/>
  <c r="O15" i="75" s="1"/>
  <c r="O16" i="75" s="1"/>
  <c r="Z10" i="60"/>
  <c r="R8" i="75"/>
  <c r="R9" i="75" s="1"/>
  <c r="R10" i="75" s="1"/>
  <c r="R11" i="75" s="1"/>
  <c r="R12" i="75" s="1"/>
  <c r="R13" i="75" s="1"/>
  <c r="R14" i="75" s="1"/>
  <c r="R15" i="75" s="1"/>
  <c r="R16" i="75" s="1"/>
  <c r="AA21" i="60"/>
  <c r="AA22" i="60" s="1"/>
  <c r="S8" i="75"/>
  <c r="S9" i="75" s="1"/>
  <c r="S10" i="75" s="1"/>
  <c r="S11" i="75" s="1"/>
  <c r="S12" i="75" s="1"/>
  <c r="S13" i="75" s="1"/>
  <c r="S14" i="75" s="1"/>
  <c r="S15" i="75" s="1"/>
  <c r="S16" i="75" s="1"/>
  <c r="S8" i="74"/>
  <c r="Z27" i="29" l="1"/>
  <c r="U25" i="81"/>
  <c r="Q26" i="81"/>
  <c r="G9" i="28"/>
  <c r="G10" i="28" s="1"/>
  <c r="G11" i="28" s="1"/>
  <c r="G12" i="28" s="1"/>
  <c r="G13" i="28" s="1"/>
  <c r="G14" i="28" s="1"/>
  <c r="G15" i="28" s="1"/>
  <c r="G16" i="28" s="1"/>
  <c r="G17" i="28" s="1"/>
  <c r="G18" i="28" s="1"/>
  <c r="L9" i="75"/>
  <c r="T11" i="60"/>
  <c r="AD10" i="60"/>
  <c r="Z16" i="60"/>
  <c r="Z22" i="60" s="1"/>
  <c r="W13" i="60"/>
  <c r="W15" i="60" s="1"/>
  <c r="W17" i="60" s="1"/>
  <c r="W19" i="60" s="1"/>
  <c r="W21" i="60" s="1"/>
  <c r="V13" i="60"/>
  <c r="V15" i="60" s="1"/>
  <c r="V17" i="60" s="1"/>
  <c r="V19" i="60" s="1"/>
  <c r="V21" i="60" s="1"/>
  <c r="I11" i="60"/>
  <c r="H9" i="28"/>
  <c r="H10" i="28" s="1"/>
  <c r="H11" i="28" s="1"/>
  <c r="H12" i="28" s="1"/>
  <c r="H13" i="28" s="1"/>
  <c r="H14" i="28" s="1"/>
  <c r="H15" i="28" s="1"/>
  <c r="H16" i="28" s="1"/>
  <c r="H17" i="28" s="1"/>
  <c r="U21" i="60"/>
  <c r="U22" i="60" s="1"/>
  <c r="O17" i="75"/>
  <c r="N17" i="75"/>
  <c r="S17" i="75"/>
  <c r="K17" i="75"/>
  <c r="M17" i="75"/>
  <c r="AB27" i="29" l="1"/>
  <c r="S26" i="81"/>
  <c r="W22" i="60"/>
  <c r="H19" i="28"/>
  <c r="H18" i="28"/>
  <c r="V22" i="60"/>
  <c r="T12" i="60"/>
  <c r="AD11" i="60"/>
  <c r="AO11" i="60" s="1"/>
  <c r="I12" i="60"/>
  <c r="I13" i="60" s="1"/>
  <c r="I14" i="60" s="1"/>
  <c r="I15" i="60" s="1"/>
  <c r="I16" i="60" s="1"/>
  <c r="I17" i="60" s="1"/>
  <c r="I18" i="60" s="1"/>
  <c r="I19" i="60" s="1"/>
  <c r="I20" i="60" s="1"/>
  <c r="I21" i="60" s="1"/>
  <c r="L10" i="75"/>
  <c r="S9" i="74"/>
  <c r="AC27" i="29" l="1"/>
  <c r="AD27" i="29" s="1"/>
  <c r="T26" i="81"/>
  <c r="U26" i="81" s="1"/>
  <c r="L11" i="75"/>
  <c r="I22" i="60"/>
  <c r="T13" i="60"/>
  <c r="AD12" i="60"/>
  <c r="AO12" i="60" s="1"/>
  <c r="S10" i="74"/>
  <c r="Z28" i="29" l="1"/>
  <c r="Q27" i="81"/>
  <c r="T14" i="60"/>
  <c r="AD13" i="60"/>
  <c r="AO13" i="60" s="1"/>
  <c r="L12" i="75"/>
  <c r="S11" i="74"/>
  <c r="AB28" i="29" l="1"/>
  <c r="S27" i="81"/>
  <c r="L13" i="75"/>
  <c r="T15" i="60"/>
  <c r="AD14" i="60"/>
  <c r="AO14" i="60" s="1"/>
  <c r="S12" i="74"/>
  <c r="N13" i="74"/>
  <c r="E24" i="65"/>
  <c r="F9" i="65"/>
  <c r="F10" i="65"/>
  <c r="AC28" i="29" l="1"/>
  <c r="AD28" i="29" s="1"/>
  <c r="T27" i="81"/>
  <c r="U27" i="81" s="1"/>
  <c r="T16" i="60"/>
  <c r="AD15" i="60"/>
  <c r="AO15" i="60" s="1"/>
  <c r="L14" i="75"/>
  <c r="S13" i="74"/>
  <c r="N14" i="74"/>
  <c r="Z29" i="29" l="1"/>
  <c r="Q28" i="81"/>
  <c r="L15" i="75"/>
  <c r="T17" i="60"/>
  <c r="AD16" i="60"/>
  <c r="AO16" i="60" s="1"/>
  <c r="S14" i="74"/>
  <c r="N15" i="74"/>
  <c r="G24" i="38"/>
  <c r="AB29" i="29" l="1"/>
  <c r="AC29" i="29" s="1"/>
  <c r="AD29" i="29" s="1"/>
  <c r="S28" i="81"/>
  <c r="T18" i="60"/>
  <c r="AD17" i="60"/>
  <c r="AO17" i="60" s="1"/>
  <c r="L16" i="75"/>
  <c r="S15" i="74"/>
  <c r="N16" i="74"/>
  <c r="S16" i="74" s="1"/>
  <c r="S17" i="74" s="1"/>
  <c r="Z30" i="29" l="1"/>
  <c r="T28" i="81"/>
  <c r="U28" i="81" s="1"/>
  <c r="L17" i="75"/>
  <c r="T19" i="60"/>
  <c r="AD18" i="60"/>
  <c r="AO18" i="60" s="1"/>
  <c r="R17" i="75"/>
  <c r="AB30" i="29" l="1"/>
  <c r="Q29" i="81"/>
  <c r="T20" i="60"/>
  <c r="AD19" i="60"/>
  <c r="AO19" i="60" s="1"/>
  <c r="AC30" i="29" l="1"/>
  <c r="AD30" i="29" s="1"/>
  <c r="S29" i="81"/>
  <c r="T21" i="60"/>
  <c r="AD20" i="60"/>
  <c r="AO20" i="60" s="1"/>
  <c r="H14" i="30"/>
  <c r="I14" i="30" s="1"/>
  <c r="Z31" i="29" l="1"/>
  <c r="T29" i="81"/>
  <c r="U29" i="81" s="1"/>
  <c r="AD21" i="60"/>
  <c r="T22" i="60"/>
  <c r="AB31" i="29" l="1"/>
  <c r="Q30" i="81"/>
  <c r="AD22" i="60"/>
  <c r="AO21" i="60"/>
  <c r="H15" i="30"/>
  <c r="I15" i="30" s="1"/>
  <c r="H13" i="30"/>
  <c r="I13" i="30" s="1"/>
  <c r="H16" i="30"/>
  <c r="I16" i="30" s="1"/>
  <c r="AD31" i="29" l="1"/>
  <c r="S30" i="81"/>
  <c r="T30" i="81"/>
  <c r="U30" i="81" s="1"/>
  <c r="P11" i="38"/>
  <c r="P9" i="38"/>
  <c r="Z32" i="29" l="1"/>
  <c r="Q31" i="81"/>
  <c r="L15" i="77"/>
  <c r="L16" i="77" s="1"/>
  <c r="E15" i="77"/>
  <c r="E16" i="77" s="1"/>
  <c r="D15" i="77"/>
  <c r="D16" i="77" s="1"/>
  <c r="I15" i="77"/>
  <c r="I16" i="77" s="1"/>
  <c r="H15" i="77"/>
  <c r="H16" i="77" s="1"/>
  <c r="C11" i="77"/>
  <c r="J15" i="77"/>
  <c r="J16" i="77" s="1"/>
  <c r="F15" i="77"/>
  <c r="F16" i="77" s="1"/>
  <c r="C15" i="77"/>
  <c r="C16" i="77" s="1"/>
  <c r="C22" i="77" s="1"/>
  <c r="D9" i="77" s="1"/>
  <c r="G15" i="77"/>
  <c r="G16" i="77" s="1"/>
  <c r="K15" i="77"/>
  <c r="K16" i="77" s="1"/>
  <c r="E26" i="20"/>
  <c r="E24" i="20" s="1"/>
  <c r="I9" i="38" s="1"/>
  <c r="H8" i="50"/>
  <c r="F11" i="65"/>
  <c r="AB32" i="29" l="1"/>
  <c r="S31" i="81"/>
  <c r="T31" i="81"/>
  <c r="U31" i="81" s="1"/>
  <c r="D22" i="77"/>
  <c r="E9" i="77" s="1"/>
  <c r="E22" i="77" s="1"/>
  <c r="F9" i="77" s="1"/>
  <c r="F22" i="77" s="1"/>
  <c r="G9" i="77" s="1"/>
  <c r="G22" i="77" s="1"/>
  <c r="H9" i="77" s="1"/>
  <c r="H22" i="77" s="1"/>
  <c r="I9" i="77" s="1"/>
  <c r="I22" i="77" s="1"/>
  <c r="J9" i="77" s="1"/>
  <c r="J22" i="77" s="1"/>
  <c r="K9" i="77" s="1"/>
  <c r="K22" i="77" s="1"/>
  <c r="L9" i="77" s="1"/>
  <c r="L22" i="77" s="1"/>
  <c r="H7" i="50"/>
  <c r="AC32" i="29" l="1"/>
  <c r="Q32" i="81"/>
  <c r="H8" i="29"/>
  <c r="I8" i="29" s="1"/>
  <c r="K8" i="29" s="1"/>
  <c r="H9" i="50"/>
  <c r="B21" i="46"/>
  <c r="C11" i="60"/>
  <c r="AD32" i="29" l="1"/>
  <c r="Z34" i="29" s="1"/>
  <c r="AC33" i="29"/>
  <c r="S32" i="81"/>
  <c r="T32" i="81"/>
  <c r="L8" i="29"/>
  <c r="H28" i="29"/>
  <c r="H29" i="29" s="1"/>
  <c r="H33" i="29" s="1"/>
  <c r="I9" i="29"/>
  <c r="C11" i="50"/>
  <c r="E27" i="20" s="1"/>
  <c r="G25" i="38"/>
  <c r="AB34" i="29" l="1"/>
  <c r="U32" i="81"/>
  <c r="T33" i="81"/>
  <c r="Q34" i="81"/>
  <c r="B28" i="46"/>
  <c r="B30" i="46" s="1"/>
  <c r="B32" i="46" s="1"/>
  <c r="C31" i="46" s="1"/>
  <c r="C23" i="41"/>
  <c r="AC34" i="29" l="1"/>
  <c r="S34" i="81"/>
  <c r="T34" i="81"/>
  <c r="L9" i="81"/>
  <c r="K9" i="29"/>
  <c r="O33" i="29"/>
  <c r="J10" i="29"/>
  <c r="J16" i="29"/>
  <c r="J25" i="46" s="1"/>
  <c r="AD34" i="29" l="1"/>
  <c r="Z35" i="29"/>
  <c r="M9" i="81"/>
  <c r="I10" i="81"/>
  <c r="K10" i="81" s="1"/>
  <c r="U34" i="81"/>
  <c r="Q35" i="81"/>
  <c r="O25" i="29"/>
  <c r="L9" i="29"/>
  <c r="K23" i="29"/>
  <c r="J23" i="29" s="1"/>
  <c r="J11" i="29"/>
  <c r="J17" i="29"/>
  <c r="K25" i="46" s="1"/>
  <c r="AB35" i="29" l="1"/>
  <c r="S35" i="81"/>
  <c r="O34" i="29"/>
  <c r="O35" i="29" s="1"/>
  <c r="D23" i="41"/>
  <c r="J12" i="29"/>
  <c r="F21" i="46"/>
  <c r="G21" i="46"/>
  <c r="H21" i="46"/>
  <c r="I21" i="46"/>
  <c r="J21" i="46"/>
  <c r="K21" i="46"/>
  <c r="L21" i="46"/>
  <c r="P10" i="38"/>
  <c r="AC35" i="29" l="1"/>
  <c r="T35" i="81"/>
  <c r="P14" i="29"/>
  <c r="P9" i="29"/>
  <c r="P10" i="29"/>
  <c r="P11" i="29"/>
  <c r="P12" i="29"/>
  <c r="P15" i="29"/>
  <c r="P19" i="29"/>
  <c r="P8" i="29"/>
  <c r="P13" i="29"/>
  <c r="P16" i="29"/>
  <c r="P17" i="29"/>
  <c r="P18" i="29"/>
  <c r="G27" i="38"/>
  <c r="F14" i="65" s="1"/>
  <c r="A2" i="65"/>
  <c r="H12" i="30"/>
  <c r="I12" i="30" s="1"/>
  <c r="I10" i="30"/>
  <c r="AD35" i="29" l="1"/>
  <c r="Z36" i="29" s="1"/>
  <c r="U35" i="81"/>
  <c r="Q36" i="81"/>
  <c r="P20" i="29"/>
  <c r="L16" i="51"/>
  <c r="M16" i="51"/>
  <c r="N16" i="51"/>
  <c r="O16" i="51"/>
  <c r="P16" i="51"/>
  <c r="G17" i="51"/>
  <c r="H17" i="51"/>
  <c r="I17" i="51"/>
  <c r="J17" i="51"/>
  <c r="K17" i="51"/>
  <c r="L17" i="51"/>
  <c r="M17" i="51"/>
  <c r="N17" i="51"/>
  <c r="O17" i="51"/>
  <c r="P17" i="51"/>
  <c r="E16" i="61"/>
  <c r="E17" i="61" s="1"/>
  <c r="AB36" i="29" l="1"/>
  <c r="S36" i="81"/>
  <c r="T36" i="81"/>
  <c r="I10" i="46"/>
  <c r="C21" i="46"/>
  <c r="J9" i="38"/>
  <c r="Q9" i="38" s="1"/>
  <c r="E21" i="46"/>
  <c r="D21" i="46"/>
  <c r="G18" i="61"/>
  <c r="E18" i="61"/>
  <c r="G16" i="61"/>
  <c r="G17" i="61"/>
  <c r="AC36" i="29" l="1"/>
  <c r="U36" i="81"/>
  <c r="Q37" i="81"/>
  <c r="R9" i="38"/>
  <c r="D10" i="46"/>
  <c r="U9" i="38"/>
  <c r="E19" i="61"/>
  <c r="G19" i="61"/>
  <c r="AD36" i="29" l="1"/>
  <c r="Z37" i="29" s="1"/>
  <c r="S37" i="81"/>
  <c r="T37" i="81"/>
  <c r="D30" i="41"/>
  <c r="E10" i="46"/>
  <c r="E20" i="61"/>
  <c r="G20" i="61"/>
  <c r="AB37" i="29" l="1"/>
  <c r="U37" i="81"/>
  <c r="Q38" i="81"/>
  <c r="E30" i="41"/>
  <c r="F10" i="46"/>
  <c r="E21" i="61"/>
  <c r="G21" i="61"/>
  <c r="F9" i="28"/>
  <c r="F10" i="28" s="1"/>
  <c r="F11" i="28" s="1"/>
  <c r="F12" i="28" s="1"/>
  <c r="F13" i="28" s="1"/>
  <c r="F14" i="28" s="1"/>
  <c r="F15" i="28" s="1"/>
  <c r="F16" i="28" s="1"/>
  <c r="F17" i="28" s="1"/>
  <c r="A2" i="28"/>
  <c r="A1" i="28"/>
  <c r="C12" i="61"/>
  <c r="E12" i="61" s="1"/>
  <c r="C11" i="61"/>
  <c r="E11" i="61" s="1"/>
  <c r="C10" i="61"/>
  <c r="E10" i="61" s="1"/>
  <c r="J11" i="61"/>
  <c r="J12" i="61" s="1"/>
  <c r="J13" i="61" s="1"/>
  <c r="J14" i="61" s="1"/>
  <c r="J15" i="61" s="1"/>
  <c r="J16" i="61" s="1"/>
  <c r="J17" i="61" s="1"/>
  <c r="J18" i="61" s="1"/>
  <c r="J19" i="61" s="1"/>
  <c r="J20" i="61" s="1"/>
  <c r="J21" i="61" s="1"/>
  <c r="J22" i="61" s="1"/>
  <c r="J23" i="61" s="1"/>
  <c r="J24" i="61" s="1"/>
  <c r="AC37" i="29" l="1"/>
  <c r="S38" i="81"/>
  <c r="T38" i="81"/>
  <c r="F30" i="41"/>
  <c r="G10" i="46"/>
  <c r="E22" i="61"/>
  <c r="G22" i="61"/>
  <c r="AD37" i="29" l="1"/>
  <c r="Z38" i="29" s="1"/>
  <c r="U38" i="81"/>
  <c r="Q39" i="81"/>
  <c r="G30" i="41"/>
  <c r="H10" i="46"/>
  <c r="E23" i="61"/>
  <c r="G23" i="61"/>
  <c r="AB38" i="29" l="1"/>
  <c r="S39" i="81"/>
  <c r="H30" i="41"/>
  <c r="G8" i="51"/>
  <c r="D8" i="51"/>
  <c r="E8" i="51"/>
  <c r="C8" i="51"/>
  <c r="E24" i="61"/>
  <c r="G24" i="61"/>
  <c r="I30" i="62"/>
  <c r="G30" i="62"/>
  <c r="E30" i="62" s="1"/>
  <c r="J30" i="62" s="1"/>
  <c r="I29" i="62"/>
  <c r="G29" i="62"/>
  <c r="E29" i="62" s="1"/>
  <c r="J29" i="62" s="1"/>
  <c r="I28" i="62"/>
  <c r="G28" i="62"/>
  <c r="E28" i="62" s="1"/>
  <c r="J28" i="62" s="1"/>
  <c r="I27" i="62"/>
  <c r="G27" i="62"/>
  <c r="E27" i="62" s="1"/>
  <c r="J27" i="62" s="1"/>
  <c r="I26" i="62"/>
  <c r="G26" i="62"/>
  <c r="E26" i="62" s="1"/>
  <c r="J26" i="62" s="1"/>
  <c r="I25" i="62"/>
  <c r="G25" i="62"/>
  <c r="E25" i="62" s="1"/>
  <c r="J25" i="62" s="1"/>
  <c r="I24" i="62"/>
  <c r="G24" i="62"/>
  <c r="E24" i="62" s="1"/>
  <c r="J24" i="62" s="1"/>
  <c r="I23" i="62"/>
  <c r="G23" i="62"/>
  <c r="E23" i="62" s="1"/>
  <c r="J23" i="62" s="1"/>
  <c r="I22" i="62"/>
  <c r="G22" i="62"/>
  <c r="E22" i="62" s="1"/>
  <c r="J22" i="62" s="1"/>
  <c r="I21" i="62"/>
  <c r="G21" i="62"/>
  <c r="E21" i="62" s="1"/>
  <c r="J21" i="62" s="1"/>
  <c r="I20" i="62"/>
  <c r="G20" i="62"/>
  <c r="E20" i="62" s="1"/>
  <c r="J20" i="62" s="1"/>
  <c r="I19" i="62"/>
  <c r="G19" i="62"/>
  <c r="E19" i="62" s="1"/>
  <c r="J19" i="62" s="1"/>
  <c r="I18" i="62"/>
  <c r="G18" i="62"/>
  <c r="E18" i="62" s="1"/>
  <c r="J18" i="62" s="1"/>
  <c r="I17" i="62"/>
  <c r="G17" i="62"/>
  <c r="E17" i="62" s="1"/>
  <c r="J17" i="62" s="1"/>
  <c r="I16" i="62"/>
  <c r="G16" i="62"/>
  <c r="E16" i="62" s="1"/>
  <c r="J16" i="62" s="1"/>
  <c r="I15" i="62"/>
  <c r="G15" i="62"/>
  <c r="E15" i="62" s="1"/>
  <c r="J15" i="62" s="1"/>
  <c r="I14" i="62"/>
  <c r="G14" i="62"/>
  <c r="E14" i="62" s="1"/>
  <c r="J14" i="62" s="1"/>
  <c r="I13" i="62"/>
  <c r="G13" i="62"/>
  <c r="E13" i="62" s="1"/>
  <c r="J13" i="62" s="1"/>
  <c r="I12" i="62"/>
  <c r="G12" i="62"/>
  <c r="E12" i="62" s="1"/>
  <c r="J12" i="62" s="1"/>
  <c r="I11" i="62"/>
  <c r="G11" i="62"/>
  <c r="E11" i="62" s="1"/>
  <c r="J11" i="62" s="1"/>
  <c r="I10" i="62"/>
  <c r="G10" i="62"/>
  <c r="E10" i="62" s="1"/>
  <c r="J10" i="62" s="1"/>
  <c r="I9" i="62"/>
  <c r="G9" i="62"/>
  <c r="E9" i="62" s="1"/>
  <c r="J9" i="62" s="1"/>
  <c r="I8" i="62"/>
  <c r="G8" i="62"/>
  <c r="E8" i="62" s="1"/>
  <c r="J8" i="62" s="1"/>
  <c r="AC38" i="29" l="1"/>
  <c r="T39" i="81"/>
  <c r="U39" i="81" s="1"/>
  <c r="L22" i="62"/>
  <c r="N10" i="41"/>
  <c r="I30" i="41"/>
  <c r="H8" i="51"/>
  <c r="L27" i="62"/>
  <c r="N27" i="62" s="1"/>
  <c r="J10" i="46"/>
  <c r="L11" i="62"/>
  <c r="N11" i="62" s="1"/>
  <c r="L14" i="62"/>
  <c r="L9" i="62"/>
  <c r="N9" i="62" s="1"/>
  <c r="L23" i="62"/>
  <c r="N23" i="62" s="1"/>
  <c r="L15" i="62"/>
  <c r="N15" i="62" s="1"/>
  <c r="L10" i="62"/>
  <c r="M10" i="62" s="1"/>
  <c r="L16" i="62"/>
  <c r="N16" i="62" s="1"/>
  <c r="L18" i="62"/>
  <c r="M18" i="62" s="1"/>
  <c r="L30" i="62"/>
  <c r="N30" i="62" s="1"/>
  <c r="F8" i="51"/>
  <c r="E25" i="61"/>
  <c r="G25" i="61"/>
  <c r="L13" i="61"/>
  <c r="O13" i="61" s="1"/>
  <c r="M13" i="61"/>
  <c r="P13" i="61" s="1"/>
  <c r="K13" i="61"/>
  <c r="N13" i="61" s="1"/>
  <c r="L21" i="62"/>
  <c r="N21" i="62" s="1"/>
  <c r="L19" i="62"/>
  <c r="M19" i="62" s="1"/>
  <c r="L25" i="62"/>
  <c r="M25" i="62" s="1"/>
  <c r="L28" i="62"/>
  <c r="M28" i="62" s="1"/>
  <c r="L26" i="62"/>
  <c r="N26" i="62" s="1"/>
  <c r="L12" i="62"/>
  <c r="L17" i="62"/>
  <c r="L24" i="62"/>
  <c r="L8" i="62"/>
  <c r="L13" i="62"/>
  <c r="L29" i="62"/>
  <c r="L20" i="62"/>
  <c r="M22" i="62"/>
  <c r="N22" i="62"/>
  <c r="Q25" i="52"/>
  <c r="R25" i="52"/>
  <c r="Q26" i="52"/>
  <c r="R26" i="52"/>
  <c r="C23" i="52"/>
  <c r="D23" i="52"/>
  <c r="E23" i="52"/>
  <c r="F23" i="52"/>
  <c r="G23" i="52"/>
  <c r="D24" i="52"/>
  <c r="E24" i="52"/>
  <c r="F24" i="52"/>
  <c r="G24" i="52"/>
  <c r="B23" i="52"/>
  <c r="B19" i="52"/>
  <c r="N10" i="52"/>
  <c r="O10" i="52"/>
  <c r="P10" i="52"/>
  <c r="Q10" i="52"/>
  <c r="R10" i="52"/>
  <c r="AD38" i="29" l="1"/>
  <c r="Z39" i="29"/>
  <c r="Q40" i="81"/>
  <c r="N25" i="62"/>
  <c r="M30" i="62"/>
  <c r="N19" i="62"/>
  <c r="M27" i="62"/>
  <c r="O27" i="62" s="1"/>
  <c r="P27" i="62" s="1"/>
  <c r="Q27" i="62" s="1"/>
  <c r="J30" i="41"/>
  <c r="I8" i="51"/>
  <c r="M15" i="62"/>
  <c r="O15" i="62" s="1"/>
  <c r="P15" i="62" s="1"/>
  <c r="Q15" i="62" s="1"/>
  <c r="M23" i="62"/>
  <c r="O23" i="62" s="1"/>
  <c r="P23" i="62" s="1"/>
  <c r="Q23" i="62" s="1"/>
  <c r="M26" i="62"/>
  <c r="O26" i="62" s="1"/>
  <c r="P26" i="62" s="1"/>
  <c r="Q26" i="62" s="1"/>
  <c r="N18" i="62"/>
  <c r="O18" i="62" s="1"/>
  <c r="P18" i="62" s="1"/>
  <c r="Q18" i="62" s="1"/>
  <c r="M14" i="62"/>
  <c r="N14" i="62"/>
  <c r="M11" i="62"/>
  <c r="O11" i="62" s="1"/>
  <c r="P11" i="62" s="1"/>
  <c r="Q11" i="62" s="1"/>
  <c r="M9" i="62"/>
  <c r="O9" i="62" s="1"/>
  <c r="P9" i="62" s="1"/>
  <c r="Q9" i="62" s="1"/>
  <c r="L9" i="38"/>
  <c r="M9" i="38" s="1"/>
  <c r="K10" i="46"/>
  <c r="O30" i="62"/>
  <c r="P30" i="62" s="1"/>
  <c r="Q30" i="62" s="1"/>
  <c r="M16" i="62"/>
  <c r="M21" i="62"/>
  <c r="O21" i="62" s="1"/>
  <c r="P21" i="62" s="1"/>
  <c r="Q21" i="62" s="1"/>
  <c r="N10" i="62"/>
  <c r="O10" i="62" s="1"/>
  <c r="P10" i="62" s="1"/>
  <c r="Q10" i="62" s="1"/>
  <c r="O16" i="62"/>
  <c r="P16" i="62" s="1"/>
  <c r="Q16" i="62" s="1"/>
  <c r="O19" i="62"/>
  <c r="P19" i="62" s="1"/>
  <c r="Q19" i="62" s="1"/>
  <c r="N28" i="62"/>
  <c r="O28" i="62" s="1"/>
  <c r="P28" i="62" s="1"/>
  <c r="Q28" i="62" s="1"/>
  <c r="O22" i="62"/>
  <c r="P22" i="62" s="1"/>
  <c r="Q22" i="62" s="1"/>
  <c r="E26" i="61"/>
  <c r="G26" i="61"/>
  <c r="L20" i="61"/>
  <c r="O20" i="61" s="1"/>
  <c r="K15" i="61"/>
  <c r="N15" i="61" s="1"/>
  <c r="L15" i="61"/>
  <c r="O15" i="61" s="1"/>
  <c r="M15" i="61"/>
  <c r="P15" i="61" s="1"/>
  <c r="Q13" i="61"/>
  <c r="K12" i="61"/>
  <c r="N12" i="61" s="1"/>
  <c r="L12" i="61"/>
  <c r="O12" i="61" s="1"/>
  <c r="M12" i="61"/>
  <c r="P12" i="61" s="1"/>
  <c r="K11" i="61"/>
  <c r="N11" i="61" s="1"/>
  <c r="L11" i="61"/>
  <c r="O11" i="61" s="1"/>
  <c r="M11" i="61"/>
  <c r="P11" i="61" s="1"/>
  <c r="K16" i="61"/>
  <c r="N16" i="61" s="1"/>
  <c r="L16" i="61"/>
  <c r="O16" i="61" s="1"/>
  <c r="M16" i="61"/>
  <c r="P16" i="61" s="1"/>
  <c r="M14" i="61"/>
  <c r="P14" i="61" s="1"/>
  <c r="L14" i="61"/>
  <c r="O14" i="61" s="1"/>
  <c r="K14" i="61"/>
  <c r="N14" i="61" s="1"/>
  <c r="M10" i="61"/>
  <c r="P10" i="61" s="1"/>
  <c r="L10" i="61"/>
  <c r="O10" i="61" s="1"/>
  <c r="K10" i="61"/>
  <c r="N10" i="61" s="1"/>
  <c r="O25" i="62"/>
  <c r="P25" i="62" s="1"/>
  <c r="Q25" i="62" s="1"/>
  <c r="M29" i="62"/>
  <c r="N29" i="62"/>
  <c r="M13" i="62"/>
  <c r="N13" i="62"/>
  <c r="N24" i="62"/>
  <c r="M24" i="62"/>
  <c r="N8" i="62"/>
  <c r="M8" i="62"/>
  <c r="M17" i="62"/>
  <c r="N17" i="62"/>
  <c r="N20" i="62"/>
  <c r="M20" i="62"/>
  <c r="N12" i="62"/>
  <c r="M12" i="62"/>
  <c r="AB39" i="29" l="1"/>
  <c r="S40" i="81"/>
  <c r="C10" i="46"/>
  <c r="K30" i="41"/>
  <c r="C30" i="41"/>
  <c r="J8" i="51"/>
  <c r="O14" i="62"/>
  <c r="P14" i="62" s="1"/>
  <c r="Q14" i="62" s="1"/>
  <c r="R14" i="62" s="1"/>
  <c r="S14" i="62" s="1"/>
  <c r="U14" i="62" s="1"/>
  <c r="V14" i="62" s="1"/>
  <c r="N9" i="38"/>
  <c r="W9" i="38"/>
  <c r="X9" i="38" s="1"/>
  <c r="N24" i="38" s="1"/>
  <c r="L10" i="46"/>
  <c r="O17" i="62"/>
  <c r="P17" i="62" s="1"/>
  <c r="Q17" i="62" s="1"/>
  <c r="O12" i="62"/>
  <c r="P12" i="62" s="1"/>
  <c r="Q12" i="62" s="1"/>
  <c r="O20" i="62"/>
  <c r="P20" i="62" s="1"/>
  <c r="Q20" i="62" s="1"/>
  <c r="O24" i="62"/>
  <c r="P24" i="62" s="1"/>
  <c r="Q24" i="62" s="1"/>
  <c r="O8" i="62"/>
  <c r="P8" i="62" s="1"/>
  <c r="Q8" i="62" s="1"/>
  <c r="M20" i="61"/>
  <c r="P20" i="61" s="1"/>
  <c r="K20" i="61"/>
  <c r="N20" i="61" s="1"/>
  <c r="E27" i="61"/>
  <c r="G27" i="61"/>
  <c r="L8" i="51"/>
  <c r="M21" i="61"/>
  <c r="P21" i="61" s="1"/>
  <c r="Q15" i="61"/>
  <c r="Q16" i="61"/>
  <c r="Q11" i="61"/>
  <c r="Q12" i="61"/>
  <c r="Q14" i="61"/>
  <c r="Q10" i="61"/>
  <c r="O29" i="62"/>
  <c r="P29" i="62" s="1"/>
  <c r="Q29" i="62" s="1"/>
  <c r="O13" i="62"/>
  <c r="P13" i="62" s="1"/>
  <c r="Q13" i="62" s="1"/>
  <c r="R9" i="62"/>
  <c r="S9" i="62" s="1"/>
  <c r="U9" i="62" s="1"/>
  <c r="V9" i="62" s="1"/>
  <c r="R25" i="62"/>
  <c r="S25" i="62" s="1"/>
  <c r="U25" i="62" s="1"/>
  <c r="V25" i="62" s="1"/>
  <c r="R19" i="62"/>
  <c r="S19" i="62" s="1"/>
  <c r="U19" i="62" s="1"/>
  <c r="V19" i="62" s="1"/>
  <c r="R28" i="62"/>
  <c r="S28" i="62" s="1"/>
  <c r="U28" i="62" s="1"/>
  <c r="R11" i="62"/>
  <c r="S11" i="62" s="1"/>
  <c r="U11" i="62" s="1"/>
  <c r="V11" i="62" s="1"/>
  <c r="R21" i="62"/>
  <c r="S21" i="62" s="1"/>
  <c r="U21" i="62" s="1"/>
  <c r="V21" i="62" s="1"/>
  <c r="R15" i="62"/>
  <c r="S15" i="62" s="1"/>
  <c r="U15" i="62" s="1"/>
  <c r="V15" i="62" s="1"/>
  <c r="R16" i="62"/>
  <c r="S16" i="62" s="1"/>
  <c r="U16" i="62" s="1"/>
  <c r="V16" i="62" s="1"/>
  <c r="R23" i="62"/>
  <c r="S23" i="62" s="1"/>
  <c r="U23" i="62" s="1"/>
  <c r="V23" i="62" s="1"/>
  <c r="R10" i="62"/>
  <c r="S10" i="62" s="1"/>
  <c r="U10" i="62" s="1"/>
  <c r="V10" i="62" s="1"/>
  <c r="R22" i="62"/>
  <c r="S22" i="62" s="1"/>
  <c r="U22" i="62" s="1"/>
  <c r="V22" i="62" s="1"/>
  <c r="R30" i="62"/>
  <c r="S30" i="62" s="1"/>
  <c r="U30" i="62" s="1"/>
  <c r="V30" i="62" s="1"/>
  <c r="R26" i="62"/>
  <c r="S26" i="62" s="1"/>
  <c r="U26" i="62" s="1"/>
  <c r="V26" i="62" s="1"/>
  <c r="R27" i="62"/>
  <c r="S27" i="62" s="1"/>
  <c r="U27" i="62" s="1"/>
  <c r="R18" i="62"/>
  <c r="S18" i="62" s="1"/>
  <c r="U18" i="62" s="1"/>
  <c r="V18" i="62" s="1"/>
  <c r="AC39" i="29" l="1"/>
  <c r="AD39" i="29" s="1"/>
  <c r="T40" i="81"/>
  <c r="U40" i="81" s="1"/>
  <c r="L30" i="41"/>
  <c r="N8" i="41"/>
  <c r="K8" i="51"/>
  <c r="B8" i="51"/>
  <c r="Q20" i="61"/>
  <c r="L21" i="61"/>
  <c r="O21" i="61" s="1"/>
  <c r="E28" i="61"/>
  <c r="G28" i="61"/>
  <c r="M8" i="51"/>
  <c r="M22" i="61"/>
  <c r="P22" i="61" s="1"/>
  <c r="L22" i="61"/>
  <c r="O22" i="61" s="1"/>
  <c r="K21" i="61"/>
  <c r="N21" i="61" s="1"/>
  <c r="R20" i="62"/>
  <c r="S20" i="62"/>
  <c r="U20" i="62" s="1"/>
  <c r="V20" i="62" s="1"/>
  <c r="R12" i="62"/>
  <c r="S12" i="62" s="1"/>
  <c r="U12" i="62" s="1"/>
  <c r="V12" i="62" s="1"/>
  <c r="R17" i="62"/>
  <c r="S17" i="62" s="1"/>
  <c r="U17" i="62" s="1"/>
  <c r="V17" i="62" s="1"/>
  <c r="R13" i="62"/>
  <c r="S13" i="62" s="1"/>
  <c r="U13" i="62" s="1"/>
  <c r="V13" i="62" s="1"/>
  <c r="R29" i="62"/>
  <c r="S29" i="62" s="1"/>
  <c r="U29" i="62" s="1"/>
  <c r="V29" i="62" s="1"/>
  <c r="R8" i="62"/>
  <c r="S8" i="62"/>
  <c r="U8" i="62" s="1"/>
  <c r="V8" i="62" s="1"/>
  <c r="R24" i="62"/>
  <c r="S24" i="62" s="1"/>
  <c r="U24" i="62" s="1"/>
  <c r="V24" i="62" s="1"/>
  <c r="Z40" i="29" l="1"/>
  <c r="Q41" i="81"/>
  <c r="V32" i="62"/>
  <c r="Q21" i="61"/>
  <c r="E29" i="61"/>
  <c r="G29" i="61"/>
  <c r="N8" i="51"/>
  <c r="M23" i="61"/>
  <c r="P23" i="61" s="1"/>
  <c r="K22" i="61"/>
  <c r="N22" i="61" s="1"/>
  <c r="Q22" i="61" s="1"/>
  <c r="U32" i="62"/>
  <c r="AB40" i="29" l="1"/>
  <c r="S41" i="81"/>
  <c r="K23" i="61"/>
  <c r="N23" i="61" s="1"/>
  <c r="L23" i="61"/>
  <c r="O23" i="61" s="1"/>
  <c r="G19" i="28"/>
  <c r="E30" i="61"/>
  <c r="G30" i="61"/>
  <c r="O8" i="51"/>
  <c r="AC40" i="29" l="1"/>
  <c r="AD40" i="29" s="1"/>
  <c r="T41" i="81"/>
  <c r="U41" i="81" s="1"/>
  <c r="L10" i="38"/>
  <c r="Q23" i="61"/>
  <c r="M24" i="61"/>
  <c r="P24" i="61" s="1"/>
  <c r="L24" i="61"/>
  <c r="O24" i="61" s="1"/>
  <c r="E31" i="61"/>
  <c r="G31" i="61"/>
  <c r="Z41" i="29" l="1"/>
  <c r="Q42" i="81"/>
  <c r="P8" i="51"/>
  <c r="K24" i="61"/>
  <c r="N24" i="61" s="1"/>
  <c r="Q24" i="61" s="1"/>
  <c r="E32" i="61"/>
  <c r="G32" i="61"/>
  <c r="C19" i="52"/>
  <c r="AB41" i="29" l="1"/>
  <c r="S42" i="81"/>
  <c r="N30" i="41"/>
  <c r="E33" i="61"/>
  <c r="G33" i="61"/>
  <c r="AC41" i="29" l="1"/>
  <c r="AD41" i="29" s="1"/>
  <c r="T42" i="81"/>
  <c r="U42" i="81" s="1"/>
  <c r="E34" i="61"/>
  <c r="G34" i="61"/>
  <c r="Z42" i="29" l="1"/>
  <c r="Q43" i="81"/>
  <c r="E35" i="61"/>
  <c r="G35" i="61"/>
  <c r="G10" i="29"/>
  <c r="G11" i="29" s="1"/>
  <c r="G12" i="29" s="1"/>
  <c r="G13" i="29" s="1"/>
  <c r="G14" i="29" s="1"/>
  <c r="G15" i="29" s="1"/>
  <c r="G16" i="29" s="1"/>
  <c r="G17" i="29" s="1"/>
  <c r="P26" i="52"/>
  <c r="O26" i="52"/>
  <c r="P25" i="52"/>
  <c r="O25" i="52"/>
  <c r="AB42" i="29" l="1"/>
  <c r="S43" i="81"/>
  <c r="E36" i="61"/>
  <c r="G36" i="61"/>
  <c r="AC42" i="29" l="1"/>
  <c r="AD42" i="29" s="1"/>
  <c r="T43" i="81"/>
  <c r="U43" i="81" s="1"/>
  <c r="E37" i="61"/>
  <c r="G37" i="61"/>
  <c r="D19" i="52"/>
  <c r="D20" i="52" s="1"/>
  <c r="Z43" i="29" l="1"/>
  <c r="Q44" i="81"/>
  <c r="E38" i="61"/>
  <c r="G38" i="61"/>
  <c r="G19" i="52"/>
  <c r="G20" i="52" s="1"/>
  <c r="AB43" i="29" l="1"/>
  <c r="AC43" i="29" s="1"/>
  <c r="AD43" i="29" s="1"/>
  <c r="S44" i="81"/>
  <c r="G8" i="57"/>
  <c r="G9" i="57" s="1"/>
  <c r="G10" i="57" s="1"/>
  <c r="G11" i="57" s="1"/>
  <c r="G12" i="57" s="1"/>
  <c r="G13" i="57" s="1"/>
  <c r="G14" i="57" s="1"/>
  <c r="G15" i="57" s="1"/>
  <c r="G16" i="57" s="1"/>
  <c r="A2" i="57"/>
  <c r="A1" i="57"/>
  <c r="Z44" i="29" l="1"/>
  <c r="T44" i="81"/>
  <c r="U44" i="81" s="1"/>
  <c r="A2" i="61"/>
  <c r="A2" i="62"/>
  <c r="A1" i="62"/>
  <c r="A1" i="61"/>
  <c r="AB44" i="29" l="1"/>
  <c r="AC44" i="29" s="1"/>
  <c r="AD44" i="29" s="1"/>
  <c r="Q45" i="81"/>
  <c r="B9" i="51"/>
  <c r="Z45" i="29" l="1"/>
  <c r="S45" i="81"/>
  <c r="C9" i="51"/>
  <c r="C10" i="51" s="1"/>
  <c r="AB45" i="29" l="1"/>
  <c r="AC45" i="29" s="1"/>
  <c r="T45" i="81"/>
  <c r="D9" i="51"/>
  <c r="D10" i="51" s="1"/>
  <c r="E7" i="52"/>
  <c r="F7" i="52" s="1"/>
  <c r="G7" i="52" s="1"/>
  <c r="H7" i="52" s="1"/>
  <c r="I7" i="52" s="1"/>
  <c r="J7" i="52" s="1"/>
  <c r="K7" i="52" s="1"/>
  <c r="L7" i="52" s="1"/>
  <c r="M7" i="52" s="1"/>
  <c r="N7" i="52" s="1"/>
  <c r="O7" i="52" s="1"/>
  <c r="P7" i="52" s="1"/>
  <c r="Q7" i="52" s="1"/>
  <c r="R7" i="52" s="1"/>
  <c r="C7" i="51"/>
  <c r="D7" i="51" s="1"/>
  <c r="E7" i="51" s="1"/>
  <c r="F7" i="51" s="1"/>
  <c r="G7" i="51" s="1"/>
  <c r="H7" i="51" s="1"/>
  <c r="I7" i="51" s="1"/>
  <c r="J7" i="51" s="1"/>
  <c r="K7" i="51" s="1"/>
  <c r="L7" i="51" s="1"/>
  <c r="M7" i="51" s="1"/>
  <c r="N7" i="51" s="1"/>
  <c r="O7" i="51" s="1"/>
  <c r="P7" i="51" s="1"/>
  <c r="AD45" i="29" l="1"/>
  <c r="Z47" i="29" s="1"/>
  <c r="AC46" i="29"/>
  <c r="U45" i="81"/>
  <c r="T46" i="81"/>
  <c r="Q47" i="81"/>
  <c r="E9" i="51"/>
  <c r="E10" i="51" s="1"/>
  <c r="A2" i="50"/>
  <c r="A1" i="50"/>
  <c r="AB47" i="29" l="1"/>
  <c r="S47" i="81"/>
  <c r="T47" i="81"/>
  <c r="L10" i="81"/>
  <c r="F9" i="51"/>
  <c r="F10" i="51" s="1"/>
  <c r="H9" i="30"/>
  <c r="AC47" i="29" l="1"/>
  <c r="M10" i="81"/>
  <c r="I11" i="81"/>
  <c r="K11" i="81" s="1"/>
  <c r="U47" i="81"/>
  <c r="Q48" i="81"/>
  <c r="I9" i="30"/>
  <c r="I19" i="30" s="1"/>
  <c r="G9" i="51"/>
  <c r="G10" i="51" s="1"/>
  <c r="AD47" i="29" l="1"/>
  <c r="Z48" i="29" s="1"/>
  <c r="S48" i="81"/>
  <c r="C9" i="57"/>
  <c r="H7" i="57" s="1"/>
  <c r="H9" i="51"/>
  <c r="H10" i="51" s="1"/>
  <c r="AB48" i="29" l="1"/>
  <c r="T48" i="81"/>
  <c r="C15" i="41"/>
  <c r="AE10" i="60"/>
  <c r="AJ10" i="60" s="1"/>
  <c r="I23" i="57"/>
  <c r="H8" i="57"/>
  <c r="D15" i="41" s="1"/>
  <c r="AC48" i="29" l="1"/>
  <c r="U48" i="81"/>
  <c r="Q49" i="81"/>
  <c r="N7" i="57"/>
  <c r="L9" i="51"/>
  <c r="L10" i="51" s="1"/>
  <c r="L13" i="51"/>
  <c r="D8" i="46"/>
  <c r="E8" i="46" s="1"/>
  <c r="F8" i="46" s="1"/>
  <c r="G8" i="46" s="1"/>
  <c r="H8" i="46" s="1"/>
  <c r="I8" i="46" s="1"/>
  <c r="J8" i="46" s="1"/>
  <c r="K8" i="46" s="1"/>
  <c r="L8" i="46" s="1"/>
  <c r="AD48" i="29" l="1"/>
  <c r="Z49" i="29"/>
  <c r="S49" i="81"/>
  <c r="T49" i="81"/>
  <c r="G17" i="78"/>
  <c r="G16" i="78"/>
  <c r="G15" i="78"/>
  <c r="G14" i="78"/>
  <c r="G12" i="78"/>
  <c r="G11" i="78"/>
  <c r="G10" i="78"/>
  <c r="G9" i="78"/>
  <c r="H9" i="78"/>
  <c r="G18" i="78"/>
  <c r="G13" i="78"/>
  <c r="C14" i="46"/>
  <c r="D14" i="46"/>
  <c r="H9" i="57"/>
  <c r="E15" i="41" s="1"/>
  <c r="B13" i="51"/>
  <c r="M9" i="51"/>
  <c r="M10" i="51" s="1"/>
  <c r="M13" i="51"/>
  <c r="G28" i="45"/>
  <c r="G23" i="45"/>
  <c r="A2" i="45"/>
  <c r="A1" i="45"/>
  <c r="AB49" i="29" l="1"/>
  <c r="U49" i="81"/>
  <c r="Q50" i="81"/>
  <c r="H10" i="57"/>
  <c r="F15" i="41" s="1"/>
  <c r="C13" i="51"/>
  <c r="D13" i="51"/>
  <c r="N9" i="51"/>
  <c r="N10" i="51" s="1"/>
  <c r="N13" i="51"/>
  <c r="AC49" i="29" l="1"/>
  <c r="S50" i="81"/>
  <c r="AE11" i="60"/>
  <c r="E14" i="46"/>
  <c r="F14" i="46"/>
  <c r="H11" i="57"/>
  <c r="G15" i="41" s="1"/>
  <c r="O9" i="51"/>
  <c r="O10" i="51" s="1"/>
  <c r="P9" i="51"/>
  <c r="P10" i="51" s="1"/>
  <c r="P13" i="51"/>
  <c r="O13" i="51"/>
  <c r="AD49" i="29" l="1"/>
  <c r="Z50" i="29" s="1"/>
  <c r="T50" i="81"/>
  <c r="AE12" i="60"/>
  <c r="AJ11" i="60"/>
  <c r="E13" i="51"/>
  <c r="H12" i="57"/>
  <c r="H15" i="41" s="1"/>
  <c r="D7" i="41"/>
  <c r="E7" i="41" s="1"/>
  <c r="F7" i="41" s="1"/>
  <c r="G7" i="41" s="1"/>
  <c r="H7" i="41" s="1"/>
  <c r="I7" i="41" s="1"/>
  <c r="J7" i="41" s="1"/>
  <c r="K7" i="41" s="1"/>
  <c r="L7" i="41" s="1"/>
  <c r="AB50" i="29" l="1"/>
  <c r="U50" i="81"/>
  <c r="Q51" i="81"/>
  <c r="H11" i="60"/>
  <c r="K11" i="60" s="1"/>
  <c r="AP11" i="60" s="1"/>
  <c r="AE13" i="60"/>
  <c r="AJ12" i="60"/>
  <c r="G14" i="46"/>
  <c r="H14" i="46"/>
  <c r="H13" i="57"/>
  <c r="I15" i="41" s="1"/>
  <c r="G13" i="51"/>
  <c r="F13" i="51"/>
  <c r="AC50" i="29" l="1"/>
  <c r="S51" i="81"/>
  <c r="T51" i="81"/>
  <c r="AJ13" i="60"/>
  <c r="AE14" i="60"/>
  <c r="H14" i="57"/>
  <c r="N25" i="52"/>
  <c r="AD50" i="29" l="1"/>
  <c r="Z51" i="29"/>
  <c r="U51" i="81"/>
  <c r="Q52" i="81"/>
  <c r="H12" i="60"/>
  <c r="K12" i="60" s="1"/>
  <c r="J15" i="41"/>
  <c r="J14" i="46" s="1"/>
  <c r="AJ14" i="60"/>
  <c r="AE15" i="60"/>
  <c r="I14" i="46"/>
  <c r="H15" i="57"/>
  <c r="K15" i="41" s="1"/>
  <c r="I13" i="51"/>
  <c r="H13" i="51"/>
  <c r="AB51" i="29" l="1"/>
  <c r="S52" i="81"/>
  <c r="AP12" i="60"/>
  <c r="H13" i="60" s="1"/>
  <c r="K13" i="60" s="1"/>
  <c r="AP13" i="60" s="1"/>
  <c r="H14" i="60" s="1"/>
  <c r="K14" i="60" s="1"/>
  <c r="AP14" i="60" s="1"/>
  <c r="H15" i="60" s="1"/>
  <c r="AJ15" i="60"/>
  <c r="AE16" i="60"/>
  <c r="B10" i="33"/>
  <c r="H16" i="57"/>
  <c r="L15" i="41" s="1"/>
  <c r="J13" i="51"/>
  <c r="AC51" i="29" l="1"/>
  <c r="T52" i="81"/>
  <c r="U52" i="81" s="1"/>
  <c r="AJ16" i="60"/>
  <c r="AE17" i="60"/>
  <c r="K15" i="60"/>
  <c r="AP15" i="60" s="1"/>
  <c r="F8" i="33"/>
  <c r="X7" i="75" s="1"/>
  <c r="Y7" i="75" s="1"/>
  <c r="Z7" i="75" s="1"/>
  <c r="K14" i="46"/>
  <c r="L14" i="46"/>
  <c r="AD51" i="29" l="1"/>
  <c r="Z52" i="29"/>
  <c r="Q53" i="81"/>
  <c r="H16" i="60"/>
  <c r="K16" i="60" s="1"/>
  <c r="AP16" i="60" s="1"/>
  <c r="C12" i="41"/>
  <c r="AE18" i="60"/>
  <c r="AJ17" i="60"/>
  <c r="K13" i="51"/>
  <c r="P13" i="38"/>
  <c r="P12" i="38"/>
  <c r="G16" i="45"/>
  <c r="L10" i="45"/>
  <c r="G14" i="45"/>
  <c r="AB52" i="29" l="1"/>
  <c r="AC52" i="29" s="1"/>
  <c r="AD52" i="29" s="1"/>
  <c r="S53" i="81"/>
  <c r="H17" i="60"/>
  <c r="K17" i="60" s="1"/>
  <c r="AP17" i="60" s="1"/>
  <c r="AE19" i="60"/>
  <c r="AJ18" i="60"/>
  <c r="C13" i="46"/>
  <c r="P14" i="38"/>
  <c r="G17" i="45"/>
  <c r="G15" i="45"/>
  <c r="H15" i="45" s="1"/>
  <c r="G19" i="45"/>
  <c r="H19" i="45" s="1"/>
  <c r="Z53" i="29" l="1"/>
  <c r="T53" i="81"/>
  <c r="U53" i="81" s="1"/>
  <c r="H18" i="60"/>
  <c r="K18" i="60" s="1"/>
  <c r="AE20" i="60"/>
  <c r="AJ19" i="60"/>
  <c r="C13" i="41"/>
  <c r="C21" i="41" s="1"/>
  <c r="D10" i="38" s="1"/>
  <c r="C31" i="41"/>
  <c r="C34" i="41" s="1"/>
  <c r="P15" i="38"/>
  <c r="AB53" i="29" l="1"/>
  <c r="Q54" i="81"/>
  <c r="AP18" i="60"/>
  <c r="H19" i="60" s="1"/>
  <c r="K19" i="60" s="1"/>
  <c r="AP19" i="60" s="1"/>
  <c r="C24" i="41"/>
  <c r="AE21" i="60"/>
  <c r="AJ20" i="60"/>
  <c r="P16" i="38"/>
  <c r="AC53" i="29" l="1"/>
  <c r="AD53" i="29" s="1"/>
  <c r="S54" i="81"/>
  <c r="H20" i="60"/>
  <c r="K20" i="60" s="1"/>
  <c r="AP20" i="60" s="1"/>
  <c r="AJ21" i="60"/>
  <c r="AE22" i="60"/>
  <c r="P17" i="38"/>
  <c r="Z54" i="29" l="1"/>
  <c r="T54" i="81"/>
  <c r="U54" i="81" s="1"/>
  <c r="H21" i="60"/>
  <c r="H22" i="60" s="1"/>
  <c r="K21" i="60"/>
  <c r="AJ22" i="60"/>
  <c r="P18" i="38"/>
  <c r="AB54" i="29" l="1"/>
  <c r="Q55" i="81"/>
  <c r="AP21" i="60"/>
  <c r="AP22" i="60" s="1"/>
  <c r="AO22" i="60"/>
  <c r="H10" i="78"/>
  <c r="H11" i="78" s="1"/>
  <c r="H12" i="78" s="1"/>
  <c r="H13" i="78" s="1"/>
  <c r="H14" i="78" s="1"/>
  <c r="H15" i="78" s="1"/>
  <c r="H16" i="78" s="1"/>
  <c r="H17" i="78" s="1"/>
  <c r="H18" i="78" s="1"/>
  <c r="Y15" i="38"/>
  <c r="Y16" i="38"/>
  <c r="Y18" i="38"/>
  <c r="Y13" i="38"/>
  <c r="Y17" i="38"/>
  <c r="Y14" i="38"/>
  <c r="Y19" i="38"/>
  <c r="Y11" i="38"/>
  <c r="Y10" i="38"/>
  <c r="Y12" i="38"/>
  <c r="P19" i="38"/>
  <c r="AC54" i="29" l="1"/>
  <c r="AD54" i="29" s="1"/>
  <c r="S55" i="81"/>
  <c r="T55" i="81"/>
  <c r="U55" i="81" s="1"/>
  <c r="A2" i="38"/>
  <c r="A1" i="38"/>
  <c r="Z55" i="29" l="1"/>
  <c r="Q56" i="81"/>
  <c r="A2" i="77"/>
  <c r="A2" i="78"/>
  <c r="A1" i="78"/>
  <c r="A1" i="77"/>
  <c r="A1" i="65"/>
  <c r="A1" i="52"/>
  <c r="A1" i="51"/>
  <c r="A2" i="52"/>
  <c r="A2" i="51"/>
  <c r="A1" i="41"/>
  <c r="A1" i="46"/>
  <c r="A2" i="41"/>
  <c r="A2" i="46"/>
  <c r="AB55" i="29" l="1"/>
  <c r="S56" i="81"/>
  <c r="N15" i="41"/>
  <c r="A1" i="60"/>
  <c r="A1" i="72" s="1"/>
  <c r="A2" i="60"/>
  <c r="G22" i="45"/>
  <c r="E9" i="33"/>
  <c r="E10" i="33" s="1"/>
  <c r="E11" i="33" s="1"/>
  <c r="E12" i="33" s="1"/>
  <c r="E13" i="33" s="1"/>
  <c r="E14" i="33" s="1"/>
  <c r="E15" i="33" s="1"/>
  <c r="E16" i="33" s="1"/>
  <c r="E17" i="33" s="1"/>
  <c r="AC55" i="29" l="1"/>
  <c r="AD55" i="29" s="1"/>
  <c r="T56" i="81"/>
  <c r="U56" i="81" s="1"/>
  <c r="L12" i="51"/>
  <c r="L14" i="51" s="1"/>
  <c r="L15" i="51" s="1"/>
  <c r="L18" i="51" s="1"/>
  <c r="G24" i="45"/>
  <c r="G26" i="45"/>
  <c r="H26" i="45" s="1"/>
  <c r="Z56" i="29" l="1"/>
  <c r="Q57" i="81"/>
  <c r="N20" i="41"/>
  <c r="M12" i="51"/>
  <c r="M14" i="51" s="1"/>
  <c r="M15" i="51" s="1"/>
  <c r="M18" i="51" s="1"/>
  <c r="L19" i="51"/>
  <c r="L20" i="51" s="1"/>
  <c r="AB56" i="29" l="1"/>
  <c r="S57" i="81"/>
  <c r="T57" i="81" s="1"/>
  <c r="U57" i="81" s="1"/>
  <c r="N12" i="51"/>
  <c r="N14" i="51" s="1"/>
  <c r="N15" i="51" s="1"/>
  <c r="N18" i="51" s="1"/>
  <c r="M19" i="51"/>
  <c r="M20" i="51" s="1"/>
  <c r="AC56" i="29" l="1"/>
  <c r="AD56" i="29" s="1"/>
  <c r="Q58" i="81"/>
  <c r="O12" i="51"/>
  <c r="O14" i="51" s="1"/>
  <c r="O15" i="51" s="1"/>
  <c r="O18" i="51" s="1"/>
  <c r="N19" i="51"/>
  <c r="N20" i="51" s="1"/>
  <c r="Z57" i="29" l="1"/>
  <c r="S58" i="81"/>
  <c r="P12" i="51"/>
  <c r="P14" i="51" s="1"/>
  <c r="P15" i="51" s="1"/>
  <c r="P18" i="51" s="1"/>
  <c r="O19" i="51"/>
  <c r="O20" i="51" s="1"/>
  <c r="AB57" i="29" l="1"/>
  <c r="AC57" i="29"/>
  <c r="AD57" i="29" s="1"/>
  <c r="T58" i="81"/>
  <c r="P19" i="51"/>
  <c r="P20" i="51" s="1"/>
  <c r="L17" i="61"/>
  <c r="O17" i="61" s="1"/>
  <c r="K17" i="61"/>
  <c r="N17" i="61" s="1"/>
  <c r="M17" i="61"/>
  <c r="P17" i="61" s="1"/>
  <c r="Z58" i="29" l="1"/>
  <c r="U58" i="81"/>
  <c r="T59" i="81"/>
  <c r="Q60" i="81"/>
  <c r="Q17" i="61"/>
  <c r="M18" i="61"/>
  <c r="P18" i="61" s="1"/>
  <c r="L18" i="61"/>
  <c r="O18" i="61" s="1"/>
  <c r="K18" i="61"/>
  <c r="N18" i="61" s="1"/>
  <c r="AB58" i="29" l="1"/>
  <c r="S60" i="81"/>
  <c r="L11" i="81"/>
  <c r="Q18" i="61"/>
  <c r="K19" i="61"/>
  <c r="N19" i="61" s="1"/>
  <c r="L19" i="61"/>
  <c r="O19" i="61" s="1"/>
  <c r="M19" i="61"/>
  <c r="P19" i="61" s="1"/>
  <c r="H11" i="52"/>
  <c r="F11" i="52"/>
  <c r="J11" i="52"/>
  <c r="E11" i="52"/>
  <c r="AC58" i="29" l="1"/>
  <c r="M11" i="81"/>
  <c r="I12" i="81"/>
  <c r="K12" i="81" s="1"/>
  <c r="T60" i="81"/>
  <c r="I9" i="51"/>
  <c r="I10" i="51" s="1"/>
  <c r="Q19" i="61"/>
  <c r="K9" i="51"/>
  <c r="K10" i="51" s="1"/>
  <c r="I11" i="52"/>
  <c r="G11" i="52"/>
  <c r="D11" i="52"/>
  <c r="K11" i="52"/>
  <c r="G9" i="45"/>
  <c r="AD58" i="29" l="1"/>
  <c r="Z60" i="29" s="1"/>
  <c r="AC59" i="29"/>
  <c r="U60" i="81"/>
  <c r="Q61" i="81" s="1"/>
  <c r="L11" i="52"/>
  <c r="AB60" i="29" l="1"/>
  <c r="S61" i="81"/>
  <c r="J9" i="51"/>
  <c r="J10" i="51" s="1"/>
  <c r="M11" i="52"/>
  <c r="AC60" i="29" l="1"/>
  <c r="T61" i="81"/>
  <c r="N11" i="52"/>
  <c r="AD60" i="29" l="1"/>
  <c r="Z61" i="29"/>
  <c r="U61" i="81"/>
  <c r="Q62" i="81"/>
  <c r="O11" i="52"/>
  <c r="G10" i="45"/>
  <c r="AB61" i="29" l="1"/>
  <c r="AC61" i="29" s="1"/>
  <c r="S62" i="81"/>
  <c r="T62" i="81"/>
  <c r="P11" i="52"/>
  <c r="AD61" i="29" l="1"/>
  <c r="Z62" i="29" s="1"/>
  <c r="U62" i="81"/>
  <c r="Q63" i="81"/>
  <c r="Q11" i="52"/>
  <c r="AB62" i="29" l="1"/>
  <c r="AC62" i="29" s="1"/>
  <c r="S63" i="81"/>
  <c r="R11" i="52"/>
  <c r="AD62" i="29" l="1"/>
  <c r="Z63" i="29" s="1"/>
  <c r="T63" i="81"/>
  <c r="G12" i="45"/>
  <c r="AB63" i="29" l="1"/>
  <c r="AC63" i="29" s="1"/>
  <c r="U63" i="81"/>
  <c r="Q64" i="81"/>
  <c r="G21" i="45"/>
  <c r="G11" i="45"/>
  <c r="AD63" i="29" l="1"/>
  <c r="Z64" i="29" s="1"/>
  <c r="S64" i="81"/>
  <c r="A2" i="33"/>
  <c r="A1" i="33"/>
  <c r="A2" i="29"/>
  <c r="A1" i="29"/>
  <c r="A2" i="30"/>
  <c r="A1" i="30"/>
  <c r="AB64" i="29" l="1"/>
  <c r="T64" i="81"/>
  <c r="L15" i="38"/>
  <c r="L13" i="38"/>
  <c r="U13" i="38" s="1"/>
  <c r="L18" i="38"/>
  <c r="L11" i="38"/>
  <c r="U11" i="38" s="1"/>
  <c r="L16" i="38"/>
  <c r="L14" i="38"/>
  <c r="L12" i="38"/>
  <c r="U12" i="38" s="1"/>
  <c r="L19" i="38"/>
  <c r="U19" i="38" s="1"/>
  <c r="L17" i="38"/>
  <c r="AC64" i="29" l="1"/>
  <c r="U64" i="81"/>
  <c r="Q65" i="81"/>
  <c r="U14" i="38"/>
  <c r="U16" i="38"/>
  <c r="U17" i="38"/>
  <c r="U15" i="38"/>
  <c r="U18" i="38"/>
  <c r="L9" i="45"/>
  <c r="H14" i="45" s="1"/>
  <c r="AD64" i="29" l="1"/>
  <c r="Z65" i="29"/>
  <c r="S65" i="81"/>
  <c r="N32" i="38"/>
  <c r="H25" i="45"/>
  <c r="H27" i="45"/>
  <c r="H11" i="45"/>
  <c r="H9" i="45"/>
  <c r="H28" i="45"/>
  <c r="AB65" i="29" l="1"/>
  <c r="T65" i="81"/>
  <c r="U65" i="81" s="1"/>
  <c r="AA27" i="4"/>
  <c r="AC65" i="29" l="1"/>
  <c r="AD65" i="29" s="1"/>
  <c r="Q66" i="81"/>
  <c r="V22" i="4"/>
  <c r="U22" i="4"/>
  <c r="R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X21" i="4"/>
  <c r="W20" i="4"/>
  <c r="X20" i="4" s="1"/>
  <c r="X19" i="4"/>
  <c r="W18" i="4"/>
  <c r="T18" i="4"/>
  <c r="T22" i="4" s="1"/>
  <c r="S18" i="4"/>
  <c r="S22" i="4" s="1"/>
  <c r="Q18" i="4"/>
  <c r="X16" i="4"/>
  <c r="X15" i="4"/>
  <c r="X14" i="4"/>
  <c r="X13" i="4"/>
  <c r="W12" i="4"/>
  <c r="X12" i="4" s="1"/>
  <c r="X11" i="4"/>
  <c r="X10" i="4"/>
  <c r="X9" i="4"/>
  <c r="X8" i="4"/>
  <c r="X7" i="4"/>
  <c r="X6" i="4"/>
  <c r="B6" i="4"/>
  <c r="B7" i="4" s="1"/>
  <c r="B8" i="4" s="1"/>
  <c r="B9" i="4" s="1"/>
  <c r="B10" i="4" s="1"/>
  <c r="B11" i="4" s="1"/>
  <c r="B12" i="4" s="1"/>
  <c r="B13" i="4" s="1"/>
  <c r="B14" i="4" s="1"/>
  <c r="X5" i="4"/>
  <c r="Z66" i="29" l="1"/>
  <c r="S66" i="81"/>
  <c r="X18" i="4"/>
  <c r="Q22" i="4"/>
  <c r="W22" i="4"/>
  <c r="AB66" i="29" l="1"/>
  <c r="AC66" i="29" s="1"/>
  <c r="AD66" i="29" s="1"/>
  <c r="T66" i="81"/>
  <c r="U66" i="81" s="1"/>
  <c r="X22" i="4"/>
  <c r="Z67" i="29" l="1"/>
  <c r="Q67" i="81"/>
  <c r="F9" i="52"/>
  <c r="AB67" i="29" l="1"/>
  <c r="S67" i="81"/>
  <c r="P9" i="52"/>
  <c r="Q9" i="52"/>
  <c r="K9" i="52"/>
  <c r="H9" i="52"/>
  <c r="R9" i="52"/>
  <c r="G9" i="52"/>
  <c r="O9" i="52"/>
  <c r="L9" i="52"/>
  <c r="E9" i="52"/>
  <c r="N9" i="52"/>
  <c r="M9" i="52"/>
  <c r="J9" i="52"/>
  <c r="I9" i="52"/>
  <c r="AC67" i="29" l="1"/>
  <c r="AD67" i="29" s="1"/>
  <c r="T67" i="81"/>
  <c r="U67" i="81" s="1"/>
  <c r="R8" i="51"/>
  <c r="Z68" i="29" l="1"/>
  <c r="Q68" i="81"/>
  <c r="O27" i="52"/>
  <c r="AB68" i="29" l="1"/>
  <c r="S68" i="81"/>
  <c r="T68" i="81"/>
  <c r="U68" i="81" s="1"/>
  <c r="P27" i="52"/>
  <c r="AC68" i="29" l="1"/>
  <c r="AD68" i="29" s="1"/>
  <c r="Q69" i="81"/>
  <c r="E19" i="52"/>
  <c r="E20" i="52" s="1"/>
  <c r="Z69" i="29" l="1"/>
  <c r="S69" i="81"/>
  <c r="F19" i="52"/>
  <c r="F20" i="52" s="1"/>
  <c r="AB69" i="29" l="1"/>
  <c r="T69" i="81"/>
  <c r="U69" i="81" s="1"/>
  <c r="N26" i="52"/>
  <c r="AC69" i="29" l="1"/>
  <c r="AD69" i="29" s="1"/>
  <c r="Q70" i="81"/>
  <c r="N27" i="52"/>
  <c r="Z70" i="29" l="1"/>
  <c r="S70" i="81"/>
  <c r="L8" i="45"/>
  <c r="H22" i="45" s="1"/>
  <c r="C18" i="52"/>
  <c r="B18" i="52"/>
  <c r="AB70" i="29" l="1"/>
  <c r="T70" i="81"/>
  <c r="U70" i="81" s="1"/>
  <c r="H16" i="45"/>
  <c r="H23" i="45"/>
  <c r="H21" i="45"/>
  <c r="H18" i="45"/>
  <c r="B20" i="52"/>
  <c r="C20" i="52"/>
  <c r="AC70" i="29" l="1"/>
  <c r="AD70" i="29" s="1"/>
  <c r="Q71" i="81"/>
  <c r="B24" i="52"/>
  <c r="Z71" i="29" l="1"/>
  <c r="S71" i="81"/>
  <c r="T71" i="81" s="1"/>
  <c r="C24" i="52"/>
  <c r="C27" i="52" s="1"/>
  <c r="C29" i="52" s="1"/>
  <c r="B27" i="52"/>
  <c r="B29" i="52" s="1"/>
  <c r="B31" i="52" s="1"/>
  <c r="C30" i="52" s="1"/>
  <c r="AB71" i="29" l="1"/>
  <c r="AC71" i="29" s="1"/>
  <c r="U71" i="81"/>
  <c r="T72" i="81"/>
  <c r="C31" i="52"/>
  <c r="D30" i="52" s="1"/>
  <c r="AD71" i="29" l="1"/>
  <c r="AC72" i="29"/>
  <c r="L12" i="81"/>
  <c r="L39" i="81"/>
  <c r="H20" i="29"/>
  <c r="F9" i="33"/>
  <c r="V8" i="75" s="1"/>
  <c r="M12" i="81" l="1"/>
  <c r="I13" i="81"/>
  <c r="W8" i="75"/>
  <c r="D11" i="41" s="1"/>
  <c r="D10" i="52"/>
  <c r="B16" i="51"/>
  <c r="I25" i="52"/>
  <c r="J25" i="52"/>
  <c r="K25" i="52"/>
  <c r="L25" i="52"/>
  <c r="M25" i="52"/>
  <c r="D25" i="52"/>
  <c r="F10" i="33"/>
  <c r="V9" i="75" s="1"/>
  <c r="W9" i="75" s="1"/>
  <c r="E11" i="41" s="1"/>
  <c r="K13" i="81" l="1"/>
  <c r="L13" i="81"/>
  <c r="E12" i="41"/>
  <c r="E10" i="52"/>
  <c r="C16" i="51"/>
  <c r="H25" i="52"/>
  <c r="E25" i="52"/>
  <c r="G25" i="52"/>
  <c r="F25" i="52"/>
  <c r="F11" i="33"/>
  <c r="V10" i="75" s="1"/>
  <c r="W10" i="75" s="1"/>
  <c r="F11" i="41" s="1"/>
  <c r="J20" i="29"/>
  <c r="M13" i="81" l="1"/>
  <c r="L18" i="81"/>
  <c r="M18" i="81" s="1"/>
  <c r="E13" i="46"/>
  <c r="F12" i="41"/>
  <c r="E13" i="41"/>
  <c r="E21" i="41" s="1"/>
  <c r="E31" i="41"/>
  <c r="E34" i="41" s="1"/>
  <c r="D12" i="41"/>
  <c r="F10" i="52"/>
  <c r="D16" i="51"/>
  <c r="M9" i="29"/>
  <c r="F12" i="33"/>
  <c r="V11" i="75" s="1"/>
  <c r="W11" i="75" s="1"/>
  <c r="G11" i="41" s="1"/>
  <c r="D12" i="38" l="1"/>
  <c r="F13" i="46"/>
  <c r="D13" i="46"/>
  <c r="F10" i="38"/>
  <c r="F13" i="33"/>
  <c r="V12" i="75" s="1"/>
  <c r="W12" i="75" s="1"/>
  <c r="H11" i="41" s="1"/>
  <c r="D31" i="41"/>
  <c r="D34" i="41" s="1"/>
  <c r="D13" i="41"/>
  <c r="F31" i="41"/>
  <c r="F34" i="41" s="1"/>
  <c r="F13" i="41"/>
  <c r="F21" i="41" s="1"/>
  <c r="G10" i="52"/>
  <c r="E16" i="51"/>
  <c r="I10" i="29"/>
  <c r="D26" i="52"/>
  <c r="D13" i="38" l="1"/>
  <c r="C25" i="41"/>
  <c r="D21" i="41"/>
  <c r="F14" i="33"/>
  <c r="V13" i="75" s="1"/>
  <c r="W13" i="75" s="1"/>
  <c r="I11" i="41" s="1"/>
  <c r="K10" i="29"/>
  <c r="L10" i="29" s="1"/>
  <c r="H10" i="52"/>
  <c r="F16" i="51"/>
  <c r="B17" i="51"/>
  <c r="D27" i="52"/>
  <c r="E23" i="41" l="1"/>
  <c r="M10" i="29"/>
  <c r="E24" i="41"/>
  <c r="D11" i="38"/>
  <c r="D24" i="41"/>
  <c r="C15" i="46"/>
  <c r="C16" i="46" s="1"/>
  <c r="E10" i="38"/>
  <c r="H10" i="38" s="1"/>
  <c r="C26" i="41"/>
  <c r="F11" i="38"/>
  <c r="G12" i="41"/>
  <c r="H12" i="41"/>
  <c r="F15" i="33"/>
  <c r="V14" i="75" s="1"/>
  <c r="W14" i="75" s="1"/>
  <c r="J11" i="41" s="1"/>
  <c r="I10" i="52"/>
  <c r="G16" i="51"/>
  <c r="C35" i="46" l="1"/>
  <c r="J9" i="78" s="1"/>
  <c r="C32" i="41"/>
  <c r="C35" i="41" s="1"/>
  <c r="I9" i="78"/>
  <c r="L9" i="78" s="1"/>
  <c r="C27" i="46" s="1"/>
  <c r="C28" i="46" s="1"/>
  <c r="C18" i="77"/>
  <c r="G13" i="46"/>
  <c r="H13" i="46"/>
  <c r="H13" i="41"/>
  <c r="H21" i="41" s="1"/>
  <c r="H31" i="41"/>
  <c r="H34" i="41" s="1"/>
  <c r="G31" i="41"/>
  <c r="G34" i="41" s="1"/>
  <c r="G13" i="41"/>
  <c r="I12" i="41"/>
  <c r="F16" i="33"/>
  <c r="V15" i="75" s="1"/>
  <c r="W15" i="75" s="1"/>
  <c r="K11" i="41" s="1"/>
  <c r="D25" i="41"/>
  <c r="D15" i="46" s="1"/>
  <c r="H16" i="51"/>
  <c r="J10" i="52"/>
  <c r="E26" i="52"/>
  <c r="I11" i="29"/>
  <c r="D15" i="38" l="1"/>
  <c r="R9" i="78"/>
  <c r="C19" i="77"/>
  <c r="C20" i="77" s="1"/>
  <c r="C23" i="77" s="1"/>
  <c r="D10" i="77" s="1"/>
  <c r="M9" i="78"/>
  <c r="I13" i="46"/>
  <c r="I13" i="41"/>
  <c r="I21" i="41" s="1"/>
  <c r="I31" i="41"/>
  <c r="I34" i="41" s="1"/>
  <c r="J12" i="41"/>
  <c r="G21" i="41"/>
  <c r="F17" i="33"/>
  <c r="V16" i="75" s="1"/>
  <c r="D26" i="41"/>
  <c r="K11" i="29"/>
  <c r="L11" i="29" s="1"/>
  <c r="E11" i="38"/>
  <c r="H11" i="38" s="1"/>
  <c r="I16" i="51"/>
  <c r="C17" i="51"/>
  <c r="K10" i="52"/>
  <c r="E27" i="52"/>
  <c r="F23" i="41" l="1"/>
  <c r="S9" i="78"/>
  <c r="T9" i="78" s="1"/>
  <c r="W16" i="75"/>
  <c r="V17" i="75"/>
  <c r="M11" i="29"/>
  <c r="F24" i="41"/>
  <c r="D16" i="38"/>
  <c r="D14" i="38"/>
  <c r="D11" i="77"/>
  <c r="C24" i="77"/>
  <c r="Q8" i="77" s="1"/>
  <c r="J13" i="46"/>
  <c r="I10" i="78"/>
  <c r="L10" i="78" s="1"/>
  <c r="D18" i="77"/>
  <c r="F12" i="38"/>
  <c r="K12" i="41"/>
  <c r="J31" i="41"/>
  <c r="J34" i="41" s="1"/>
  <c r="J13" i="41"/>
  <c r="D32" i="41"/>
  <c r="D35" i="41" s="1"/>
  <c r="L10" i="52"/>
  <c r="J16" i="51"/>
  <c r="W17" i="75" l="1"/>
  <c r="L11" i="41"/>
  <c r="D27" i="46"/>
  <c r="D28" i="46" s="1"/>
  <c r="D19" i="77"/>
  <c r="D20" i="77" s="1"/>
  <c r="D23" i="77" s="1"/>
  <c r="K13" i="46"/>
  <c r="M10" i="78"/>
  <c r="R10" i="78"/>
  <c r="J21" i="41"/>
  <c r="K13" i="41"/>
  <c r="K21" i="41" s="1"/>
  <c r="K31" i="41"/>
  <c r="K34" i="41" s="1"/>
  <c r="K16" i="51"/>
  <c r="M10" i="52"/>
  <c r="I12" i="29"/>
  <c r="D24" i="77" l="1"/>
  <c r="Q9" i="77" s="1"/>
  <c r="R9" i="77" s="1"/>
  <c r="E10" i="77"/>
  <c r="S10" i="78"/>
  <c r="T10" i="78" s="1"/>
  <c r="D18" i="38"/>
  <c r="D17" i="38"/>
  <c r="L12" i="41"/>
  <c r="K12" i="29"/>
  <c r="E25" i="41"/>
  <c r="E15" i="46" s="1"/>
  <c r="L12" i="29" l="1"/>
  <c r="G23" i="41"/>
  <c r="G24" i="41" s="1"/>
  <c r="M12" i="29"/>
  <c r="I13" i="29" s="1"/>
  <c r="L13" i="46"/>
  <c r="E11" i="77"/>
  <c r="F13" i="38"/>
  <c r="L31" i="41"/>
  <c r="L34" i="41" s="1"/>
  <c r="L13" i="41"/>
  <c r="E26" i="41"/>
  <c r="E12" i="38"/>
  <c r="H12" i="38" s="1"/>
  <c r="D17" i="51"/>
  <c r="F26" i="52"/>
  <c r="E32" i="41" l="1"/>
  <c r="E35" i="41" s="1"/>
  <c r="I11" i="78"/>
  <c r="L11" i="78" s="1"/>
  <c r="E18" i="77"/>
  <c r="L21" i="41"/>
  <c r="F27" i="52"/>
  <c r="M11" i="78" l="1"/>
  <c r="E27" i="46"/>
  <c r="E28" i="46" s="1"/>
  <c r="E19" i="77"/>
  <c r="D19" i="38"/>
  <c r="R11" i="78"/>
  <c r="F25" i="41"/>
  <c r="F15" i="46" s="1"/>
  <c r="G26" i="52"/>
  <c r="E20" i="77" l="1"/>
  <c r="E23" i="77" s="1"/>
  <c r="S11" i="78"/>
  <c r="T11" i="78" s="1"/>
  <c r="F26" i="41"/>
  <c r="K13" i="29"/>
  <c r="E13" i="38"/>
  <c r="H13" i="38" s="1"/>
  <c r="E16" i="46"/>
  <c r="E17" i="51"/>
  <c r="G27" i="52"/>
  <c r="L13" i="29" l="1"/>
  <c r="H23" i="41"/>
  <c r="F10" i="77"/>
  <c r="F11" i="77" s="1"/>
  <c r="E24" i="77"/>
  <c r="Q10" i="77" s="1"/>
  <c r="R10" i="77" s="1"/>
  <c r="F18" i="77"/>
  <c r="I12" i="78"/>
  <c r="L12" i="78" s="1"/>
  <c r="F27" i="46" s="1"/>
  <c r="F28" i="46" s="1"/>
  <c r="F32" i="41"/>
  <c r="F35" i="41" s="1"/>
  <c r="M13" i="29"/>
  <c r="I14" i="29" s="1"/>
  <c r="F19" i="77" l="1"/>
  <c r="F20" i="77" s="1"/>
  <c r="F23" i="77" s="1"/>
  <c r="R12" i="78"/>
  <c r="M12" i="78"/>
  <c r="G25" i="41"/>
  <c r="G15" i="46" s="1"/>
  <c r="F14" i="38"/>
  <c r="K14" i="29"/>
  <c r="L14" i="29" s="1"/>
  <c r="H26" i="52"/>
  <c r="L18" i="29" l="1"/>
  <c r="I23" i="41"/>
  <c r="M18" i="29"/>
  <c r="S12" i="78"/>
  <c r="T12" i="78" s="1"/>
  <c r="M14" i="29"/>
  <c r="G10" i="77"/>
  <c r="F24" i="77"/>
  <c r="Q11" i="77" s="1"/>
  <c r="R11" i="77" s="1"/>
  <c r="E14" i="38"/>
  <c r="H14" i="38" s="1"/>
  <c r="G26" i="41"/>
  <c r="G32" i="41" s="1"/>
  <c r="G35" i="41" s="1"/>
  <c r="H24" i="41"/>
  <c r="F16" i="46"/>
  <c r="F17" i="51"/>
  <c r="H27" i="52"/>
  <c r="I13" i="78" l="1"/>
  <c r="L13" i="78" s="1"/>
  <c r="G27" i="46" s="1"/>
  <c r="G28" i="46" s="1"/>
  <c r="G18" i="77"/>
  <c r="G11" i="77"/>
  <c r="H25" i="41"/>
  <c r="F15" i="38"/>
  <c r="K15" i="29"/>
  <c r="L15" i="29" s="1"/>
  <c r="I26" i="52"/>
  <c r="G19" i="77" l="1"/>
  <c r="G20" i="77" s="1"/>
  <c r="G23" i="77" s="1"/>
  <c r="M15" i="29"/>
  <c r="I24" i="41" s="1"/>
  <c r="N11" i="41"/>
  <c r="R13" i="78"/>
  <c r="M13" i="78"/>
  <c r="H26" i="41"/>
  <c r="H32" i="41" s="1"/>
  <c r="H35" i="41" s="1"/>
  <c r="H15" i="46"/>
  <c r="H16" i="46" s="1"/>
  <c r="E15" i="38"/>
  <c r="H15" i="38" s="1"/>
  <c r="I27" i="52"/>
  <c r="S13" i="78" l="1"/>
  <c r="T13" i="78" s="1"/>
  <c r="H10" i="77"/>
  <c r="G24" i="77"/>
  <c r="Q12" i="77" s="1"/>
  <c r="R12" i="77" s="1"/>
  <c r="I14" i="78"/>
  <c r="L14" i="78" s="1"/>
  <c r="H27" i="46" s="1"/>
  <c r="H28" i="46" s="1"/>
  <c r="H18" i="77"/>
  <c r="I25" i="41"/>
  <c r="F16" i="38"/>
  <c r="N12" i="41"/>
  <c r="K16" i="29"/>
  <c r="L16" i="29" s="1"/>
  <c r="G16" i="46"/>
  <c r="J26" i="52"/>
  <c r="H19" i="77" l="1"/>
  <c r="H20" i="77" s="1"/>
  <c r="H23" i="77" s="1"/>
  <c r="M16" i="29"/>
  <c r="J24" i="41" s="1"/>
  <c r="R14" i="78"/>
  <c r="M14" i="78"/>
  <c r="H11" i="77"/>
  <c r="I26" i="41"/>
  <c r="I32" i="41" s="1"/>
  <c r="I35" i="41" s="1"/>
  <c r="I15" i="46"/>
  <c r="I16" i="46" s="1"/>
  <c r="N13" i="41"/>
  <c r="N31" i="41"/>
  <c r="N34" i="41" s="1"/>
  <c r="O15" i="41"/>
  <c r="O10" i="41"/>
  <c r="O18" i="41"/>
  <c r="O16" i="41"/>
  <c r="O17" i="41"/>
  <c r="O11" i="41"/>
  <c r="E16" i="38"/>
  <c r="H16" i="38" s="1"/>
  <c r="J27" i="52"/>
  <c r="T30" i="38" l="1"/>
  <c r="F18" i="65" s="1"/>
  <c r="S14" i="78"/>
  <c r="T14" i="78" s="1"/>
  <c r="I10" i="77"/>
  <c r="H24" i="77"/>
  <c r="Q13" i="77" s="1"/>
  <c r="R13" i="77" s="1"/>
  <c r="I15" i="78"/>
  <c r="L15" i="78" s="1"/>
  <c r="I27" i="46" s="1"/>
  <c r="I28" i="46" s="1"/>
  <c r="I18" i="77"/>
  <c r="J25" i="41"/>
  <c r="F17" i="38"/>
  <c r="N21" i="41"/>
  <c r="K17" i="29"/>
  <c r="L17" i="29" s="1"/>
  <c r="K26" i="52"/>
  <c r="I19" i="77" l="1"/>
  <c r="I20" i="77" s="1"/>
  <c r="I23" i="77" s="1"/>
  <c r="R15" i="78"/>
  <c r="M15" i="78"/>
  <c r="I11" i="77"/>
  <c r="J26" i="41"/>
  <c r="J15" i="46"/>
  <c r="J16" i="46" s="1"/>
  <c r="E17" i="38"/>
  <c r="H17" i="38" s="1"/>
  <c r="M17" i="29"/>
  <c r="K27" i="52"/>
  <c r="S15" i="78" l="1"/>
  <c r="T15" i="78" s="1"/>
  <c r="J10" i="77"/>
  <c r="I24" i="77"/>
  <c r="Q14" i="77" s="1"/>
  <c r="R14" i="77" s="1"/>
  <c r="J32" i="41"/>
  <c r="J35" i="41" s="1"/>
  <c r="J18" i="77"/>
  <c r="I16" i="78"/>
  <c r="L16" i="78" s="1"/>
  <c r="J27" i="46" s="1"/>
  <c r="J28" i="46" s="1"/>
  <c r="K24" i="41"/>
  <c r="L26" i="52"/>
  <c r="J19" i="77" l="1"/>
  <c r="J20" i="77" s="1"/>
  <c r="J23" i="77" s="1"/>
  <c r="R16" i="78"/>
  <c r="M16" i="78"/>
  <c r="J11" i="77"/>
  <c r="K25" i="41"/>
  <c r="F18" i="38"/>
  <c r="L27" i="52"/>
  <c r="S16" i="78" l="1"/>
  <c r="T16" i="78" s="1"/>
  <c r="K10" i="77"/>
  <c r="J24" i="77"/>
  <c r="Q15" i="77" s="1"/>
  <c r="R15" i="77" s="1"/>
  <c r="K26" i="41"/>
  <c r="K32" i="41" s="1"/>
  <c r="K35" i="41" s="1"/>
  <c r="K15" i="46"/>
  <c r="K16" i="46" s="1"/>
  <c r="L24" i="41"/>
  <c r="E18" i="38"/>
  <c r="H18" i="38" s="1"/>
  <c r="M26" i="52"/>
  <c r="I17" i="78" l="1"/>
  <c r="L17" i="78" s="1"/>
  <c r="K27" i="46" s="1"/>
  <c r="K28" i="46" s="1"/>
  <c r="K18" i="77"/>
  <c r="K11" i="77"/>
  <c r="L25" i="41"/>
  <c r="F19" i="38"/>
  <c r="M27" i="52"/>
  <c r="K19" i="77" l="1"/>
  <c r="K20" i="77" s="1"/>
  <c r="K23" i="77" s="1"/>
  <c r="N24" i="41"/>
  <c r="R17" i="78"/>
  <c r="M17" i="78"/>
  <c r="L26" i="41"/>
  <c r="L32" i="41" s="1"/>
  <c r="L35" i="41" s="1"/>
  <c r="L15" i="46"/>
  <c r="L16" i="46" s="1"/>
  <c r="E19" i="38"/>
  <c r="H19" i="38" s="1"/>
  <c r="N25" i="41"/>
  <c r="R17" i="51"/>
  <c r="G26" i="38" l="1"/>
  <c r="J19" i="38"/>
  <c r="M19" i="38" s="1"/>
  <c r="S17" i="78"/>
  <c r="T17" i="78" s="1"/>
  <c r="N26" i="41"/>
  <c r="N32" i="41" s="1"/>
  <c r="N35" i="41" s="1"/>
  <c r="T31" i="38" s="1"/>
  <c r="F19" i="65" s="1"/>
  <c r="I18" i="78"/>
  <c r="L18" i="78" s="1"/>
  <c r="L27" i="46" s="1"/>
  <c r="L28" i="46" s="1"/>
  <c r="L18" i="77"/>
  <c r="L10" i="77"/>
  <c r="K24" i="77"/>
  <c r="Q16" i="77" s="1"/>
  <c r="R16" i="77" s="1"/>
  <c r="L12" i="45"/>
  <c r="H17" i="45" s="1"/>
  <c r="L11" i="45"/>
  <c r="H24" i="45" s="1"/>
  <c r="L19" i="77" l="1"/>
  <c r="L20" i="77" s="1"/>
  <c r="L23" i="77" s="1"/>
  <c r="L11" i="77"/>
  <c r="R18" i="78"/>
  <c r="M18" i="78"/>
  <c r="D12" i="52"/>
  <c r="S18" i="78" l="1"/>
  <c r="T18" i="78" s="1"/>
  <c r="L24" i="77"/>
  <c r="Q17" i="77" s="1"/>
  <c r="R17" i="77" s="1"/>
  <c r="E12" i="52"/>
  <c r="E15" i="52" s="1"/>
  <c r="E29" i="52" l="1"/>
  <c r="F12" i="52"/>
  <c r="F15" i="52" l="1"/>
  <c r="F29" i="52" s="1"/>
  <c r="E30" i="46"/>
  <c r="G12" i="52"/>
  <c r="G15" i="52" s="1"/>
  <c r="B10" i="51" l="1"/>
  <c r="G29" i="52"/>
  <c r="H12" i="52"/>
  <c r="H15" i="52" s="1"/>
  <c r="F30" i="46" l="1"/>
  <c r="H29" i="52"/>
  <c r="I12" i="52"/>
  <c r="I15" i="52" s="1"/>
  <c r="G30" i="46" l="1"/>
  <c r="J12" i="52"/>
  <c r="J15" i="52" s="1"/>
  <c r="I29" i="52"/>
  <c r="H30" i="46" l="1"/>
  <c r="K12" i="52"/>
  <c r="K15" i="52" s="1"/>
  <c r="J29" i="52"/>
  <c r="I30" i="46"/>
  <c r="L12" i="52" l="1"/>
  <c r="L15" i="52" s="1"/>
  <c r="K29" i="52"/>
  <c r="J30" i="46"/>
  <c r="M12" i="52" l="1"/>
  <c r="M15" i="52" s="1"/>
  <c r="K30" i="46"/>
  <c r="L29" i="52"/>
  <c r="N13" i="52"/>
  <c r="N12" i="52" l="1"/>
  <c r="M29" i="52"/>
  <c r="L30" i="46"/>
  <c r="O13" i="52"/>
  <c r="P13" i="52" l="1"/>
  <c r="O12" i="52"/>
  <c r="P12" i="52" l="1"/>
  <c r="Q13" i="52"/>
  <c r="R13" i="52" l="1"/>
  <c r="Q12" i="52"/>
  <c r="N14" i="52"/>
  <c r="N15" i="52" s="1"/>
  <c r="O14" i="52" l="1"/>
  <c r="O15" i="52" s="1"/>
  <c r="N29" i="52"/>
  <c r="R12" i="52"/>
  <c r="O29" i="52" l="1"/>
  <c r="P14" i="52"/>
  <c r="P15" i="52" s="1"/>
  <c r="Q14" i="52" l="1"/>
  <c r="Q15" i="52" s="1"/>
  <c r="P29" i="52"/>
  <c r="R14" i="52" l="1"/>
  <c r="R15" i="52" s="1"/>
  <c r="Q29" i="52"/>
  <c r="R29" i="52" l="1"/>
  <c r="R13" i="51" l="1"/>
  <c r="R9" i="51" l="1"/>
  <c r="R10" i="51" l="1"/>
  <c r="D9" i="52" l="1"/>
  <c r="D15" i="52" s="1"/>
  <c r="D29" i="52" s="1"/>
  <c r="D31" i="52" s="1"/>
  <c r="E30" i="52" s="1"/>
  <c r="E31" i="52" s="1"/>
  <c r="F30" i="52" s="1"/>
  <c r="F31" i="52" s="1"/>
  <c r="G30" i="52" s="1"/>
  <c r="G31" i="52" s="1"/>
  <c r="H30" i="52" s="1"/>
  <c r="H31" i="52" s="1"/>
  <c r="I30" i="52" s="1"/>
  <c r="I31" i="52" s="1"/>
  <c r="J30" i="52" s="1"/>
  <c r="J31" i="52" s="1"/>
  <c r="K30" i="52" s="1"/>
  <c r="K31" i="52" s="1"/>
  <c r="L30" i="52" s="1"/>
  <c r="L31" i="52" s="1"/>
  <c r="M30" i="52" s="1"/>
  <c r="M31" i="52" s="1"/>
  <c r="N30" i="52" s="1"/>
  <c r="N31" i="52" s="1"/>
  <c r="O30" i="52" s="1"/>
  <c r="O31" i="52" s="1"/>
  <c r="P30" i="52" s="1"/>
  <c r="P31" i="52" s="1"/>
  <c r="Q30" i="52" s="1"/>
  <c r="Q31" i="52" s="1"/>
  <c r="R30" i="52" s="1"/>
  <c r="R31" i="52" s="1"/>
  <c r="D16" i="46" l="1"/>
  <c r="C12" i="51" l="1"/>
  <c r="C14" i="51" s="1"/>
  <c r="C15" i="51" s="1"/>
  <c r="C18" i="51" s="1"/>
  <c r="E13" i="52"/>
  <c r="B12" i="51"/>
  <c r="D13" i="52"/>
  <c r="F13" i="52" l="1"/>
  <c r="D12" i="51"/>
  <c r="D14" i="51" s="1"/>
  <c r="D15" i="51" s="1"/>
  <c r="D18" i="51" s="1"/>
  <c r="B14" i="51"/>
  <c r="G13" i="52" l="1"/>
  <c r="E12" i="51"/>
  <c r="R14" i="51"/>
  <c r="B15" i="51"/>
  <c r="E14" i="51" l="1"/>
  <c r="E15" i="51" s="1"/>
  <c r="E18" i="51" s="1"/>
  <c r="H13" i="52"/>
  <c r="F12" i="51"/>
  <c r="F14" i="51" s="1"/>
  <c r="F15" i="51" s="1"/>
  <c r="F18" i="51" s="1"/>
  <c r="R15" i="51"/>
  <c r="B18" i="51"/>
  <c r="D14" i="52"/>
  <c r="B19" i="51"/>
  <c r="R19" i="51" s="1"/>
  <c r="C19" i="51"/>
  <c r="C20" i="51" s="1"/>
  <c r="E14" i="52"/>
  <c r="J11" i="38" l="1"/>
  <c r="Z11" i="38"/>
  <c r="T11" i="38"/>
  <c r="G12" i="51"/>
  <c r="G14" i="51" s="1"/>
  <c r="G15" i="51" s="1"/>
  <c r="G18" i="51" s="1"/>
  <c r="I13" i="52"/>
  <c r="Z10" i="38"/>
  <c r="T10" i="38"/>
  <c r="J10" i="38"/>
  <c r="F14" i="52"/>
  <c r="D19" i="51"/>
  <c r="D20" i="51" s="1"/>
  <c r="B20" i="51"/>
  <c r="R20" i="51" s="1"/>
  <c r="R18" i="51"/>
  <c r="J13" i="52" l="1"/>
  <c r="H12" i="51"/>
  <c r="H14" i="51" s="1"/>
  <c r="H15" i="51" s="1"/>
  <c r="H18" i="51" s="1"/>
  <c r="G14" i="52"/>
  <c r="E19" i="51"/>
  <c r="E20" i="51" s="1"/>
  <c r="T12" i="38"/>
  <c r="Z12" i="38"/>
  <c r="J12" i="38"/>
  <c r="Q11" i="38"/>
  <c r="M11" i="38"/>
  <c r="M10" i="38"/>
  <c r="Q10" i="38"/>
  <c r="R10" i="38" s="1"/>
  <c r="N10" i="38" l="1"/>
  <c r="M12" i="38"/>
  <c r="Q12" i="38"/>
  <c r="H14" i="52"/>
  <c r="F19" i="51"/>
  <c r="F20" i="51" s="1"/>
  <c r="I12" i="51"/>
  <c r="I14" i="51" s="1"/>
  <c r="I15" i="51" s="1"/>
  <c r="I18" i="51" s="1"/>
  <c r="K13" i="52"/>
  <c r="R11" i="38"/>
  <c r="Z13" i="38"/>
  <c r="T13" i="38"/>
  <c r="J13" i="38"/>
  <c r="N11" i="38" l="1"/>
  <c r="J12" i="51"/>
  <c r="J14" i="51" s="1"/>
  <c r="J15" i="51" s="1"/>
  <c r="J18" i="51" s="1"/>
  <c r="L13" i="52"/>
  <c r="M13" i="38"/>
  <c r="Q13" i="38"/>
  <c r="I14" i="52"/>
  <c r="G19" i="51"/>
  <c r="G20" i="51" s="1"/>
  <c r="J14" i="38"/>
  <c r="Z14" i="38"/>
  <c r="T14" i="38"/>
  <c r="R12" i="38"/>
  <c r="N12" i="38" l="1"/>
  <c r="T15" i="38"/>
  <c r="Z15" i="38"/>
  <c r="J15" i="38"/>
  <c r="H19" i="51"/>
  <c r="H20" i="51" s="1"/>
  <c r="J14" i="52"/>
  <c r="M14" i="38"/>
  <c r="Q14" i="38"/>
  <c r="R13" i="38"/>
  <c r="N13" i="38" l="1"/>
  <c r="N14" i="38" s="1"/>
  <c r="M13" i="52"/>
  <c r="K12" i="51"/>
  <c r="K14" i="51" s="1"/>
  <c r="K15" i="51" s="1"/>
  <c r="K18" i="51" s="1"/>
  <c r="R12" i="51"/>
  <c r="R14" i="38"/>
  <c r="M15" i="38"/>
  <c r="Q15" i="38"/>
  <c r="I19" i="51"/>
  <c r="I20" i="51" s="1"/>
  <c r="K14" i="52"/>
  <c r="Z16" i="38"/>
  <c r="T16" i="38"/>
  <c r="J16" i="38"/>
  <c r="N15" i="38" l="1"/>
  <c r="R15" i="38"/>
  <c r="J19" i="51"/>
  <c r="J20" i="51" s="1"/>
  <c r="L14" i="52"/>
  <c r="Q16" i="38"/>
  <c r="M16" i="38"/>
  <c r="J17" i="38"/>
  <c r="T17" i="38"/>
  <c r="Z17" i="38"/>
  <c r="N16" i="38" l="1"/>
  <c r="R16" i="38"/>
  <c r="Q17" i="38"/>
  <c r="M17" i="38"/>
  <c r="J18" i="38"/>
  <c r="Z18" i="38"/>
  <c r="T18" i="38"/>
  <c r="K19" i="51"/>
  <c r="K20" i="51" s="1"/>
  <c r="M14" i="52"/>
  <c r="N17" i="38" l="1"/>
  <c r="R17" i="38"/>
  <c r="M18" i="38"/>
  <c r="Q18" i="38"/>
  <c r="T19" i="38"/>
  <c r="N31" i="38" s="1"/>
  <c r="N33" i="38" s="1"/>
  <c r="G29" i="38" s="1"/>
  <c r="Z19" i="38"/>
  <c r="N25" i="38" s="1"/>
  <c r="N28" i="38" s="1"/>
  <c r="W27" i="38" l="1"/>
  <c r="G30" i="38" s="1"/>
  <c r="F16" i="65"/>
  <c r="N18" i="38"/>
  <c r="N19" i="38" s="1"/>
  <c r="R18" i="38"/>
  <c r="Q19" i="38"/>
  <c r="G28" i="38" l="1"/>
  <c r="F15" i="65" s="1"/>
  <c r="R19" i="38"/>
  <c r="F13" i="65" l="1"/>
  <c r="F17" i="65"/>
  <c r="C30" i="46"/>
  <c r="C32" i="46" s="1"/>
  <c r="N9" i="78" l="1"/>
  <c r="O9" i="78" s="1"/>
  <c r="D30" i="46"/>
  <c r="D31" i="46" l="1"/>
  <c r="D35" i="46" s="1"/>
  <c r="J10" i="78" s="1"/>
  <c r="N10" i="78" s="1"/>
  <c r="O10" i="78" s="1"/>
  <c r="D32" i="46" l="1"/>
  <c r="E31" i="46" s="1"/>
  <c r="E32" i="46" s="1"/>
  <c r="F31" i="46" s="1"/>
  <c r="F35" i="46" s="1"/>
  <c r="J12" i="78" s="1"/>
  <c r="N12" i="78" s="1"/>
  <c r="O12" i="78" s="1"/>
  <c r="E35" i="46" l="1"/>
  <c r="J11" i="78" s="1"/>
  <c r="N11" i="78" s="1"/>
  <c r="O11" i="78" s="1"/>
  <c r="F32" i="46"/>
  <c r="G31" i="46" s="1"/>
  <c r="G35" i="46" s="1"/>
  <c r="J13" i="78" s="1"/>
  <c r="N13" i="78" s="1"/>
  <c r="O13" i="78" s="1"/>
  <c r="G32" i="46" l="1"/>
  <c r="H31" i="46" s="1"/>
  <c r="H35" i="46" s="1"/>
  <c r="J14" i="78" s="1"/>
  <c r="N14" i="78" s="1"/>
  <c r="O14" i="78" s="1"/>
  <c r="H32" i="46" l="1"/>
  <c r="I31" i="46" s="1"/>
  <c r="I35" i="46" s="1"/>
  <c r="J15" i="78" s="1"/>
  <c r="N15" i="78" s="1"/>
  <c r="O15" i="78" s="1"/>
  <c r="I32" i="46" l="1"/>
  <c r="J31" i="46" s="1"/>
  <c r="J35" i="46" s="1"/>
  <c r="J16" i="78" s="1"/>
  <c r="N16" i="78" s="1"/>
  <c r="O16" i="78" s="1"/>
  <c r="J32" i="46" l="1"/>
  <c r="K31" i="46" s="1"/>
  <c r="K35" i="46" s="1"/>
  <c r="J17" i="78" s="1"/>
  <c r="N17" i="78" s="1"/>
  <c r="O17" i="78" s="1"/>
  <c r="K32" i="46" l="1"/>
  <c r="L31" i="46" s="1"/>
  <c r="L32" i="46" l="1"/>
  <c r="L35" i="46"/>
  <c r="J18" i="78" s="1"/>
  <c r="N18" i="78" s="1"/>
</calcChain>
</file>

<file path=xl/sharedStrings.xml><?xml version="1.0" encoding="utf-8"?>
<sst xmlns="http://schemas.openxmlformats.org/spreadsheetml/2006/main" count="2261" uniqueCount="1276">
  <si>
    <t>Pra-operational Cost SPI (in idr)</t>
  </si>
  <si>
    <t>No</t>
  </si>
  <si>
    <t>Description</t>
  </si>
  <si>
    <t>Aug'19</t>
  </si>
  <si>
    <t>Sep'19</t>
  </si>
  <si>
    <t>Okt'19</t>
  </si>
  <si>
    <t>Nov'19</t>
  </si>
  <si>
    <t>Dec'19</t>
  </si>
  <si>
    <t>Jan'20</t>
  </si>
  <si>
    <t>Feb'20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</si>
  <si>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</si>
  <si>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</si>
  <si>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</si>
  <si>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</si>
  <si>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</si>
  <si>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</si>
  <si>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</si>
  <si>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</si>
  <si>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</si>
  <si>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</si>
  <si>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</si>
  <si>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</si>
  <si>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</si>
  <si>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Total</t>
  </si>
  <si>
    <t>Company Establishment</t>
  </si>
  <si>
    <t>Founder Tim Remuneration</t>
  </si>
  <si>
    <t>Project Tim</t>
  </si>
  <si>
    <t>Security Tim</t>
  </si>
  <si>
    <t>Technical Audit (Chematur)</t>
  </si>
  <si>
    <t>Jakarta Office Rent (Incl. utilities)</t>
  </si>
  <si>
    <t>Lhoksemauwe Office Rent (Incl. renovation, furniture)</t>
  </si>
  <si>
    <t>Down Payment (Factory Rent)</t>
  </si>
  <si>
    <t>Warranty Deposit (Cashflow)</t>
  </si>
  <si>
    <t>Goodwill (Plant Rent, Raw Mat. Supply Agree., Product Offtake Agree., Setup Tim)</t>
  </si>
  <si>
    <t>Office Equipment</t>
  </si>
  <si>
    <t>Operational Cost (Business Trip,  Survey etc)</t>
  </si>
  <si>
    <t>DCS</t>
  </si>
  <si>
    <t>Working Capital (raw mat., chemical,  etc)</t>
  </si>
  <si>
    <t>Project Cost</t>
  </si>
  <si>
    <t>Exchange Rate</t>
  </si>
  <si>
    <t>Gas Price</t>
  </si>
  <si>
    <t>usd/mmbtu</t>
  </si>
  <si>
    <t>idr/ 1 usd</t>
  </si>
  <si>
    <t>Variabel Production Cost</t>
  </si>
  <si>
    <t>Production Volume (Concentrate 60%)</t>
  </si>
  <si>
    <t>Sales Volume</t>
  </si>
  <si>
    <t>/year</t>
  </si>
  <si>
    <t>Inflation Rate</t>
  </si>
  <si>
    <t>Discount Rate</t>
  </si>
  <si>
    <t>Sales Price</t>
  </si>
  <si>
    <t>/mton</t>
  </si>
  <si>
    <t>usd/mton</t>
  </si>
  <si>
    <t>years</t>
  </si>
  <si>
    <t>USD</t>
  </si>
  <si>
    <t>Utilities</t>
  </si>
  <si>
    <t>Discount Factor</t>
  </si>
  <si>
    <t>B</t>
  </si>
  <si>
    <t>fd</t>
  </si>
  <si>
    <t>No.</t>
  </si>
  <si>
    <t>Sources:</t>
  </si>
  <si>
    <t>%</t>
  </si>
  <si>
    <t>IDR/USD</t>
  </si>
  <si>
    <t>% per year</t>
  </si>
  <si>
    <t>Depreciation</t>
  </si>
  <si>
    <t>% of net profit/loss before tax</t>
  </si>
  <si>
    <t>Minimum Acceptable ROR (MARR)</t>
  </si>
  <si>
    <t>Note:</t>
  </si>
  <si>
    <t>Assumptions:</t>
  </si>
  <si>
    <t>Assumption:</t>
  </si>
  <si>
    <t>Position</t>
  </si>
  <si>
    <t>Number</t>
  </si>
  <si>
    <t>Monthly</t>
  </si>
  <si>
    <t>Yearly</t>
  </si>
  <si>
    <t>Packaging</t>
  </si>
  <si>
    <t>Cumulative</t>
  </si>
  <si>
    <t>Tax holiday</t>
  </si>
  <si>
    <t>Operating Expenses:</t>
  </si>
  <si>
    <t>Plant overhead</t>
  </si>
  <si>
    <t>Electricity</t>
  </si>
  <si>
    <t>Years</t>
  </si>
  <si>
    <t>Earning Before Tax (EBT)</t>
  </si>
  <si>
    <t>Net Present Value (NPV)</t>
  </si>
  <si>
    <t>Profitability Index (PI)</t>
  </si>
  <si>
    <t>Interest Rate =</t>
  </si>
  <si>
    <t>Unlevered Free Cash Flow</t>
  </si>
  <si>
    <t>Net Free Cash Flow (FCF)</t>
  </si>
  <si>
    <t>Discounted Free Cash Flow</t>
  </si>
  <si>
    <t>Cumulative Discounted Free Cash Flow</t>
  </si>
  <si>
    <t>THEORY</t>
  </si>
  <si>
    <t>Variable production costs:</t>
  </si>
  <si>
    <t>Raw materials</t>
  </si>
  <si>
    <t>Operating labor</t>
  </si>
  <si>
    <t>Operating supervision</t>
  </si>
  <si>
    <t>Utilities:</t>
  </si>
  <si>
    <t>Fuel</t>
  </si>
  <si>
    <t>Refrigeration</t>
  </si>
  <si>
    <t>Steam</t>
  </si>
  <si>
    <t>Waste treatment &amp; disposal</t>
  </si>
  <si>
    <t>Water, process</t>
  </si>
  <si>
    <t>Water, cooling</t>
  </si>
  <si>
    <t>Maintenance &amp; repairs</t>
  </si>
  <si>
    <t>Operating supplies</t>
  </si>
  <si>
    <t>Laboratory charges</t>
  </si>
  <si>
    <t>Royalties (if not on lump-sum basis)</t>
  </si>
  <si>
    <t>Catalyst and solvents</t>
  </si>
  <si>
    <t>Fixed charges:</t>
  </si>
  <si>
    <t>Medical</t>
  </si>
  <si>
    <t>Safety &amp; protection</t>
  </si>
  <si>
    <t>General plant overhead</t>
  </si>
  <si>
    <t>Payroll overhead</t>
  </si>
  <si>
    <t>Restaurant</t>
  </si>
  <si>
    <t>Recreation</t>
  </si>
  <si>
    <t>Salvage</t>
  </si>
  <si>
    <t>Control laboratories</t>
  </si>
  <si>
    <t>Plant superintendence</t>
  </si>
  <si>
    <t>Storage facilities</t>
  </si>
  <si>
    <t>Administration expenses:</t>
  </si>
  <si>
    <t>Sales offices</t>
  </si>
  <si>
    <t>Sales personnel expenses</t>
  </si>
  <si>
    <t>Shipping</t>
  </si>
  <si>
    <t>Advertising</t>
  </si>
  <si>
    <t>Technical sales service</t>
  </si>
  <si>
    <t>Variable production costs</t>
  </si>
  <si>
    <t>Fixed charges</t>
  </si>
  <si>
    <t>Taxes (property)</t>
  </si>
  <si>
    <t>Financing (interest)</t>
  </si>
  <si>
    <t>Insurance</t>
  </si>
  <si>
    <t>Rent</t>
  </si>
  <si>
    <t>Plant overhead cost:</t>
  </si>
  <si>
    <t>xxxxx</t>
  </si>
  <si>
    <t>Executive salaries</t>
  </si>
  <si>
    <t>Clerical wages</t>
  </si>
  <si>
    <t>Engineering</t>
  </si>
  <si>
    <t>Legas costs</t>
  </si>
  <si>
    <t>Office maintenance</t>
  </si>
  <si>
    <t>Communications</t>
  </si>
  <si>
    <t>Distribution &amp; Marketing expenses:</t>
  </si>
  <si>
    <t>Manufacturing, Operating or Production costs:</t>
  </si>
  <si>
    <t>Plant overhead costs</t>
  </si>
  <si>
    <t>General Expenses:</t>
  </si>
  <si>
    <t>Administration expenses</t>
  </si>
  <si>
    <t>Distribution &amp; marketing expenses</t>
  </si>
  <si>
    <t>Estimation Of Total Product Costs</t>
  </si>
  <si>
    <t>Total Product Costs</t>
  </si>
  <si>
    <t>TOTAL PRODUCT COSTS</t>
  </si>
  <si>
    <t>GENERAL EXPENSES</t>
  </si>
  <si>
    <t>MANUFACTURING COSTS (PRODUCTION OR OPERATING COSTS)</t>
  </si>
  <si>
    <t>Max S. Pieters &amp; K.D Timmerhouse</t>
  </si>
  <si>
    <t>Handbook - Plant design and Economics for Chemical Engineers</t>
  </si>
  <si>
    <t>Operating Expenses</t>
  </si>
  <si>
    <t>1).</t>
  </si>
  <si>
    <t>2).</t>
  </si>
  <si>
    <t>3).</t>
  </si>
  <si>
    <t>4).</t>
  </si>
  <si>
    <t>5).</t>
  </si>
  <si>
    <t>6).</t>
  </si>
  <si>
    <t>of FCI</t>
  </si>
  <si>
    <t>of maintenance &amp; repairs</t>
  </si>
  <si>
    <t>of operating labor</t>
  </si>
  <si>
    <t>of total product cost</t>
  </si>
  <si>
    <t>Others:</t>
  </si>
  <si>
    <t>Principal of loan will be paid in the first year of commercial production.</t>
  </si>
  <si>
    <t>The intesrest will be paid in the first year of commercial production.</t>
  </si>
  <si>
    <t>Sales Revenue</t>
  </si>
  <si>
    <t>Production years</t>
  </si>
  <si>
    <t>Cost of Goods Sold</t>
  </si>
  <si>
    <t>Gross Margin</t>
  </si>
  <si>
    <t>Operating Profit</t>
  </si>
  <si>
    <t xml:space="preserve">  Interest expense</t>
  </si>
  <si>
    <t>Earning Before Tax</t>
  </si>
  <si>
    <t xml:space="preserve">  Income tax expense</t>
  </si>
  <si>
    <t>Net Income</t>
  </si>
  <si>
    <t>Capital Investment Draw-down</t>
  </si>
  <si>
    <t>Plant overhead costs include costs for the following: general plant upkeep &amp; overhead,</t>
  </si>
  <si>
    <t>payroll overhead, packaging, medical services, safety &amp; protection, restaurants, recreation,</t>
  </si>
  <si>
    <t>Escalation per year for:</t>
  </si>
  <si>
    <t>Salary &amp; wages</t>
  </si>
  <si>
    <t>per year (inflation rate basis)</t>
  </si>
  <si>
    <t>Ʃ(H)</t>
  </si>
  <si>
    <t>Internal Rate of Return (IRR)</t>
  </si>
  <si>
    <t>Payback Period (PBT)</t>
  </si>
  <si>
    <t>Project valuation:</t>
  </si>
  <si>
    <t>10 - 20%</t>
  </si>
  <si>
    <t>of TPC</t>
  </si>
  <si>
    <t>2 - 10%</t>
  </si>
  <si>
    <t>15%</t>
  </si>
  <si>
    <t>0.5 - 1.0%</t>
  </si>
  <si>
    <t>1 - 4%</t>
  </si>
  <si>
    <t>0.4 - 1.0%</t>
  </si>
  <si>
    <t>&lt; 10%</t>
  </si>
  <si>
    <t>(1)</t>
  </si>
  <si>
    <t>50 - 70%</t>
  </si>
  <si>
    <t>of operating labor, supervision &amp; maintenance</t>
  </si>
  <si>
    <t>5 - 15%</t>
  </si>
  <si>
    <t>(2)</t>
  </si>
  <si>
    <t>15 - 25%</t>
  </si>
  <si>
    <t>2 - 5%</t>
  </si>
  <si>
    <t>(3)</t>
  </si>
  <si>
    <t>2 - 20%</t>
  </si>
  <si>
    <t>(4)</t>
  </si>
  <si>
    <t>Operating supplies: consumable items such as charts, lubricants, test chemicals, custodial supplies, and</t>
  </si>
  <si>
    <t>similar supplies cannot be considered as raw materials or maintenance &amp; repairs material.</t>
  </si>
  <si>
    <t>Laboratory charges: the cost of laboratory tests for control of operations and for product quality control.</t>
  </si>
  <si>
    <t>Financing interest: the compensation paid for the use of borrowed capital. Event though it should not be</t>
  </si>
  <si>
    <t xml:space="preserve">considered as a manufacturing cost, but that it should be listed as a separate expense under the general heading </t>
  </si>
  <si>
    <t>of management or financing cost.</t>
  </si>
  <si>
    <t>Cost Factorial Checking</t>
  </si>
  <si>
    <t xml:space="preserve">Plant overhead costs for chemical plants is about 50 to 70% of the total expenses for operating labor, supervision, and </t>
  </si>
  <si>
    <t>Administrative costs is about 15 to 25% of costs of operating labor, supervision and maintenance.</t>
  </si>
  <si>
    <t>It includes costs for executive salaries, clerical wages, computer support, legal fees, office supplies and communications.</t>
  </si>
  <si>
    <t>Distribution &amp; marketing costs is about 2 to 20% of the total product cost.</t>
  </si>
  <si>
    <t>It includes costs for sales offices, sales people, shipping and advertising.</t>
  </si>
  <si>
    <t>maintenance.</t>
  </si>
  <si>
    <t>(5)</t>
  </si>
  <si>
    <t>(6)</t>
  </si>
  <si>
    <t>Cost of Goods Manufacturing:</t>
  </si>
  <si>
    <t>Chemicals &amp; catalyst</t>
  </si>
  <si>
    <t>TPC</t>
  </si>
  <si>
    <t>FCI</t>
  </si>
  <si>
    <t>Operating labor, supervision &amp; maintenance</t>
  </si>
  <si>
    <t>Factor</t>
  </si>
  <si>
    <t>Theoritical</t>
  </si>
  <si>
    <t>Application</t>
  </si>
  <si>
    <t>10-80%</t>
  </si>
  <si>
    <t xml:space="preserve">Distribution &amp; Marketing </t>
  </si>
  <si>
    <t xml:space="preserve">Administrative </t>
  </si>
  <si>
    <t xml:space="preserve">Plant overhead </t>
  </si>
  <si>
    <t>Excl. Salary for executives</t>
  </si>
  <si>
    <t>Exclude salary for analysts</t>
  </si>
  <si>
    <t>Excl. Packaging cost</t>
  </si>
  <si>
    <t>(7)</t>
  </si>
  <si>
    <t>Excl. Salary for non-operating labor</t>
  </si>
  <si>
    <t>As local rate</t>
  </si>
  <si>
    <t>Refer to similar plant experience</t>
  </si>
  <si>
    <t>As market info</t>
  </si>
  <si>
    <t>- Project Financing</t>
  </si>
  <si>
    <t>Beginning Balance</t>
  </si>
  <si>
    <t>Ending Balance</t>
  </si>
  <si>
    <t>Projection Years</t>
  </si>
  <si>
    <t>Net cash flow from operating activities</t>
  </si>
  <si>
    <t>Cash flow from operating activities</t>
  </si>
  <si>
    <t>Cash flow from investment activities</t>
  </si>
  <si>
    <t>Cash flow from financing activities</t>
  </si>
  <si>
    <t>- Capital (equity)</t>
  </si>
  <si>
    <t>- Interest payment</t>
  </si>
  <si>
    <t>- Repayment loan</t>
  </si>
  <si>
    <t xml:space="preserve">     Income from customer</t>
  </si>
  <si>
    <t xml:space="preserve">     Less: Payment to supplier</t>
  </si>
  <si>
    <t xml:space="preserve">              Cash income tax</t>
  </si>
  <si>
    <t>Net cash change</t>
  </si>
  <si>
    <t xml:space="preserve">     Project cost (fixed capital)</t>
  </si>
  <si>
    <t>WACC =</t>
  </si>
  <si>
    <t>a.</t>
  </si>
  <si>
    <t>b.</t>
  </si>
  <si>
    <t>per month</t>
  </si>
  <si>
    <t>IDR (total)</t>
  </si>
  <si>
    <t>Formula:</t>
  </si>
  <si>
    <t>Dalam hal ini:</t>
  </si>
  <si>
    <t>Income tax rate</t>
  </si>
  <si>
    <t>Knowns:</t>
  </si>
  <si>
    <t>No preferred and common share of capital</t>
  </si>
  <si>
    <t>Debt portion</t>
  </si>
  <si>
    <t>Loan interest rate</t>
  </si>
  <si>
    <t>Then</t>
  </si>
  <si>
    <t>Profit margin:</t>
  </si>
  <si>
    <t xml:space="preserve">     Working capital</t>
  </si>
  <si>
    <t>CUMULATIVE</t>
  </si>
  <si>
    <t>Capital Investment</t>
  </si>
  <si>
    <t>Total capital investment</t>
  </si>
  <si>
    <t>Annex-Projected Income Statement</t>
  </si>
  <si>
    <t>Annex-Projected Cash Flow</t>
  </si>
  <si>
    <t>Structure of Income Statement</t>
  </si>
  <si>
    <t>Beginning inventories</t>
  </si>
  <si>
    <t>Variable production cost</t>
  </si>
  <si>
    <t>Less: Ending inventories</t>
  </si>
  <si>
    <t>Less: Cost of goods sold:</t>
  </si>
  <si>
    <t>xxxxxxx</t>
  </si>
  <si>
    <t>(xxxxxxx)</t>
  </si>
  <si>
    <t>Less: SG &amp; A:</t>
  </si>
  <si>
    <t>Selling expenses</t>
  </si>
  <si>
    <t>General &amp; Administrative expenses</t>
  </si>
  <si>
    <t>Selling, General &amp; Administrative expenses</t>
  </si>
  <si>
    <t>Less: Interest expenses</t>
  </si>
  <si>
    <t>Earning Before Taxes</t>
  </si>
  <si>
    <t>Less: Income tax expenses</t>
  </si>
  <si>
    <t>Gross Profit</t>
  </si>
  <si>
    <t>Net Sales</t>
  </si>
  <si>
    <t>Chemicals</t>
  </si>
  <si>
    <t>Plant overhead:</t>
  </si>
  <si>
    <t>Maintenance &amp; repair</t>
  </si>
  <si>
    <t>Plant depreciation</t>
  </si>
  <si>
    <t>Selling expenses:</t>
  </si>
  <si>
    <t>Typical cost - Sources PT. KKA Budget 2007</t>
  </si>
  <si>
    <t>Insurance (building, vehicles, and finished goods stock)</t>
  </si>
  <si>
    <t>Insurance (building, machine &amp; equipment, vehicles)</t>
  </si>
  <si>
    <t>Services (legal, product distribution &amp; transportation)</t>
  </si>
  <si>
    <t>General &amp; Administrative:</t>
  </si>
  <si>
    <t>Depreciation (building, office, house, vehicles)</t>
  </si>
  <si>
    <t>Insurance (site facilities, vehicles)</t>
  </si>
  <si>
    <t>Services (consultant, legal, audit, bank charge)</t>
  </si>
  <si>
    <t>Laboratorium</t>
  </si>
  <si>
    <t>See KKA budget</t>
  </si>
  <si>
    <t>Recalculate</t>
  </si>
  <si>
    <t>Need to check</t>
  </si>
  <si>
    <t>Administrative (travel, meeting, office supplies, communication, etc)</t>
  </si>
  <si>
    <t>Full or Absorption Costing</t>
  </si>
  <si>
    <t>Production Costs and Operating Expenses</t>
  </si>
  <si>
    <t>Basis:</t>
  </si>
  <si>
    <t>Production costs = Biaya produksi = Costs</t>
  </si>
  <si>
    <t>Operating expenses = Biaya operasi = Biaya non produksi = Expenses</t>
  </si>
  <si>
    <t>Variable cost</t>
  </si>
  <si>
    <t>Tipikal biaya produksi:</t>
  </si>
  <si>
    <t>Bahan baku</t>
  </si>
  <si>
    <t>Utilitas</t>
  </si>
  <si>
    <t>Bahan kemasan</t>
  </si>
  <si>
    <t>Penyusutan fasilitas pabrik</t>
  </si>
  <si>
    <t>Pemeliharaan dan perbaikan peralatan produksi</t>
  </si>
  <si>
    <t>Asuransi fasilitas pabrik</t>
  </si>
  <si>
    <t>Pajak properti pabrik</t>
  </si>
  <si>
    <t>Fixed overhead cost</t>
  </si>
  <si>
    <t>Tipikal biaya operasi:</t>
  </si>
  <si>
    <t>Beginning finished goods inventory</t>
  </si>
  <si>
    <t>Costs of goods produced:</t>
  </si>
  <si>
    <t>Fixed cost (or fixed plant overhead)</t>
  </si>
  <si>
    <t>Costs of goods available for sale</t>
  </si>
  <si>
    <t>xxxx</t>
  </si>
  <si>
    <t>Ending finished goods inventory</t>
  </si>
  <si>
    <t>(xxxx)</t>
  </si>
  <si>
    <t>Costs of goods sold (COGS)</t>
  </si>
  <si>
    <t>Cost of goods available for sale = Harga pokok produksi</t>
  </si>
  <si>
    <t>Cost of goods sold = Harga pokok penjualan</t>
  </si>
  <si>
    <t>Biaya administrasi &amp; umum:</t>
  </si>
  <si>
    <t>Gaji &amp; upah karyawan pabrik</t>
  </si>
  <si>
    <t>Gaji &amp; upah karyawan kantor</t>
  </si>
  <si>
    <t>Penyusutan peralatan &amp; kenderaan kantor</t>
  </si>
  <si>
    <t>Asuransi gedung &amp; kenderaan kantor</t>
  </si>
  <si>
    <t>Perjalanan dinas</t>
  </si>
  <si>
    <t>Office supplies</t>
  </si>
  <si>
    <t>Biaya komunikasi</t>
  </si>
  <si>
    <t>Pajak - pajak</t>
  </si>
  <si>
    <t>Sewa kenderaan &amp; biaya bahan bakar</t>
  </si>
  <si>
    <t>Biaya listrik kantor</t>
  </si>
  <si>
    <t>Biaya rapat</t>
  </si>
  <si>
    <t>Biaya penjualan &amp; pemasaran:</t>
  </si>
  <si>
    <t>Gaji eksekutif perusahaan</t>
  </si>
  <si>
    <t>Gaji &amp; upah karyawan pemasaran/penjualan</t>
  </si>
  <si>
    <t>Biaya pengiriman</t>
  </si>
  <si>
    <t>Biaya promosi</t>
  </si>
  <si>
    <t>Biaya pemasaran</t>
  </si>
  <si>
    <t>Biaya sewa gedung (kantor)</t>
  </si>
  <si>
    <t>Biaya legal</t>
  </si>
  <si>
    <t>Biaya riset &amp; pengembangan</t>
  </si>
  <si>
    <t>Selling, General &amp; Administrative (SG&amp;A):</t>
  </si>
  <si>
    <t>Cost of Goods Sold (COGS):</t>
  </si>
  <si>
    <t>General &amp; Adminstrative expenses</t>
  </si>
  <si>
    <t>Sales revenue</t>
  </si>
  <si>
    <t>Other Income</t>
  </si>
  <si>
    <t>Earning Before Interest &amp; Taxes</t>
  </si>
  <si>
    <t>Interest Expenses</t>
  </si>
  <si>
    <t>Corporate Tax</t>
  </si>
  <si>
    <t>Packaging materials</t>
  </si>
  <si>
    <t>Plant turn around</t>
  </si>
  <si>
    <t>Others (building &amp; heavy vehicles rent, promotion)</t>
  </si>
  <si>
    <t>Maintenance &amp; repair (building, office equipment, site facilities)</t>
  </si>
  <si>
    <t xml:space="preserve">Grand Total </t>
  </si>
  <si>
    <t>as capitalized interest.</t>
  </si>
  <si>
    <t xml:space="preserve">          -----&gt; Matching?</t>
  </si>
  <si>
    <t>Selling, General &amp; Administrative</t>
  </si>
  <si>
    <t xml:space="preserve">   General &amp; Administrative</t>
  </si>
  <si>
    <t xml:space="preserve">   Selling expenses</t>
  </si>
  <si>
    <t xml:space="preserve">              Plant overhead</t>
  </si>
  <si>
    <t xml:space="preserve">              SG &amp; A</t>
  </si>
  <si>
    <t>Rp/kg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</si>
  <si>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</si>
  <si>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</si>
  <si>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</si>
  <si>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</si>
  <si>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</si>
  <si>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</si>
  <si>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</si>
  <si>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</si>
  <si>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</si>
  <si>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</si>
  <si>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</si>
  <si>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</si>
  <si>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+1</t>
  </si>
  <si>
    <t>Rp</t>
  </si>
  <si>
    <t>Overhead</t>
  </si>
  <si>
    <t>% per year (Bank Aceh rate)</t>
  </si>
  <si>
    <t>Rp, proposed as "working capital sheet"</t>
  </si>
  <si>
    <t>Rp/year</t>
  </si>
  <si>
    <t>in Rupiah (Rp)</t>
  </si>
  <si>
    <t>Yearly average, Rp =</t>
  </si>
  <si>
    <t>in Rupiah (Rp, millions)</t>
  </si>
  <si>
    <t>Perhitungan cost of equity:</t>
  </si>
  <si>
    <t>(1). Metode Capital Asset Pricing Model (CAPM)</t>
  </si>
  <si>
    <t>(2). Metode dividen saham (constant growth valuation model)</t>
  </si>
  <si>
    <t>(3). Metode Edward Bell Ohlson model</t>
  </si>
  <si>
    <t>Ada 4 metode:</t>
  </si>
  <si>
    <t>(4). Pendekatan investasi bebas risiko plus premi risiko</t>
  </si>
  <si>
    <t xml:space="preserve">Rumus metode (4): </t>
  </si>
  <si>
    <t>Cost of equity = Imbal hasil bebas risiko + premi risiko</t>
  </si>
  <si>
    <t xml:space="preserve">  Dapat diambil pertimbangan contoh SBN atau SBR yang mendapat jaminan dari</t>
  </si>
  <si>
    <t xml:space="preserve">  Pemerintah (misal 7%).</t>
  </si>
  <si>
    <t>- Imbal hasil bebas risiko (risk free rate):</t>
  </si>
  <si>
    <t>- Premi risiko (risk premium):</t>
  </si>
  <si>
    <t xml:space="preserve">  Merupakan sejumlah uang/modal yang rela dilepaskan oleh pengambil keputusan</t>
  </si>
  <si>
    <t xml:space="preserve">  untuk dapat menghindari risiko dari suatu kejadian tidak pasti yang dihadapi.</t>
  </si>
  <si>
    <t xml:space="preserve">  Angka premi risiko akan sangat berbeda tergantung terhadap risiko yang timbul dari </t>
  </si>
  <si>
    <t xml:space="preserve">  variabel yang dipertimbangkan. Sebagai contoh, dari website diperoleh  Indonesia</t>
  </si>
  <si>
    <t xml:space="preserve">  memiliki risk premium sebesar 8.03%.</t>
  </si>
  <si>
    <t>Risk free rate =</t>
  </si>
  <si>
    <t>Mature market risk premium =</t>
  </si>
  <si>
    <t>Country risk premium =</t>
  </si>
  <si>
    <t>WACC = Equity portion*Cost of equity</t>
  </si>
  <si>
    <t>Equity portion</t>
  </si>
  <si>
    <t>Risk free rate</t>
  </si>
  <si>
    <t>Risk premium</t>
  </si>
  <si>
    <t>Assume</t>
  </si>
  <si>
    <t>Cost of equity</t>
  </si>
  <si>
    <t>Rp (excluded IDP)</t>
  </si>
  <si>
    <t>Gudang Asal</t>
  </si>
  <si>
    <t>TUJUAN KIRIMAN</t>
  </si>
  <si>
    <t>VOLUME / KOLI</t>
  </si>
  <si>
    <t>Berat (Tonase)</t>
  </si>
  <si>
    <t>Berat (Kg)</t>
  </si>
  <si>
    <t>Biaya Truking</t>
  </si>
  <si>
    <t>Bongkar Muat</t>
  </si>
  <si>
    <t>Biaya Administrasi</t>
  </si>
  <si>
    <t>Biaya Lain-lain</t>
  </si>
  <si>
    <t>Jumlah Biaya Dasar</t>
  </si>
  <si>
    <t>Cost Of Fund</t>
  </si>
  <si>
    <t>Total Beban</t>
  </si>
  <si>
    <t>Margin Kotor</t>
  </si>
  <si>
    <t>Tarif Dasar</t>
  </si>
  <si>
    <t>Ppn Pos</t>
  </si>
  <si>
    <t>Penawaran</t>
  </si>
  <si>
    <t>GD. Kr. Geukueh Aceh Utara</t>
  </si>
  <si>
    <t>Banda Aceh / Aceh Besar</t>
  </si>
  <si>
    <t>Pidie</t>
  </si>
  <si>
    <t>Pidie Jaya</t>
  </si>
  <si>
    <t>Bireun</t>
  </si>
  <si>
    <t>Lhokseumawe</t>
  </si>
  <si>
    <t>Aceh Utara</t>
  </si>
  <si>
    <t>Aceh Timur / Langsa</t>
  </si>
  <si>
    <t>Aceh Tamiang</t>
  </si>
  <si>
    <t>Aceh Tengah</t>
  </si>
  <si>
    <t>Bener Meriah</t>
  </si>
  <si>
    <t>Aceh Jaya</t>
  </si>
  <si>
    <t>Aceh Barat</t>
  </si>
  <si>
    <t>Nagan Raya</t>
  </si>
  <si>
    <t>Aceh Barat Daya</t>
  </si>
  <si>
    <t>Aceh Selatan</t>
  </si>
  <si>
    <t>Subulussalam</t>
  </si>
  <si>
    <t>Singkil</t>
  </si>
  <si>
    <t>Aceh Tenggara</t>
  </si>
  <si>
    <t>Gayo Lues</t>
  </si>
  <si>
    <t>Sabang</t>
  </si>
  <si>
    <t>Simeulue</t>
  </si>
  <si>
    <t>Pekanbaru</t>
  </si>
  <si>
    <t>Padang</t>
  </si>
  <si>
    <t>Jarak Tempuh (KM)</t>
  </si>
  <si>
    <t>Selected market area</t>
  </si>
  <si>
    <t>Sales quantity, ton</t>
  </si>
  <si>
    <t>Plant site - Indrapuri</t>
  </si>
  <si>
    <t>See TransportReference sheet</t>
  </si>
  <si>
    <t>- Aceh Jaya</t>
  </si>
  <si>
    <t>- Aceh Barat</t>
  </si>
  <si>
    <t>- Nagan Raya</t>
  </si>
  <si>
    <t>- Aceh Barat (Meulaboh city)</t>
  </si>
  <si>
    <t>- Aceh Jaya (Lamno city)</t>
  </si>
  <si>
    <t>- Nagan Raya (Jeuram city)</t>
  </si>
  <si>
    <t>Original Port</t>
  </si>
  <si>
    <t>Destination Port</t>
  </si>
  <si>
    <t>Distance</t>
  </si>
  <si>
    <t>Rate (Rp/kg)</t>
  </si>
  <si>
    <t>Rate (Rp/kg/KM)</t>
  </si>
  <si>
    <t>Distance, KM</t>
  </si>
  <si>
    <t>Distance of destination:</t>
  </si>
  <si>
    <t>Original port</t>
  </si>
  <si>
    <t>Destination port:</t>
  </si>
  <si>
    <t>- Banda Aceh / Aceh Besar</t>
  </si>
  <si>
    <t>- Pidie</t>
  </si>
  <si>
    <t>- Pidie Jaya</t>
  </si>
  <si>
    <t>- Bireun</t>
  </si>
  <si>
    <t>- Lhokseumawe</t>
  </si>
  <si>
    <t>- Aceh Utara</t>
  </si>
  <si>
    <t>- Aceh Timur</t>
  </si>
  <si>
    <t>- Aceh Tamiang</t>
  </si>
  <si>
    <t>- Aceh Tengah</t>
  </si>
  <si>
    <t>- Bener Meriah</t>
  </si>
  <si>
    <t>- Aceh Barat Daya</t>
  </si>
  <si>
    <t>- Aceh Selatan</t>
  </si>
  <si>
    <t>- Subulussalam</t>
  </si>
  <si>
    <t>- Singkil</t>
  </si>
  <si>
    <t>- Aceh Tenggara</t>
  </si>
  <si>
    <t>- Gayo Lues</t>
  </si>
  <si>
    <t>- Sabang</t>
  </si>
  <si>
    <t>- Simeulue</t>
  </si>
  <si>
    <t>- Pekanbaru</t>
  </si>
  <si>
    <t>- Padang</t>
  </si>
  <si>
    <t>Year-1, Semester II</t>
  </si>
  <si>
    <t xml:space="preserve">     Add: Amortization</t>
  </si>
  <si>
    <t xml:space="preserve">  Amortization</t>
  </si>
  <si>
    <t>or</t>
  </si>
  <si>
    <t>Freight or Transportation Cost</t>
  </si>
  <si>
    <t>Freight or Transportation, Rp</t>
  </si>
  <si>
    <t>Freight cost (total)</t>
  </si>
  <si>
    <t>Kilo meter</t>
  </si>
  <si>
    <t>Rp/kg/KM</t>
  </si>
  <si>
    <t>KM</t>
  </si>
  <si>
    <t>Method (4)</t>
  </si>
  <si>
    <t>Average</t>
  </si>
  <si>
    <t>Loan interest during initial production stage is capitalized into the principal of loan and known</t>
  </si>
  <si>
    <t>Transportation Cost - Refer to POSLOG offering proposal</t>
  </si>
  <si>
    <t>Year +1</t>
  </si>
  <si>
    <t>Self-financing</t>
  </si>
  <si>
    <t>Rp (see "capital investment sheet")</t>
  </si>
  <si>
    <t>Rp (see CapitalInvestment and LoanInterest sheets")</t>
  </si>
  <si>
    <t>% (see "CapitalInvestment sheet")</t>
  </si>
  <si>
    <t>Present Value for Profitability Index Calculation</t>
  </si>
  <si>
    <t>Source of Capital</t>
  </si>
  <si>
    <t>Portion</t>
  </si>
  <si>
    <t>Total Salary</t>
  </si>
  <si>
    <t>TOTAL</t>
  </si>
  <si>
    <t>1.</t>
  </si>
  <si>
    <t>Basic Study</t>
  </si>
  <si>
    <t>Financial performance:</t>
  </si>
  <si>
    <t>- NPV</t>
  </si>
  <si>
    <t>Rp, mil.</t>
  </si>
  <si>
    <t>- IRR</t>
  </si>
  <si>
    <t>- Profitability index</t>
  </si>
  <si>
    <t>- Payback period</t>
  </si>
  <si>
    <t>- Gross profit margin (GPM)</t>
  </si>
  <si>
    <t>- Net profit margin (NPM)</t>
  </si>
  <si>
    <t>Proyeksi Perubahan Modal (ekuitas)</t>
  </si>
  <si>
    <t>Tahun</t>
  </si>
  <si>
    <t>Catatan:</t>
  </si>
  <si>
    <t>Laba Operasi</t>
  </si>
  <si>
    <t>Laba Sebelum Pajak Penghasilan Badan</t>
  </si>
  <si>
    <t>Laba Bersih</t>
  </si>
  <si>
    <t>Proyeksi Laba/(rugi)</t>
  </si>
  <si>
    <t>Proyeksi Arus Kas</t>
  </si>
  <si>
    <t>Metode langsung</t>
  </si>
  <si>
    <t>Arus kas dari aktivitas operasi:</t>
  </si>
  <si>
    <t xml:space="preserve">     Penerimaan kas dari pelanggan</t>
  </si>
  <si>
    <t xml:space="preserve">     (+): Depresiasi/amortisasiDepreciation</t>
  </si>
  <si>
    <t xml:space="preserve">      (-): Pembayaran/pelunasan untuk:</t>
  </si>
  <si>
    <t xml:space="preserve">            Pajak penghasilan badan</t>
  </si>
  <si>
    <t>Arus kas bersih dari aktivitas operasi</t>
  </si>
  <si>
    <t>Arus kas dari aktivitas investasi:</t>
  </si>
  <si>
    <t xml:space="preserve">     Penerimaan kas untuk modal investasi tetap</t>
  </si>
  <si>
    <t xml:space="preserve">     Penerimaan kas untuk modal kerja</t>
  </si>
  <si>
    <t>Arus kas bersih untuk aktivitas investasi</t>
  </si>
  <si>
    <t>Arus kas dari aktivitas pendanaan:</t>
  </si>
  <si>
    <t xml:space="preserve">     Pengeluaran untuk modal investasi tetap</t>
  </si>
  <si>
    <t xml:space="preserve">     Pelunasan pinjaman pokok</t>
  </si>
  <si>
    <t xml:space="preserve">     Pembayaran bunga pinjaman</t>
  </si>
  <si>
    <t>Arus kas bersih untuk aktivitas pendanaan</t>
  </si>
  <si>
    <t>Kenaikan/(penurunan) bersih kas</t>
  </si>
  <si>
    <t>Saldo kas awal tahun</t>
  </si>
  <si>
    <t>saldo kas akhir tahun</t>
  </si>
  <si>
    <t>Asumsi</t>
  </si>
  <si>
    <t>Financial Pre-Feasibility Study</t>
  </si>
  <si>
    <t>Umum</t>
  </si>
  <si>
    <t>bulan/tahun</t>
  </si>
  <si>
    <t>tahun</t>
  </si>
  <si>
    <t>Umur bisnis</t>
  </si>
  <si>
    <t>Finansial</t>
  </si>
  <si>
    <t>Total modal investasi (TCI)</t>
  </si>
  <si>
    <t>Modal investasi tetap (FCI)</t>
  </si>
  <si>
    <t>Modal kerja (WCI)</t>
  </si>
  <si>
    <t>Modal pinjaman</t>
  </si>
  <si>
    <t>Modal sendiri (ekuitas)</t>
  </si>
  <si>
    <t>Bunga pinjaman</t>
  </si>
  <si>
    <t>Masa pembayaran pinjaman (tenor)</t>
  </si>
  <si>
    <t>Masa tangguhan pembayaran pinjaman (grace period)</t>
  </si>
  <si>
    <t>Laju inflasi</t>
  </si>
  <si>
    <t>Depresiasi/amortisasi</t>
  </si>
  <si>
    <t>Pajak badan (corporate tax)</t>
  </si>
  <si>
    <t>Laba Operasi (Earning Before Tax &amp; Interest, EBIT)</t>
  </si>
  <si>
    <t>A</t>
  </si>
  <si>
    <t>C</t>
  </si>
  <si>
    <t>Beban Pajak Penghasilan Badan (Corporate Tax Expenses)</t>
  </si>
  <si>
    <t>Amortisasi atau Depresiasi</t>
  </si>
  <si>
    <t>I=fd*F</t>
  </si>
  <si>
    <t>Operasional</t>
  </si>
  <si>
    <t>Analisis Sensitivitas</t>
  </si>
  <si>
    <t>Modal Investasi dan Pengeluarannya (draw-down)</t>
  </si>
  <si>
    <t>Modal investasi tetap (FCI):</t>
  </si>
  <si>
    <t>Bunga pinjaman masa pra-operasional(IDC)</t>
  </si>
  <si>
    <t>Modal Investasi</t>
  </si>
  <si>
    <t>Pengeluaran Modal Investasi</t>
  </si>
  <si>
    <t>Modal Kerja</t>
  </si>
  <si>
    <t>Bulan</t>
  </si>
  <si>
    <t>Modal kerja:</t>
  </si>
  <si>
    <t>Saldo Awal</t>
  </si>
  <si>
    <t>Saldo Akhir</t>
  </si>
  <si>
    <t>Kas yang Diperoleh (cash generate)</t>
  </si>
  <si>
    <t>Kas yang Tersedia (cash available)</t>
  </si>
  <si>
    <t>Ringkasan</t>
  </si>
  <si>
    <t>Dalam satuan rupiah (Rp)</t>
  </si>
  <si>
    <t>Dalam stuan rupiah (Rp)</t>
  </si>
  <si>
    <t>Gaji &amp; Upah</t>
  </si>
  <si>
    <t>Beban Penjualan, Umum dan Administrasi</t>
  </si>
  <si>
    <t>Rp/tahun</t>
  </si>
  <si>
    <t>Gaji dan Upah</t>
  </si>
  <si>
    <t>Pinjaman dan Bunga Pinjaman</t>
  </si>
  <si>
    <t>Pencairan pinjaman</t>
  </si>
  <si>
    <t>a. Bunga penjaman</t>
  </si>
  <si>
    <t>b. Masa pengembalian pinjaman</t>
  </si>
  <si>
    <t>c. Tangguhan pengembalian pinjaman</t>
  </si>
  <si>
    <t>d. Nilai tukar</t>
  </si>
  <si>
    <t>Bunga masa pra-operasional (IDC):</t>
  </si>
  <si>
    <t>Penggunaan Pinjaman (loan drawdown)</t>
  </si>
  <si>
    <t>Saldo pinjaman awal tahun</t>
  </si>
  <si>
    <t>Pembayaran Pokok Pinjaman (Loan Payment)</t>
  </si>
  <si>
    <t>Saldo pinjaman akhir tahun</t>
  </si>
  <si>
    <t>Bunga Pinjaman (Interest Owned)</t>
  </si>
  <si>
    <t>Pembayaran Bunga Pinjaman (Interest Payment)</t>
  </si>
  <si>
    <t>Amortisasi</t>
  </si>
  <si>
    <t>Amortisasi/Depresiasi</t>
  </si>
  <si>
    <t>Depresiasi/amortisasi tahunan</t>
  </si>
  <si>
    <t>Periode depresiasi/amortisasi</t>
  </si>
  <si>
    <t>COGS</t>
  </si>
  <si>
    <t>(-)</t>
  </si>
  <si>
    <t>Depreciation/amortization</t>
  </si>
  <si>
    <t>Earning Before Interest &amp; Tax (EBIT)</t>
  </si>
  <si>
    <t>Operating Profit (EBITDA)</t>
  </si>
  <si>
    <t>Cash Income Tax</t>
  </si>
  <si>
    <t>Operating Profit or EBIT</t>
  </si>
  <si>
    <t>Net Free Cash Flow = Earning Before Tax (EBT)</t>
  </si>
  <si>
    <t>Net Free Cash Flow = EBITDA - Cash Income Tax</t>
  </si>
  <si>
    <t xml:space="preserve">               + Depreciation or Amortization</t>
  </si>
  <si>
    <t xml:space="preserve">               + Interest Expenses</t>
  </si>
  <si>
    <t xml:space="preserve">               - Cash Income Tax</t>
  </si>
  <si>
    <t>Net Free Cash Flow = Earning Before Interest &amp; tax (EBIT)</t>
  </si>
  <si>
    <t xml:space="preserve">   Saldo laba ditahan</t>
  </si>
  <si>
    <t>Perubahan Saldo</t>
  </si>
  <si>
    <t>Catatan</t>
  </si>
  <si>
    <t xml:space="preserve">   Jumlah saldo awal</t>
  </si>
  <si>
    <t xml:space="preserve">   Modal disetor</t>
  </si>
  <si>
    <t xml:space="preserve">   Modal disetor:</t>
  </si>
  <si>
    <t xml:space="preserve">   - Tambahan setoran modal</t>
  </si>
  <si>
    <t xml:space="preserve">   Saldo laba ditahan:</t>
  </si>
  <si>
    <t xml:space="preserve">   Laba ditahan</t>
  </si>
  <si>
    <t xml:space="preserve">   Jumlah saldo akhir</t>
  </si>
  <si>
    <t xml:space="preserve">   - Penarikan modal yang disetor</t>
  </si>
  <si>
    <t xml:space="preserve">   - Perubahan modal disetor</t>
  </si>
  <si>
    <t xml:space="preserve">   - Laba bersih tahun berjalan</t>
  </si>
  <si>
    <t xml:space="preserve">   - Dividen kas</t>
  </si>
  <si>
    <t xml:space="preserve">   - Laba ditahan tahun berjalan</t>
  </si>
  <si>
    <t>Dalam satuan ribu rupiah (Rp, ribu)</t>
  </si>
  <si>
    <t>Keterangan</t>
  </si>
  <si>
    <t xml:space="preserve">   </t>
  </si>
  <si>
    <t>Rp, ribu</t>
  </si>
  <si>
    <t/>
  </si>
  <si>
    <t>Present Value</t>
  </si>
  <si>
    <t>Future Value</t>
  </si>
  <si>
    <t>Rp, Ribu</t>
  </si>
  <si>
    <t>Present and Future Values of Cash Flow for MIRR calculation</t>
  </si>
  <si>
    <t>Present Value Cash Outflow 
(PVCF)</t>
  </si>
  <si>
    <t>Compound Rate</t>
  </si>
  <si>
    <t>Future Value Cash Inflow 
(FVCF)</t>
  </si>
  <si>
    <t>cr</t>
  </si>
  <si>
    <t>MIRR calculations:</t>
  </si>
  <si>
    <t>Present value cash out flow, PVCF</t>
  </si>
  <si>
    <t>Future value cash inflow, FVCF</t>
  </si>
  <si>
    <t>Cost of capital</t>
  </si>
  <si>
    <t>Project life</t>
  </si>
  <si>
    <t>Cost of Capital =</t>
  </si>
  <si>
    <t>Perhitungan Waktu balik modal :</t>
  </si>
  <si>
    <t>Tahun sebelum balik modal yang di diskontokan terjadi</t>
  </si>
  <si>
    <t>Kumulatif Cash flow sebelum balik modal</t>
  </si>
  <si>
    <t>Discounted cash flow setelah balik modal</t>
  </si>
  <si>
    <t>Waktu Balik Modal (Payback Period)</t>
  </si>
  <si>
    <t>Perhitungan indeks profitabilitas :</t>
  </si>
  <si>
    <t>Cumulative discounted free cash inflow</t>
  </si>
  <si>
    <t>Cumulative discounted free cash outflow</t>
  </si>
  <si>
    <t>Cost of Capital</t>
  </si>
  <si>
    <t>Modified IRR</t>
  </si>
  <si>
    <t>Modal diterima (cash received)</t>
  </si>
  <si>
    <t>- MIRR</t>
  </si>
  <si>
    <t>Pengaruh Perubahan volume penjualan</t>
  </si>
  <si>
    <t>Perubahan terhadap basis</t>
  </si>
  <si>
    <t>Kg/tahun</t>
  </si>
  <si>
    <t>kg/tahun</t>
  </si>
  <si>
    <t>orang</t>
  </si>
  <si>
    <t xml:space="preserve">              + Debt portion*After tax cost of debt</t>
  </si>
  <si>
    <t>Perhitungan:</t>
  </si>
  <si>
    <t>IDR/number</t>
  </si>
  <si>
    <t>Pendapatan Penjualan (Revenue)</t>
  </si>
  <si>
    <t>(akun), yaitu:</t>
  </si>
  <si>
    <t xml:space="preserve">Gaji/upah diklasifikasikan atas 2 pos pengeluaran </t>
  </si>
  <si>
    <t>2). Pos pengeluaran beban terkait umum dan</t>
  </si>
  <si>
    <t xml:space="preserve">     administrasi.</t>
  </si>
  <si>
    <t>c.</t>
  </si>
  <si>
    <t>d.</t>
  </si>
  <si>
    <t>Gaji/upah</t>
  </si>
  <si>
    <t>Besaran beban di atas untuk tahun pertama operasional.</t>
  </si>
  <si>
    <t>Pendapatan Usaha</t>
  </si>
  <si>
    <t>Beban Bunga Pinjaman</t>
  </si>
  <si>
    <t>Net Profit Margin, NPM</t>
  </si>
  <si>
    <t>Gross Profit Margin, GPM</t>
  </si>
  <si>
    <t>1. Margin laba kotor: ((pendapatan total – harga pokok penjualan) : pendapatan total) x 100.</t>
  </si>
  <si>
    <t>2. Margin Laba Bersih = ((Pendapatan – (HPP + biaya operasional + bunga + pajak + biaya lain) : Pendapatan) x 100.</t>
  </si>
  <si>
    <t>Data:</t>
  </si>
  <si>
    <t>Perhitungan Marjin Laba Kotor dan Marjin Laba Bersih:</t>
  </si>
  <si>
    <t>Cost of Services Sold</t>
  </si>
  <si>
    <t>Beban penjualan, umum dan administrasi atau Selling, General and Administrative</t>
  </si>
  <si>
    <t>3. Harga Pokok Penjualan Layanan = Cost of Services Sold (COSS).</t>
  </si>
  <si>
    <t>Laba Kotor</t>
  </si>
  <si>
    <t>Beban Pajak Penghasilan Badan</t>
  </si>
  <si>
    <t>Selling, General &amp; Administrative Expenses</t>
  </si>
  <si>
    <t>Beban Penjualan, Umum &amp; Administrasi</t>
  </si>
  <si>
    <t>Operating Income</t>
  </si>
  <si>
    <t>Earnings Before Tax</t>
  </si>
  <si>
    <t>Revenue</t>
  </si>
  <si>
    <t>Supply</t>
  </si>
  <si>
    <t>Akumulasi</t>
  </si>
  <si>
    <t>Delivery</t>
  </si>
  <si>
    <t>Sisa di Cool Room</t>
  </si>
  <si>
    <t>Simulasi Supply, Processing dan Delivery</t>
  </si>
  <si>
    <t>Date</t>
  </si>
  <si>
    <t>Basis Case, tons</t>
  </si>
  <si>
    <t>Maximum Case, tons</t>
  </si>
  <si>
    <t>Minimum Case, tons</t>
  </si>
  <si>
    <t>Moderate Case, tons</t>
  </si>
  <si>
    <t>Storing Q'ty</t>
  </si>
  <si>
    <t>Delivery Freq.</t>
  </si>
  <si>
    <t>Modified internal rate of return, MIRR</t>
  </si>
  <si>
    <t>Tahun (End of Year)</t>
  </si>
  <si>
    <t>a. PVCF = Cash for investment</t>
  </si>
  <si>
    <t>b. FVCF = Cash to be distributed</t>
  </si>
  <si>
    <t>SG &amp; A</t>
  </si>
  <si>
    <t>a. Gross profit margin (GPM)</t>
  </si>
  <si>
    <t>b. Net profit margin (NPM)</t>
  </si>
  <si>
    <t>Charge rate</t>
  </si>
  <si>
    <t>2.</t>
  </si>
  <si>
    <t>Basic</t>
  </si>
  <si>
    <t>Minimum</t>
  </si>
  <si>
    <t>Moderate</t>
  </si>
  <si>
    <t>Maximum</t>
  </si>
  <si>
    <t>Working capital</t>
  </si>
  <si>
    <t>Rp, juta</t>
  </si>
  <si>
    <t>ton/bulan</t>
  </si>
  <si>
    <t xml:space="preserve">            Cost of Services Sold</t>
  </si>
  <si>
    <t xml:space="preserve">            Beban Penjualan, Umum &amp; ADM</t>
  </si>
  <si>
    <t>Salary/wages</t>
  </si>
  <si>
    <t>Interest expenses</t>
  </si>
  <si>
    <t>Income tax</t>
  </si>
  <si>
    <t>Kapasitas pemrosesan</t>
  </si>
  <si>
    <t>Tahun 1</t>
  </si>
  <si>
    <t>See "WorkingCapital sheets"</t>
  </si>
  <si>
    <t>Tahun operasi</t>
  </si>
  <si>
    <t>Operating Years</t>
  </si>
  <si>
    <t>Tahun Operasi</t>
  </si>
  <si>
    <t>&gt; 10</t>
  </si>
  <si>
    <t>Tngkat diskonto (discount rate)</t>
  </si>
  <si>
    <t>Beban Overhead</t>
  </si>
  <si>
    <t>See "OVHExpenses sheet".</t>
  </si>
  <si>
    <t>Biaya Penjualan, Umum &amp; Administrasi</t>
  </si>
  <si>
    <t>See "SG&amp;A sheet".</t>
  </si>
  <si>
    <t>Variable Cost</t>
  </si>
  <si>
    <t>Pendapatan Penjualan Total, Rp</t>
  </si>
  <si>
    <t>Overhead Expenses</t>
  </si>
  <si>
    <t>Harga Pokok Penjualan</t>
  </si>
  <si>
    <t>Overhead Cost</t>
  </si>
  <si>
    <t>Komisaris</t>
  </si>
  <si>
    <t>Security Kantor</t>
  </si>
  <si>
    <t>OB</t>
  </si>
  <si>
    <t>Staff Keuangan</t>
  </si>
  <si>
    <t>Staff Operasional</t>
  </si>
  <si>
    <t>Sewa Kantor</t>
  </si>
  <si>
    <t>Perlengkapan Kantor</t>
  </si>
  <si>
    <t>-Sewa Kantor</t>
  </si>
  <si>
    <t>-Perlengkapan Kantor</t>
  </si>
  <si>
    <t>-Mobilisasi Direksi</t>
  </si>
  <si>
    <t>Mobilisasi Direksi</t>
  </si>
  <si>
    <t>-Gaji/upah</t>
  </si>
  <si>
    <t>Depresiasi</t>
  </si>
  <si>
    <t>Porsi pinjaman</t>
  </si>
  <si>
    <t>tahun (during initial production stage)</t>
  </si>
  <si>
    <t>% per tahun (WACC method) ----&gt; See formula</t>
  </si>
  <si>
    <t xml:space="preserve">% per tahun </t>
  </si>
  <si>
    <t xml:space="preserve">Perhitungan </t>
  </si>
  <si>
    <t>Country Default Spreads and Risk Premiums</t>
  </si>
  <si>
    <t>Last update:</t>
  </si>
  <si>
    <t>July 2023</t>
  </si>
  <si>
    <t>Country</t>
  </si>
  <si>
    <t>Moody's rating</t>
  </si>
  <si>
    <t>Default Spread</t>
  </si>
  <si>
    <t>Country Risk Premium</t>
  </si>
  <si>
    <t>Equity Risk Premium</t>
  </si>
  <si>
    <t>Corporate Tax Rate</t>
  </si>
  <si>
    <t>Country risk premium rate calculation:</t>
  </si>
  <si>
    <t>Abu Dhabi</t>
  </si>
  <si>
    <t>Aa2</t>
  </si>
  <si>
    <t>Albania</t>
  </si>
  <si>
    <t>B1</t>
  </si>
  <si>
    <t xml:space="preserve">   Rate = (default spread x average volatility multiplier) + risk premium for a mature market.</t>
  </si>
  <si>
    <t>Algeria</t>
  </si>
  <si>
    <t>NR</t>
  </si>
  <si>
    <t>Andorra (Principality of)</t>
  </si>
  <si>
    <t>Baa2</t>
  </si>
  <si>
    <t>Example:</t>
  </si>
  <si>
    <t>Angola</t>
  </si>
  <si>
    <t>B3</t>
  </si>
  <si>
    <t>For Angola:</t>
  </si>
  <si>
    <t>Argentina</t>
  </si>
  <si>
    <t>Ca</t>
  </si>
  <si>
    <t>- default spread =</t>
  </si>
  <si>
    <t>Armenia</t>
  </si>
  <si>
    <t>Ba3</t>
  </si>
  <si>
    <t>- average volatility multiplier =</t>
  </si>
  <si>
    <t>Aruba</t>
  </si>
  <si>
    <t>- risk premium for a mature market =</t>
  </si>
  <si>
    <t>Australia</t>
  </si>
  <si>
    <t>Aaa</t>
  </si>
  <si>
    <t>Hence, Angola risk premium rate =</t>
  </si>
  <si>
    <t>Austria</t>
  </si>
  <si>
    <t>Aa1</t>
  </si>
  <si>
    <t>Azerbaijan</t>
  </si>
  <si>
    <t>Ba1</t>
  </si>
  <si>
    <t>Bahamas</t>
  </si>
  <si>
    <t>Bahrain</t>
  </si>
  <si>
    <t>B2</t>
  </si>
  <si>
    <t>Bangladesh</t>
  </si>
  <si>
    <t>Barbados</t>
  </si>
  <si>
    <t>Caa1</t>
  </si>
  <si>
    <t>Belarus</t>
  </si>
  <si>
    <t>Belgium</t>
  </si>
  <si>
    <t>Aa3</t>
  </si>
  <si>
    <t>Belize</t>
  </si>
  <si>
    <t>Caa2</t>
  </si>
  <si>
    <t>Benin</t>
  </si>
  <si>
    <t>Bermuda</t>
  </si>
  <si>
    <t>A2</t>
  </si>
  <si>
    <t>Bolivia</t>
  </si>
  <si>
    <t>Bosnia and Herzegovina</t>
  </si>
  <si>
    <t>Indonesia data (July 2023):</t>
  </si>
  <si>
    <t>Botswana</t>
  </si>
  <si>
    <t>A3</t>
  </si>
  <si>
    <t>Brazil</t>
  </si>
  <si>
    <t>Ba2</t>
  </si>
  <si>
    <t>Brunei</t>
  </si>
  <si>
    <t>Bulgaria</t>
  </si>
  <si>
    <t>Baa1</t>
  </si>
  <si>
    <t>Burkina Faso</t>
  </si>
  <si>
    <t>Cambodia</t>
  </si>
  <si>
    <t>Cameroon</t>
  </si>
  <si>
    <t>Canada</t>
  </si>
  <si>
    <t>Cape Verde</t>
  </si>
  <si>
    <t>Cayman Islands</t>
  </si>
  <si>
    <t>Chile</t>
  </si>
  <si>
    <t>China</t>
  </si>
  <si>
    <t>A1</t>
  </si>
  <si>
    <t>Colombia</t>
  </si>
  <si>
    <t>Congo (Democratic Republic of)</t>
  </si>
  <si>
    <t>Congo (Republic of)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</si>
  <si>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</si>
  <si>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</si>
  <si>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</si>
  <si>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</si>
  <si>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</si>
  <si>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</si>
  <si>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</si>
  <si>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</si>
  <si>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</si>
  <si>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</si>
  <si>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</si>
  <si>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Caa3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</si>
  <si>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</si>
  <si>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</si>
  <si>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</si>
  <si>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</si>
  <si>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</si>
  <si>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</si>
  <si>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</si>
  <si>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</si>
  <si>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</si>
  <si>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</si>
  <si>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</si>
  <si>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</si>
  <si>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</si>
  <si>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</si>
  <si>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Guernsey (States of)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</si>
  <si>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</si>
  <si>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</si>
  <si>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</si>
  <si>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</si>
  <si>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</si>
  <si>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</si>
  <si>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</si>
  <si>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</si>
  <si>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</si>
  <si>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Baa3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</si>
  <si>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</si>
  <si>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</si>
  <si>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</si>
  <si>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</si>
  <si>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</si>
  <si>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</si>
  <si>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</si>
  <si>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</si>
  <si>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</si>
  <si>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</si>
  <si>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</si>
  <si>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</si>
  <si>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</si>
  <si>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</si>
  <si>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Korea, D.P.R.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</si>
  <si>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</si>
  <si>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</si>
  <si>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</si>
  <si>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</si>
  <si>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</si>
  <si>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</si>
  <si>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</si>
  <si>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</si>
  <si>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</si>
  <si>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</si>
  <si>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</si>
  <si>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</si>
  <si>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</si>
  <si>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</si>
  <si>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</si>
  <si>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</si>
  <si>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</si>
  <si>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</si>
  <si>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</si>
  <si>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</si>
  <si>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</si>
  <si>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</si>
  <si>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</si>
  <si>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</si>
  <si>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</si>
  <si>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</si>
  <si>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</si>
  <si>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</si>
  <si>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</si>
  <si>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</si>
  <si>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</si>
  <si>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</si>
  <si>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</si>
  <si>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</si>
  <si>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</si>
  <si>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</si>
  <si>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</si>
  <si>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</si>
  <si>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</si>
  <si>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</si>
  <si>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</si>
  <si>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</si>
  <si>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</si>
  <si>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</si>
  <si>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</si>
  <si>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</si>
  <si>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Russia</t>
  </si>
  <si>
    <t>Rwanda</t>
  </si>
  <si>
    <t>Saudi Arabia</t>
  </si>
  <si>
    <t>Senegal</t>
  </si>
  <si>
    <t>Serbia</t>
  </si>
  <si>
    <t>Sharjah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</si>
  <si>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</si>
  <si>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</si>
  <si>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</si>
  <si>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</si>
  <si>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</si>
  <si>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</si>
  <si>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</si>
  <si>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</si>
  <si>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</si>
  <si>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Maarten</t>
  </si>
  <si>
    <t>St. Vincent &amp;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</si>
  <si>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</si>
  <si>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</si>
  <si>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</si>
  <si>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</si>
  <si>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</si>
  <si>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</si>
  <si>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</si>
  <si>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</si>
  <si>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</si>
  <si>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</si>
  <si>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</si>
  <si>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</si>
  <si>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</si>
  <si>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</si>
  <si>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</si>
  <si>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</si>
  <si>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</si>
  <si>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</si>
  <si>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</si>
  <si>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</si>
  <si>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</si>
  <si>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</si>
  <si>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</si>
  <si>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</si>
  <si>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Yemen, Republic</t>
  </si>
  <si>
    <t>Zambia</t>
  </si>
  <si>
    <t>Zimbabwe</t>
  </si>
  <si>
    <t>Last updated: July 2023</t>
  </si>
  <si>
    <t>Nilai tukar rupiah</t>
  </si>
  <si>
    <t>Rp/USD</t>
  </si>
  <si>
    <t>Office rent</t>
  </si>
  <si>
    <t>Directors mobilization</t>
  </si>
  <si>
    <t>Jumlah trip</t>
  </si>
  <si>
    <t>Perhitungan</t>
  </si>
  <si>
    <t>Rp/liter</t>
  </si>
  <si>
    <t>Harga satuan</t>
  </si>
  <si>
    <t>Beban/biaya</t>
  </si>
  <si>
    <t>Tahun Operasional</t>
  </si>
  <si>
    <t>Hasil Perhitungan</t>
  </si>
  <si>
    <t>Unit konsumsi (kebutuhan) dan harga (biaya)</t>
  </si>
  <si>
    <t>------&gt; see "Assumption sheet)</t>
  </si>
  <si>
    <t>See depreciation sheet</t>
  </si>
  <si>
    <t>Komponen biaya overhead terdiri atas:</t>
  </si>
  <si>
    <t>Cost escalation:</t>
  </si>
  <si>
    <t>See salary sheet</t>
  </si>
  <si>
    <t>D</t>
  </si>
  <si>
    <t>E=A-B-C+D</t>
  </si>
  <si>
    <t>F</t>
  </si>
  <si>
    <t>G=E+F</t>
  </si>
  <si>
    <t>H=fd*G</t>
  </si>
  <si>
    <t>I=fd*G</t>
  </si>
  <si>
    <t>Ʃ(I)</t>
  </si>
  <si>
    <t>J=cr*E</t>
  </si>
  <si>
    <t>Perubahan Nilai Perusahaan</t>
  </si>
  <si>
    <t>Persen perubahan, %</t>
  </si>
  <si>
    <t>---&gt; See Dividen Sheet</t>
  </si>
  <si>
    <t>Penarikan modal, % dari modal disetor</t>
  </si>
  <si>
    <t>Proyeksi Dividen (Bagi hasil)</t>
  </si>
  <si>
    <t xml:space="preserve">Perhitungan Dividen </t>
  </si>
  <si>
    <t>Bagi Hasil</t>
  </si>
  <si>
    <t>Laba bersih</t>
  </si>
  <si>
    <t>Saldo akhir sebelum dividen</t>
  </si>
  <si>
    <t>Bagian laba bersih dibagi</t>
  </si>
  <si>
    <t>Besaran dividen</t>
  </si>
  <si>
    <t>Akumulasi besaran dividen</t>
  </si>
  <si>
    <t>Saldo akhir setelah dividen</t>
  </si>
  <si>
    <t>Konfirmasi besaran dividen</t>
  </si>
  <si>
    <t>a</t>
  </si>
  <si>
    <t>b</t>
  </si>
  <si>
    <t>c</t>
  </si>
  <si>
    <t>d</t>
  </si>
  <si>
    <r>
      <t xml:space="preserve">f = </t>
    </r>
    <r>
      <rPr>
        <sz val="8"/>
        <color theme="1"/>
        <rFont val="Calibri"/>
        <family val="2"/>
      </rPr>
      <t>Σe</t>
    </r>
  </si>
  <si>
    <t>h = g-a(n+1)</t>
  </si>
  <si>
    <t>Dividen atau bagi hasil didasarkan atas laba bersih.</t>
  </si>
  <si>
    <t>Sisa laba bersih yang tidak dibagikan (laba ditahan) mampu</t>
  </si>
  <si>
    <t>membiayai operasional perusahaan bulan pertama tahun</t>
  </si>
  <si>
    <t>berikutnya.</t>
  </si>
  <si>
    <t>1). a(n+1):</t>
  </si>
  <si>
    <t>beban operasi bulan pertama tahun berikutnya.</t>
  </si>
  <si>
    <t>2). bila "h" positif berarti besaran dividen dapat diterima.</t>
  </si>
  <si>
    <t>3). Bila laba bersih dibagi semua maka berdampak negatif terhadap nilai perusahaan (ekuitas konstan).</t>
  </si>
  <si>
    <t>Beban operasi bulan pertama (incl. depr.)</t>
  </si>
  <si>
    <t>Beban operasi bulan pertama (excl. depr.)</t>
  </si>
  <si>
    <t>e = b*d</t>
  </si>
  <si>
    <t>Nilai Perusahaan (Rp, ribu)</t>
  </si>
  <si>
    <t>Manager Operasional &amp; Komersil</t>
  </si>
  <si>
    <t>ABF</t>
  </si>
  <si>
    <t>Persiapan</t>
  </si>
  <si>
    <t>Perjalanan dari Fishing Port ke Fishing Ground</t>
  </si>
  <si>
    <t>Mencari Ikan</t>
  </si>
  <si>
    <t>persiapan n p[erjalanan</t>
  </si>
  <si>
    <t>cari ikan</t>
  </si>
  <si>
    <t>plg n bongkar</t>
  </si>
  <si>
    <t>Perjalanan Pulang ke Fishing Port</t>
  </si>
  <si>
    <t>Bongkar</t>
  </si>
  <si>
    <t>Libur 2 minggu</t>
  </si>
  <si>
    <t>PEMA</t>
  </si>
  <si>
    <t>Mitra</t>
  </si>
  <si>
    <t>a. PEMA</t>
  </si>
  <si>
    <t>% dari laba dibagi</t>
  </si>
  <si>
    <t>Porsi bagi hasil:</t>
  </si>
  <si>
    <t>Periode Pengiriman</t>
  </si>
  <si>
    <t>trip/bulan</t>
  </si>
  <si>
    <t>Volume Pengiriman</t>
  </si>
  <si>
    <t>Kg/bulan</t>
  </si>
  <si>
    <t>Kg/trip</t>
  </si>
  <si>
    <t>Harga Jasa</t>
  </si>
  <si>
    <r>
      <t>% years since commercial start</t>
    </r>
    <r>
      <rPr>
        <vertAlign val="superscript"/>
        <sz val="8"/>
        <color theme="1"/>
        <rFont val="Calibri"/>
        <family val="2"/>
        <scheme val="minor"/>
      </rPr>
      <t xml:space="preserve"> (3)</t>
    </r>
  </si>
  <si>
    <t>Rp/5L</t>
  </si>
  <si>
    <t>Palet</t>
  </si>
  <si>
    <t>Rp/pc</t>
  </si>
  <si>
    <t>Gaji</t>
  </si>
  <si>
    <t>Rp/L</t>
  </si>
  <si>
    <t>Km</t>
  </si>
  <si>
    <t xml:space="preserve"> 1:2</t>
  </si>
  <si>
    <t>L/KM</t>
  </si>
  <si>
    <t>•Biaya Toll B.Aceh - Jakarta</t>
  </si>
  <si>
    <t>Muara Baru - Merak</t>
  </si>
  <si>
    <t>one way/Tol</t>
  </si>
  <si>
    <t>Bakaheuni - Palembang</t>
  </si>
  <si>
    <t>Blang Bintang -Seulimum</t>
  </si>
  <si>
    <t>Pekan Baru - Dumai</t>
  </si>
  <si>
    <t>Stabat-Tebing Tinggi</t>
  </si>
  <si>
    <t>Tebing Tinggi - Tj Morawa</t>
  </si>
  <si>
    <t>Dumai-Pekanbaru</t>
  </si>
  <si>
    <t xml:space="preserve"> </t>
  </si>
  <si>
    <t>Helvetia - Stabat</t>
  </si>
  <si>
    <t>Palembang-Bakaheuni</t>
  </si>
  <si>
    <t>Seulimum - Blang Bintang</t>
  </si>
  <si>
    <t>Merak-Muara Baru</t>
  </si>
  <si>
    <t>Total Biaya Tol</t>
  </si>
  <si>
    <t>one way</t>
  </si>
  <si>
    <t>Jarak</t>
  </si>
  <si>
    <t>Km/trip</t>
  </si>
  <si>
    <t>Biaya Tol</t>
  </si>
  <si>
    <t>•Biaya Toll JKT - MDN -BTJ</t>
  </si>
  <si>
    <t>Gaji Driver</t>
  </si>
  <si>
    <t>Waktu Perjalanan</t>
  </si>
  <si>
    <t>Solar BTJ -JKT</t>
  </si>
  <si>
    <t>Solar JKT -MDN - BTJ</t>
  </si>
  <si>
    <t>hari/trip BTJ - JKT</t>
  </si>
  <si>
    <t>hari/trip JKT - MDN - BTJ</t>
  </si>
  <si>
    <t>Jarak BTJ - JKT</t>
  </si>
  <si>
    <t>Rata rata Konsumsi BBM</t>
  </si>
  <si>
    <t>Kebutuhan BBM</t>
  </si>
  <si>
    <t>Harga Satuan</t>
  </si>
  <si>
    <t>Jarak  JKT - MDN - BTJ</t>
  </si>
  <si>
    <t>Harga BBM</t>
  </si>
  <si>
    <t>Penyebrangan</t>
  </si>
  <si>
    <t>Jumlah Penyebrangan</t>
  </si>
  <si>
    <t>Jumlah Perjalanan</t>
  </si>
  <si>
    <t>Harga total Tol</t>
  </si>
  <si>
    <t>liter/trip</t>
  </si>
  <si>
    <t xml:space="preserve">Biaya Tol </t>
  </si>
  <si>
    <t>Jumlah Truk</t>
  </si>
  <si>
    <t>Unit</t>
  </si>
  <si>
    <t>Servis Berkala</t>
  </si>
  <si>
    <t>Biaya Pelumas</t>
  </si>
  <si>
    <t>Biaya Ban</t>
  </si>
  <si>
    <t>Biaya Kampas Rem</t>
  </si>
  <si>
    <t>Biaya Freon</t>
  </si>
  <si>
    <t>Biaya KIR</t>
  </si>
  <si>
    <t>-Servis Berkala</t>
  </si>
  <si>
    <t>-Biaya Pelumas</t>
  </si>
  <si>
    <t>-Biaya Ban</t>
  </si>
  <si>
    <t>-Biaya Kampas Rem</t>
  </si>
  <si>
    <t>-Biaya Freon</t>
  </si>
  <si>
    <t>-Biaya KIR</t>
  </si>
  <si>
    <t>-Asuransi Truk</t>
  </si>
  <si>
    <t>Asuransi Truk</t>
  </si>
  <si>
    <t>Pajak Truk</t>
  </si>
  <si>
    <t xml:space="preserve">Harga Jasa </t>
  </si>
  <si>
    <t>-Harga Jasa</t>
  </si>
  <si>
    <t>OVH Expenses</t>
  </si>
  <si>
    <t>Solar BTJ - JKT</t>
  </si>
  <si>
    <t>Solar JKT - MDN - BTJ</t>
  </si>
  <si>
    <t>Manager Administrasi dan Keuangan</t>
  </si>
  <si>
    <t>Fixed capital (Buy Unit)</t>
  </si>
  <si>
    <t>Bisnis Truk Thermoking</t>
  </si>
  <si>
    <t>Valuasi Investasi</t>
  </si>
  <si>
    <t>Volume Pengiriman barang</t>
  </si>
  <si>
    <t>-PEMA</t>
  </si>
  <si>
    <t>-Mitra</t>
  </si>
  <si>
    <t>Rp/month</t>
  </si>
  <si>
    <t>Rp/month/truck</t>
  </si>
  <si>
    <t>Rp/month/2 trucks</t>
  </si>
  <si>
    <t>Rp/year/2 trucks</t>
  </si>
  <si>
    <t>L/bulan</t>
  </si>
  <si>
    <t>Biaya Service</t>
  </si>
  <si>
    <t>Armada</t>
  </si>
  <si>
    <t>Kebutuhan</t>
  </si>
  <si>
    <t>unit</t>
  </si>
  <si>
    <t>pcs/truck</t>
  </si>
  <si>
    <t>Biaya per bulan</t>
  </si>
  <si>
    <t>Biaya per tahun</t>
  </si>
  <si>
    <t>Biaya per Bulan</t>
  </si>
  <si>
    <t>Biaya per Tahun</t>
  </si>
  <si>
    <t>-Kampas Rem Depan</t>
  </si>
  <si>
    <t>-Kampas Rem Belakang</t>
  </si>
  <si>
    <t>pcs/month/truck</t>
  </si>
  <si>
    <t>Rp/truck/6 bulan</t>
  </si>
  <si>
    <t>Frequency</t>
  </si>
  <si>
    <t>times/year</t>
  </si>
  <si>
    <t>Rp/truck/year</t>
  </si>
  <si>
    <t>Tariff</t>
  </si>
  <si>
    <t>Assume dari tahun 1</t>
  </si>
  <si>
    <t>Harga Truck</t>
  </si>
  <si>
    <t>Rp/unit</t>
  </si>
  <si>
    <t>%/year</t>
  </si>
  <si>
    <t>pcs</t>
  </si>
  <si>
    <t>-Palet</t>
  </si>
  <si>
    <t xml:space="preserve">Harga Truck </t>
  </si>
  <si>
    <t>Operasional untuk Truk per trip BTJ - JKT: (Variable Cost)</t>
  </si>
  <si>
    <t>Jumlah Sopir</t>
  </si>
  <si>
    <t>Orang/truck</t>
  </si>
  <si>
    <t>•Gaji Driver</t>
  </si>
  <si>
    <t>•BBM</t>
  </si>
  <si>
    <t>Jarak BTJ-JKT</t>
  </si>
  <si>
    <t>Konsumsi BBM</t>
  </si>
  <si>
    <t>Jarak JKT-MDN</t>
  </si>
  <si>
    <t>Jarak MDN-BTJ</t>
  </si>
  <si>
    <t>•Biaya Penyebrangan</t>
  </si>
  <si>
    <t>Toll</t>
  </si>
  <si>
    <t>Rp/trip/truck</t>
  </si>
  <si>
    <t>L/trip/truck</t>
  </si>
  <si>
    <t>L/Trip/truck</t>
  </si>
  <si>
    <t>liter/km</t>
  </si>
  <si>
    <t>Rp/truck/tahun</t>
  </si>
  <si>
    <t>Rp/truck/trip</t>
  </si>
  <si>
    <t>Rp/truck/bulan</t>
  </si>
  <si>
    <t>Jumlah Bulan per Tahun</t>
  </si>
  <si>
    <t>-BTJ-JKT</t>
  </si>
  <si>
    <t>-JKT-MDN-BTJ</t>
  </si>
  <si>
    <t>7).</t>
  </si>
  <si>
    <t>Jumlah Armada</t>
  </si>
  <si>
    <t>Orang/Truck</t>
  </si>
  <si>
    <t>Rp/Truck/Trip</t>
  </si>
  <si>
    <t>Filter Oli</t>
  </si>
  <si>
    <t>Filter Solar</t>
  </si>
  <si>
    <t>Sensitivity Analysis</t>
  </si>
  <si>
    <t>Price &amp; Trip per truck</t>
  </si>
  <si>
    <t>Truk</t>
  </si>
  <si>
    <t>Assumptions</t>
  </si>
  <si>
    <t>Income Statement</t>
  </si>
  <si>
    <t>Price per Trip</t>
  </si>
  <si>
    <t>Units per trip</t>
  </si>
  <si>
    <t>Price per trip</t>
  </si>
  <si>
    <t>COG</t>
  </si>
  <si>
    <t>OVH</t>
  </si>
  <si>
    <t>SG&amp;A</t>
  </si>
  <si>
    <t>Cost per trip</t>
  </si>
  <si>
    <t>Taxes</t>
  </si>
  <si>
    <t>Tax rate</t>
  </si>
  <si>
    <t>Net Income (Loss)</t>
  </si>
  <si>
    <t>Constraints</t>
  </si>
  <si>
    <t>Units sold</t>
  </si>
  <si>
    <t>Price per unit</t>
  </si>
  <si>
    <t>Price &amp; Quantity</t>
  </si>
  <si>
    <t>Quantity (Rp/Kg)</t>
  </si>
  <si>
    <t>Price per Unit</t>
  </si>
  <si>
    <t>Scenario Analysis</t>
  </si>
  <si>
    <t>$ in actual figures</t>
  </si>
  <si>
    <t>Revenues</t>
  </si>
  <si>
    <t>Costs</t>
  </si>
  <si>
    <t>EBT</t>
  </si>
  <si>
    <t>TAX (22%)</t>
  </si>
  <si>
    <t>Choose Scenario</t>
  </si>
  <si>
    <t>Revenue Scenarios</t>
  </si>
  <si>
    <t>1. Best Case</t>
  </si>
  <si>
    <t>2. Base Case</t>
  </si>
  <si>
    <t>3. Worst Case</t>
  </si>
  <si>
    <t>Cost Scenarios</t>
  </si>
  <si>
    <t>Bunga Pinjaman</t>
  </si>
  <si>
    <t>Harga/ Kg</t>
  </si>
  <si>
    <t>'Bunga pinjaman masa pra-operasional(IDC)</t>
  </si>
  <si>
    <t>g = c-e</t>
  </si>
  <si>
    <t>-inflasi</t>
  </si>
  <si>
    <t xml:space="preserve">     Pembayaran Dividen oleh Perusahaan</t>
  </si>
  <si>
    <t>saldo kas akhir tahun sebelum dividen</t>
  </si>
  <si>
    <t>1 truk</t>
  </si>
  <si>
    <t>2 truk</t>
  </si>
  <si>
    <t>12 truk</t>
  </si>
  <si>
    <t xml:space="preserve">persentase </t>
  </si>
  <si>
    <t>Asuransi masa leasing</t>
  </si>
  <si>
    <t>Rp/10L</t>
  </si>
  <si>
    <t>General Manajer</t>
  </si>
  <si>
    <t>Mobilisasi GM</t>
  </si>
  <si>
    <t>Mobilisasi DGM</t>
  </si>
  <si>
    <t>(SG&amp;A) yang tidak terkait langsung dengan operasional truk. Beban ini terdiri dari:</t>
  </si>
  <si>
    <t>1). Pos pengeluaran beban terkait operasional truk</t>
  </si>
  <si>
    <t xml:space="preserve">b. MITRA </t>
  </si>
  <si>
    <t>Adm Leasing</t>
  </si>
  <si>
    <t>e.</t>
  </si>
  <si>
    <t>Sub Total</t>
  </si>
  <si>
    <t>Biaya per 5 Tahun</t>
  </si>
  <si>
    <t>Corporate Income Tax</t>
  </si>
  <si>
    <t>Interest Payment</t>
  </si>
  <si>
    <t>Loan Payment</t>
  </si>
  <si>
    <t>Saldo pinjaman awal bulan</t>
  </si>
  <si>
    <t>Saldo pinjaman akhir bulan</t>
  </si>
  <si>
    <t>Akumulasi Tahunan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</si>
</sst>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0.0"/>
    <numFmt numFmtId="169" formatCode="_-* #,##0.0_-;\-* #,##0.0_-;_-* &quot;-&quot;??_-;_-@_-"/>
    <numFmt numFmtId="170" formatCode="_(* #,##0.0_);_(* \(#,##0.0\);_(* &quot;-&quot;??_);_(@_)"/>
    <numFmt numFmtId="171" formatCode="_(* #,##0_);_(* \(#,##0\);_(* &quot;-&quot;?_);_(@_)"/>
    <numFmt numFmtId="172" formatCode="#,##0_ ;[Red]\-#,##0\ "/>
    <numFmt numFmtId="173" formatCode="#,##0.0;[Red]\-#,##0.0"/>
    <numFmt numFmtId="174" formatCode="#,##0.0000;[Red]\-#,##0.0000"/>
    <numFmt numFmtId="175" formatCode="#,##0.000_ ;[Red]\-#,##0.000\ "/>
    <numFmt numFmtId="176" formatCode="#,##0.000"/>
    <numFmt numFmtId="177" formatCode="#,##0.0_ ;[Red]\-#,##0.0\ "/>
    <numFmt numFmtId="178" formatCode="_-* #,##0.0_-;\-* #,##0.0_-;_-* &quot;-&quot;?_-;_-@_-"/>
    <numFmt numFmtId="179" formatCode="_-* #,##0_-;\-* #,##0_-;_-* \-??_-;_-@_-"/>
    <numFmt numFmtId="180" formatCode="_(* #,##0_);_(* \(#,##0\);_(* &quot;-&quot;_);_(@_)"/>
    <numFmt numFmtId="181" formatCode="d\-mmm\-yyyy;@"/>
    <numFmt numFmtId="182" formatCode="_(&quot;Rp&quot;* #,##0_);_(&quot;Rp&quot;* \(#,##0\);_(&quot;Rp&quot;* &quot;-&quot;_);_(@_)"/>
    <numFmt numFmtId="183" formatCode="#,##0_ ;\-#,##0\ "/>
    <numFmt numFmtId="184" formatCode="#,##0.0"/>
    <numFmt numFmtId="185" formatCode="_(* #,##0.000_);_(* \(#,##0.000\);_(* &quot;-&quot;??_);_(@_)"/>
    <numFmt numFmtId="186" formatCode="#,##0.00_ ;[Red]\-#,##0.00\ "/>
    <numFmt numFmtId="187" formatCode="0.000"/>
    <numFmt numFmtId="188" formatCode="_-* #,##0.00_-;\-* #,##0.00_-;_-* &quot;-&quot;?_-;_-@_-"/>
    <numFmt numFmtId="189" formatCode="_-* #,##0\ _€_-;\-* #,##0\ _€_-;_-* &quot;-&quot;?\ _€_-;_-@_-"/>
    <numFmt numFmtId="190" formatCode="mm"/>
    <numFmt numFmtId="191" formatCode="yyyy\E"/>
    <numFmt numFmtId="192" formatCode="_-* #,##0_-;\-* #,##0_-;_-* &quot;-&quot;?_-;_-@_-"/>
    <numFmt numFmtId="193" formatCode="_-* #,##0.00000_-;\-* #,##0.00000_-;_-* &quot;-&quot;?_-;_-@_-"/>
  </numFmts>
  <fonts count="5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Segoe UI"/>
      <family val="2"/>
    </font>
    <font>
      <sz val="8"/>
      <color rgb="FF0000FF"/>
      <name val="Segoe UI"/>
      <family val="2"/>
    </font>
    <font>
      <b/>
      <sz val="10"/>
      <color theme="1"/>
      <name val="Segoe UI"/>
      <family val="2"/>
    </font>
    <font>
      <b/>
      <sz val="8"/>
      <color theme="0"/>
      <name val="Segoe UI"/>
      <family val="2"/>
    </font>
    <font>
      <sz val="8"/>
      <color theme="0"/>
      <name val="Segoe UI"/>
      <family val="2"/>
    </font>
    <font>
      <sz val="8"/>
      <color rgb="FFFF0000"/>
      <name val="Segoe UI"/>
      <family val="2"/>
    </font>
    <font>
      <i/>
      <sz val="8"/>
      <color theme="1"/>
      <name val="Segoe UI"/>
      <family val="2"/>
    </font>
    <font>
      <sz val="8"/>
      <color rgb="FFC00000"/>
      <name val="Segoe UI"/>
      <family val="2"/>
    </font>
    <font>
      <b/>
      <sz val="10"/>
      <color theme="0"/>
      <name val="Segoe UI"/>
      <family val="2"/>
    </font>
    <font>
      <u val="singleAccounting"/>
      <sz val="8"/>
      <color theme="1"/>
      <name val="Segoe UI"/>
      <family val="2"/>
    </font>
    <font>
      <b/>
      <sz val="8"/>
      <name val="Segoe UI"/>
      <family val="2"/>
    </font>
    <font>
      <b/>
      <sz val="8"/>
      <color indexed="8"/>
      <name val="Segoe UI"/>
      <family val="2"/>
    </font>
    <font>
      <sz val="8"/>
      <name val="Segoe UI"/>
      <family val="2"/>
    </font>
    <font>
      <sz val="8"/>
      <color indexed="8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8"/>
      <color theme="7"/>
      <name val="Calibri"/>
      <family val="2"/>
      <scheme val="minor"/>
    </font>
    <font>
      <sz val="8"/>
      <color rgb="FFFFC00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i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Amasis MT Pro Medium"/>
      <family val="1"/>
    </font>
    <font>
      <sz val="1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29" fillId="0" borderId="0">
      <alignment vertical="center"/>
    </xf>
    <xf numFmtId="43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09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1" quotePrefix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165" fontId="12" fillId="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4" borderId="0" xfId="1" applyNumberFormat="1" applyFont="1" applyFill="1"/>
    <xf numFmtId="165" fontId="0" fillId="0" borderId="0" xfId="0" applyNumberFormat="1"/>
    <xf numFmtId="165" fontId="11" fillId="0" borderId="0" xfId="1" applyNumberFormat="1" applyFont="1"/>
    <xf numFmtId="41" fontId="0" fillId="0" borderId="0" xfId="0" applyNumberFormat="1"/>
    <xf numFmtId="165" fontId="0" fillId="3" borderId="0" xfId="1" applyNumberFormat="1" applyFont="1" applyFill="1"/>
    <xf numFmtId="165" fontId="0" fillId="3" borderId="0" xfId="0" applyNumberFormat="1" applyFill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right"/>
    </xf>
    <xf numFmtId="165" fontId="0" fillId="0" borderId="2" xfId="1" applyNumberFormat="1" applyFont="1" applyBorder="1"/>
    <xf numFmtId="165" fontId="12" fillId="0" borderId="2" xfId="0" applyNumberFormat="1" applyFont="1" applyBorder="1"/>
    <xf numFmtId="0" fontId="0" fillId="0" borderId="0" xfId="0" quotePrefix="1"/>
    <xf numFmtId="9" fontId="0" fillId="0" borderId="0" xfId="2" applyFont="1"/>
    <xf numFmtId="0" fontId="14" fillId="0" borderId="0" xfId="0" applyFont="1"/>
    <xf numFmtId="0" fontId="16" fillId="0" borderId="0" xfId="0" applyFont="1"/>
    <xf numFmtId="0" fontId="10" fillId="0" borderId="0" xfId="0" applyFont="1"/>
    <xf numFmtId="164" fontId="10" fillId="0" borderId="0" xfId="1" quotePrefix="1" applyFont="1" applyAlignment="1">
      <alignment horizontal="right"/>
    </xf>
    <xf numFmtId="164" fontId="10" fillId="0" borderId="7" xfId="1" quotePrefix="1" applyFont="1" applyBorder="1" applyAlignment="1">
      <alignment horizontal="right"/>
    </xf>
    <xf numFmtId="164" fontId="10" fillId="0" borderId="8" xfId="1" quotePrefix="1" applyFont="1" applyBorder="1" applyAlignment="1">
      <alignment horizontal="right"/>
    </xf>
    <xf numFmtId="164" fontId="14" fillId="0" borderId="0" xfId="1" quotePrefix="1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9" fillId="0" borderId="1" xfId="0" quotePrefix="1" applyFont="1" applyBorder="1" applyAlignment="1">
      <alignment horizontal="right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9" fillId="0" borderId="1" xfId="0" applyFont="1" applyBorder="1"/>
    <xf numFmtId="0" fontId="15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0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right"/>
    </xf>
    <xf numFmtId="0" fontId="19" fillId="0" borderId="0" xfId="0" quotePrefix="1" applyFont="1" applyAlignment="1">
      <alignment horizontal="right"/>
    </xf>
    <xf numFmtId="164" fontId="8" fillId="0" borderId="0" xfId="1" applyFont="1"/>
    <xf numFmtId="0" fontId="8" fillId="0" borderId="1" xfId="0" applyFont="1" applyBorder="1"/>
    <xf numFmtId="0" fontId="22" fillId="0" borderId="0" xfId="0" applyFont="1"/>
    <xf numFmtId="0" fontId="18" fillId="0" borderId="0" xfId="9" applyFont="1"/>
    <xf numFmtId="0" fontId="18" fillId="0" borderId="0" xfId="0" applyFont="1"/>
    <xf numFmtId="164" fontId="18" fillId="0" borderId="0" xfId="1" applyFont="1" applyFill="1" applyBorder="1"/>
    <xf numFmtId="0" fontId="22" fillId="0" borderId="0" xfId="0" applyFont="1" applyAlignment="1">
      <alignment vertical="top"/>
    </xf>
    <xf numFmtId="164" fontId="18" fillId="0" borderId="0" xfId="1" applyFont="1" applyFill="1" applyBorder="1" applyAlignment="1">
      <alignment vertical="center"/>
    </xf>
    <xf numFmtId="0" fontId="18" fillId="0" borderId="0" xfId="0" applyFont="1" applyAlignment="1">
      <alignment vertical="center"/>
    </xf>
    <xf numFmtId="164" fontId="17" fillId="0" borderId="0" xfId="1" applyFont="1" applyFill="1" applyBorder="1" applyAlignment="1">
      <alignment vertical="center"/>
    </xf>
    <xf numFmtId="164" fontId="18" fillId="0" borderId="0" xfId="1" quotePrefix="1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5" fontId="18" fillId="0" borderId="0" xfId="1" applyNumberFormat="1" applyFont="1" applyFill="1" applyBorder="1" applyAlignment="1">
      <alignment vertical="center"/>
    </xf>
    <xf numFmtId="166" fontId="18" fillId="0" borderId="0" xfId="2" applyNumberFormat="1" applyFont="1" applyFill="1" applyBorder="1" applyAlignment="1">
      <alignment horizontal="center" vertical="center"/>
    </xf>
    <xf numFmtId="9" fontId="18" fillId="0" borderId="0" xfId="2" applyFont="1" applyFill="1" applyBorder="1" applyAlignment="1">
      <alignment horizontal="center" vertical="center"/>
    </xf>
    <xf numFmtId="10" fontId="18" fillId="0" borderId="0" xfId="2" applyNumberFormat="1" applyFont="1" applyFill="1" applyBorder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4" fontId="18" fillId="0" borderId="0" xfId="0" quotePrefix="1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65" fontId="7" fillId="0" borderId="0" xfId="0" applyNumberFormat="1" applyFont="1"/>
    <xf numFmtId="0" fontId="7" fillId="0" borderId="0" xfId="0" applyFont="1"/>
    <xf numFmtId="2" fontId="15" fillId="0" borderId="0" xfId="0" applyNumberFormat="1" applyFont="1"/>
    <xf numFmtId="0" fontId="7" fillId="6" borderId="0" xfId="0" applyFont="1" applyFill="1"/>
    <xf numFmtId="2" fontId="14" fillId="0" borderId="0" xfId="0" applyNumberFormat="1" applyFont="1"/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17" fillId="7" borderId="0" xfId="0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165" fontId="7" fillId="6" borderId="0" xfId="0" applyNumberFormat="1" applyFont="1" applyFill="1"/>
    <xf numFmtId="2" fontId="7" fillId="0" borderId="0" xfId="0" applyNumberFormat="1" applyFont="1" applyAlignment="1">
      <alignment vertical="center"/>
    </xf>
    <xf numFmtId="2" fontId="15" fillId="0" borderId="0" xfId="0" applyNumberFormat="1" applyFont="1" applyAlignment="1">
      <alignment vertical="center"/>
    </xf>
    <xf numFmtId="2" fontId="7" fillId="0" borderId="0" xfId="1" applyNumberFormat="1" applyFont="1" applyAlignment="1">
      <alignment vertical="center"/>
    </xf>
    <xf numFmtId="2" fontId="7" fillId="0" borderId="0" xfId="1" quotePrefix="1" applyNumberFormat="1" applyFont="1" applyAlignment="1">
      <alignment vertical="center"/>
    </xf>
    <xf numFmtId="165" fontId="7" fillId="6" borderId="0" xfId="0" applyNumberFormat="1" applyFont="1" applyFill="1" applyAlignment="1">
      <alignment vertical="center"/>
    </xf>
    <xf numFmtId="0" fontId="7" fillId="0" borderId="0" xfId="0" quotePrefix="1" applyFont="1" applyAlignment="1">
      <alignment vertical="center"/>
    </xf>
    <xf numFmtId="0" fontId="7" fillId="6" borderId="0" xfId="0" applyFont="1" applyFill="1" applyAlignment="1">
      <alignment vertical="center"/>
    </xf>
    <xf numFmtId="2" fontId="14" fillId="0" borderId="0" xfId="0" applyNumberFormat="1" applyFont="1" applyAlignment="1">
      <alignment vertical="center"/>
    </xf>
    <xf numFmtId="0" fontId="17" fillId="9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center" vertical="top"/>
    </xf>
    <xf numFmtId="0" fontId="7" fillId="8" borderId="0" xfId="0" applyFont="1" applyFill="1" applyAlignment="1">
      <alignment vertical="top"/>
    </xf>
    <xf numFmtId="165" fontId="23" fillId="0" borderId="0" xfId="0" applyNumberFormat="1" applyFont="1"/>
    <xf numFmtId="165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79" fontId="24" fillId="0" borderId="4" xfId="1" applyNumberFormat="1" applyFont="1" applyFill="1" applyBorder="1" applyAlignment="1" applyProtection="1">
      <alignment horizontal="center" vertical="center" wrapText="1"/>
    </xf>
    <xf numFmtId="1" fontId="6" fillId="0" borderId="4" xfId="0" applyNumberFormat="1" applyFont="1" applyBorder="1" applyAlignment="1">
      <alignment horizontal="center" vertical="center"/>
    </xf>
    <xf numFmtId="181" fontId="26" fillId="0" borderId="4" xfId="10" applyNumberFormat="1" applyFont="1" applyFill="1" applyBorder="1" applyAlignment="1"/>
    <xf numFmtId="179" fontId="27" fillId="0" borderId="4" xfId="1" applyNumberFormat="1" applyFont="1" applyFill="1" applyBorder="1" applyAlignment="1" applyProtection="1"/>
    <xf numFmtId="165" fontId="6" fillId="0" borderId="4" xfId="1" applyNumberFormat="1" applyFont="1" applyFill="1" applyBorder="1" applyAlignment="1" applyProtection="1">
      <alignment horizontal="center"/>
    </xf>
    <xf numFmtId="179" fontId="6" fillId="0" borderId="4" xfId="1" applyNumberFormat="1" applyFont="1" applyFill="1" applyBorder="1" applyAlignment="1" applyProtection="1"/>
    <xf numFmtId="179" fontId="6" fillId="0" borderId="16" xfId="1" applyNumberFormat="1" applyFont="1" applyFill="1" applyBorder="1" applyAlignment="1" applyProtection="1"/>
    <xf numFmtId="41" fontId="26" fillId="0" borderId="16" xfId="10" applyFont="1" applyFill="1" applyBorder="1" applyAlignment="1">
      <alignment horizontal="center" wrapText="1"/>
    </xf>
    <xf numFmtId="180" fontId="6" fillId="0" borderId="0" xfId="0" applyNumberFormat="1" applyFont="1" applyAlignment="1">
      <alignment vertical="center"/>
    </xf>
    <xf numFmtId="1" fontId="6" fillId="0" borderId="4" xfId="1" applyNumberFormat="1" applyFont="1" applyFill="1" applyBorder="1" applyAlignment="1" applyProtection="1">
      <alignment horizontal="center"/>
    </xf>
    <xf numFmtId="181" fontId="26" fillId="0" borderId="4" xfId="10" applyNumberFormat="1" applyFont="1" applyFill="1" applyBorder="1" applyAlignment="1">
      <alignment horizontal="center" vertical="center"/>
    </xf>
    <xf numFmtId="181" fontId="26" fillId="0" borderId="4" xfId="10" applyNumberFormat="1" applyFont="1" applyFill="1" applyBorder="1" applyAlignment="1">
      <alignment vertical="center"/>
    </xf>
    <xf numFmtId="165" fontId="6" fillId="0" borderId="4" xfId="1" applyNumberFormat="1" applyFont="1" applyFill="1" applyBorder="1" applyAlignment="1" applyProtection="1"/>
    <xf numFmtId="179" fontId="27" fillId="0" borderId="4" xfId="1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 wrapText="1"/>
    </xf>
    <xf numFmtId="179" fontId="25" fillId="8" borderId="4" xfId="1" applyNumberFormat="1" applyFont="1" applyFill="1" applyBorder="1" applyAlignment="1" applyProtection="1"/>
    <xf numFmtId="179" fontId="25" fillId="8" borderId="4" xfId="1" applyNumberFormat="1" applyFont="1" applyFill="1" applyBorder="1" applyAlignment="1" applyProtection="1">
      <alignment horizontal="center"/>
    </xf>
    <xf numFmtId="179" fontId="25" fillId="8" borderId="4" xfId="1" applyNumberFormat="1" applyFont="1" applyFill="1" applyBorder="1" applyAlignment="1" applyProtection="1">
      <alignment vertical="center" wrapText="1"/>
    </xf>
    <xf numFmtId="166" fontId="25" fillId="8" borderId="4" xfId="2" applyNumberFormat="1" applyFont="1" applyFill="1" applyBorder="1" applyAlignment="1" applyProtection="1"/>
    <xf numFmtId="9" fontId="24" fillId="8" borderId="4" xfId="2" applyFont="1" applyFill="1" applyBorder="1" applyAlignment="1">
      <alignment horizontal="center" vertical="center" wrapText="1"/>
    </xf>
    <xf numFmtId="166" fontId="24" fillId="8" borderId="4" xfId="10" applyNumberFormat="1" applyFont="1" applyFill="1" applyBorder="1" applyAlignment="1">
      <alignment horizontal="center" vertical="center" wrapText="1"/>
    </xf>
    <xf numFmtId="3" fontId="6" fillId="8" borderId="2" xfId="0" applyNumberFormat="1" applyFont="1" applyFill="1" applyBorder="1" applyAlignment="1">
      <alignment horizontal="center" vertical="center"/>
    </xf>
    <xf numFmtId="179" fontId="27" fillId="8" borderId="4" xfId="1" applyNumberFormat="1" applyFont="1" applyFill="1" applyBorder="1" applyAlignment="1" applyProtection="1"/>
    <xf numFmtId="165" fontId="25" fillId="8" borderId="4" xfId="1" applyNumberFormat="1" applyFont="1" applyFill="1" applyBorder="1" applyAlignment="1" applyProtection="1">
      <alignment vertical="center"/>
    </xf>
    <xf numFmtId="182" fontId="25" fillId="8" borderId="4" xfId="1" applyNumberFormat="1" applyFont="1" applyFill="1" applyBorder="1" applyAlignment="1" applyProtection="1">
      <alignment vertical="center"/>
    </xf>
    <xf numFmtId="3" fontId="6" fillId="8" borderId="2" xfId="10" applyNumberFormat="1" applyFont="1" applyFill="1" applyBorder="1" applyAlignment="1">
      <alignment horizontal="center" vertical="center"/>
    </xf>
    <xf numFmtId="179" fontId="27" fillId="3" borderId="4" xfId="1" applyNumberFormat="1" applyFont="1" applyFill="1" applyBorder="1" applyAlignment="1" applyProtection="1"/>
    <xf numFmtId="4" fontId="6" fillId="0" borderId="0" xfId="0" applyNumberFormat="1" applyFont="1" applyAlignment="1">
      <alignment horizontal="center" vertical="center"/>
    </xf>
    <xf numFmtId="4" fontId="6" fillId="8" borderId="2" xfId="1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4" fillId="8" borderId="0" xfId="0" applyFont="1" applyFill="1" applyAlignment="1">
      <alignment horizontal="right" vertical="top" wrapText="1"/>
    </xf>
    <xf numFmtId="1" fontId="6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7" fontId="6" fillId="0" borderId="0" xfId="0" applyNumberFormat="1" applyFont="1" applyAlignment="1">
      <alignment vertical="center"/>
    </xf>
    <xf numFmtId="1" fontId="6" fillId="0" borderId="0" xfId="0" applyNumberFormat="1" applyFont="1" applyAlignment="1">
      <alignment horizontal="center" vertical="center"/>
    </xf>
    <xf numFmtId="181" fontId="26" fillId="0" borderId="0" xfId="10" applyNumberFormat="1" applyFont="1" applyFill="1" applyBorder="1" applyAlignment="1"/>
    <xf numFmtId="1" fontId="6" fillId="0" borderId="0" xfId="1" applyNumberFormat="1" applyFont="1" applyFill="1" applyBorder="1" applyAlignment="1" applyProtection="1">
      <alignment horizontal="center"/>
    </xf>
    <xf numFmtId="0" fontId="4" fillId="0" borderId="0" xfId="0" quotePrefix="1" applyFont="1" applyAlignment="1">
      <alignment vertical="center"/>
    </xf>
    <xf numFmtId="179" fontId="27" fillId="0" borderId="0" xfId="1" quotePrefix="1" applyNumberFormat="1" applyFont="1" applyFill="1" applyBorder="1" applyAlignment="1" applyProtection="1"/>
    <xf numFmtId="179" fontId="27" fillId="3" borderId="0" xfId="1" quotePrefix="1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79" fontId="4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3" fillId="0" borderId="0" xfId="0" applyFont="1"/>
    <xf numFmtId="3" fontId="15" fillId="0" borderId="18" xfId="10" applyNumberFormat="1" applyFont="1" applyBorder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6" fillId="0" borderId="18" xfId="0" applyNumberFormat="1" applyFont="1" applyBorder="1" applyAlignment="1">
      <alignment vertical="center"/>
    </xf>
    <xf numFmtId="3" fontId="27" fillId="0" borderId="18" xfId="1" applyNumberFormat="1" applyFont="1" applyFill="1" applyBorder="1" applyAlignment="1" applyProtection="1">
      <alignment horizontal="center"/>
    </xf>
    <xf numFmtId="3" fontId="4" fillId="0" borderId="0" xfId="0" applyNumberFormat="1" applyFont="1" applyAlignment="1">
      <alignment vertical="center"/>
    </xf>
    <xf numFmtId="3" fontId="27" fillId="0" borderId="17" xfId="1" applyNumberFormat="1" applyFont="1" applyFill="1" applyBorder="1" applyAlignment="1" applyProtection="1">
      <alignment horizontal="center"/>
    </xf>
    <xf numFmtId="4" fontId="3" fillId="0" borderId="18" xfId="1" applyNumberFormat="1" applyFont="1" applyFill="1" applyBorder="1" applyAlignment="1" applyProtection="1">
      <alignment horizontal="center"/>
    </xf>
    <xf numFmtId="4" fontId="27" fillId="0" borderId="17" xfId="1" applyNumberFormat="1" applyFont="1" applyFill="1" applyBorder="1" applyAlignment="1" applyProtection="1">
      <alignment horizontal="center"/>
    </xf>
    <xf numFmtId="2" fontId="3" fillId="0" borderId="0" xfId="1" applyNumberFormat="1" applyFont="1" applyAlignment="1">
      <alignment vertical="center"/>
    </xf>
    <xf numFmtId="3" fontId="30" fillId="0" borderId="0" xfId="0" applyNumberFormat="1" applyFont="1"/>
    <xf numFmtId="3" fontId="30" fillId="0" borderId="0" xfId="0" applyNumberFormat="1" applyFont="1" applyAlignment="1">
      <alignment horizontal="center"/>
    </xf>
    <xf numFmtId="3" fontId="30" fillId="0" borderId="0" xfId="1" applyNumberFormat="1" applyFont="1" applyFill="1" applyBorder="1"/>
    <xf numFmtId="3" fontId="31" fillId="0" borderId="0" xfId="0" applyNumberFormat="1" applyFont="1" applyAlignment="1">
      <alignment horizontal="center"/>
    </xf>
    <xf numFmtId="3" fontId="30" fillId="0" borderId="4" xfId="0" applyNumberFormat="1" applyFont="1" applyBorder="1" applyAlignment="1">
      <alignment horizontal="center"/>
    </xf>
    <xf numFmtId="3" fontId="30" fillId="9" borderId="0" xfId="0" applyNumberFormat="1" applyFont="1" applyFill="1"/>
    <xf numFmtId="3" fontId="30" fillId="6" borderId="0" xfId="0" applyNumberFormat="1" applyFont="1" applyFill="1" applyAlignment="1">
      <alignment horizontal="center"/>
    </xf>
    <xf numFmtId="3" fontId="30" fillId="6" borderId="0" xfId="0" applyNumberFormat="1" applyFont="1" applyFill="1"/>
    <xf numFmtId="3" fontId="30" fillId="0" borderId="0" xfId="0" applyNumberFormat="1" applyFont="1" applyAlignment="1">
      <alignment vertical="top"/>
    </xf>
    <xf numFmtId="3" fontId="30" fillId="0" borderId="0" xfId="0" applyNumberFormat="1" applyFont="1" applyAlignment="1">
      <alignment horizontal="right" vertical="top"/>
    </xf>
    <xf numFmtId="3" fontId="31" fillId="12" borderId="6" xfId="1" applyNumberFormat="1" applyFont="1" applyFill="1" applyBorder="1" applyAlignment="1">
      <alignment horizontal="center"/>
    </xf>
    <xf numFmtId="2" fontId="33" fillId="5" borderId="0" xfId="0" applyNumberFormat="1" applyFont="1" applyFill="1" applyAlignment="1">
      <alignment horizontal="left" vertical="center"/>
    </xf>
    <xf numFmtId="0" fontId="30" fillId="5" borderId="0" xfId="0" applyFont="1" applyFill="1"/>
    <xf numFmtId="2" fontId="34" fillId="5" borderId="0" xfId="0" applyNumberFormat="1" applyFont="1" applyFill="1" applyAlignment="1">
      <alignment horizontal="left" vertical="center"/>
    </xf>
    <xf numFmtId="0" fontId="35" fillId="5" borderId="0" xfId="0" applyFont="1" applyFill="1"/>
    <xf numFmtId="0" fontId="30" fillId="5" borderId="0" xfId="0" quotePrefix="1" applyFont="1" applyFill="1"/>
    <xf numFmtId="3" fontId="31" fillId="5" borderId="5" xfId="1" applyNumberFormat="1" applyFont="1" applyFill="1" applyBorder="1" applyAlignment="1">
      <alignment horizontal="center"/>
    </xf>
    <xf numFmtId="3" fontId="30" fillId="5" borderId="4" xfId="0" applyNumberFormat="1" applyFont="1" applyFill="1" applyBorder="1"/>
    <xf numFmtId="3" fontId="30" fillId="5" borderId="0" xfId="0" applyNumberFormat="1" applyFont="1" applyFill="1"/>
    <xf numFmtId="184" fontId="30" fillId="5" borderId="4" xfId="0" applyNumberFormat="1" applyFont="1" applyFill="1" applyBorder="1"/>
    <xf numFmtId="0" fontId="32" fillId="9" borderId="0" xfId="0" applyFont="1" applyFill="1"/>
    <xf numFmtId="0" fontId="30" fillId="9" borderId="0" xfId="0" applyFont="1" applyFill="1"/>
    <xf numFmtId="184" fontId="31" fillId="5" borderId="5" xfId="1" applyNumberFormat="1" applyFont="1" applyFill="1" applyBorder="1" applyAlignment="1">
      <alignment horizontal="center"/>
    </xf>
    <xf numFmtId="2" fontId="33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2" fontId="31" fillId="0" borderId="0" xfId="0" applyNumberFormat="1" applyFont="1" applyAlignment="1">
      <alignment vertical="center"/>
    </xf>
    <xf numFmtId="41" fontId="30" fillId="0" borderId="0" xfId="10" applyFont="1" applyAlignment="1">
      <alignment vertical="center"/>
    </xf>
    <xf numFmtId="183" fontId="30" fillId="0" borderId="0" xfId="0" applyNumberFormat="1" applyFont="1" applyAlignment="1">
      <alignment vertical="center"/>
    </xf>
    <xf numFmtId="0" fontId="30" fillId="8" borderId="0" xfId="0" applyFont="1" applyFill="1" applyAlignment="1">
      <alignment vertical="center"/>
    </xf>
    <xf numFmtId="0" fontId="32" fillId="7" borderId="0" xfId="0" applyFont="1" applyFill="1" applyAlignment="1">
      <alignment vertical="center"/>
    </xf>
    <xf numFmtId="0" fontId="32" fillId="7" borderId="0" xfId="0" applyFont="1" applyFill="1" applyAlignment="1">
      <alignment horizontal="center" vertical="center"/>
    </xf>
    <xf numFmtId="165" fontId="30" fillId="0" borderId="0" xfId="0" applyNumberFormat="1" applyFont="1" applyAlignment="1">
      <alignment vertical="center"/>
    </xf>
    <xf numFmtId="2" fontId="30" fillId="0" borderId="0" xfId="1" applyNumberFormat="1" applyFont="1" applyAlignment="1">
      <alignment vertical="center"/>
    </xf>
    <xf numFmtId="2" fontId="30" fillId="0" borderId="0" xfId="1" quotePrefix="1" applyNumberFormat="1" applyFont="1" applyAlignment="1">
      <alignment vertical="center"/>
    </xf>
    <xf numFmtId="2" fontId="30" fillId="0" borderId="0" xfId="0" applyNumberFormat="1" applyFont="1" applyAlignment="1">
      <alignment vertical="center"/>
    </xf>
    <xf numFmtId="183" fontId="30" fillId="0" borderId="1" xfId="0" applyNumberFormat="1" applyFont="1" applyBorder="1" applyAlignment="1">
      <alignment vertical="center"/>
    </xf>
    <xf numFmtId="3" fontId="30" fillId="0" borderId="0" xfId="0" applyNumberFormat="1" applyFont="1" applyAlignment="1">
      <alignment vertical="center"/>
    </xf>
    <xf numFmtId="0" fontId="30" fillId="6" borderId="0" xfId="0" applyFont="1" applyFill="1" applyAlignment="1">
      <alignment vertical="center"/>
    </xf>
    <xf numFmtId="165" fontId="30" fillId="6" borderId="0" xfId="0" applyNumberFormat="1" applyFont="1" applyFill="1" applyAlignment="1">
      <alignment vertical="center"/>
    </xf>
    <xf numFmtId="0" fontId="33" fillId="0" borderId="0" xfId="0" applyFont="1" applyAlignment="1">
      <alignment vertical="center"/>
    </xf>
    <xf numFmtId="0" fontId="30" fillId="0" borderId="0" xfId="0" quotePrefix="1" applyFont="1" applyAlignment="1">
      <alignment vertical="center"/>
    </xf>
    <xf numFmtId="3" fontId="30" fillId="0" borderId="1" xfId="0" applyNumberFormat="1" applyFont="1" applyBorder="1" applyAlignment="1">
      <alignment vertical="center"/>
    </xf>
    <xf numFmtId="3" fontId="30" fillId="6" borderId="0" xfId="0" applyNumberFormat="1" applyFont="1" applyFill="1" applyAlignment="1">
      <alignment vertical="center"/>
    </xf>
    <xf numFmtId="183" fontId="30" fillId="6" borderId="0" xfId="0" applyNumberFormat="1" applyFont="1" applyFill="1" applyAlignment="1">
      <alignment vertical="center"/>
    </xf>
    <xf numFmtId="3" fontId="30" fillId="0" borderId="0" xfId="10" applyNumberFormat="1" applyFont="1" applyFill="1" applyAlignment="1">
      <alignment vertical="center"/>
    </xf>
    <xf numFmtId="2" fontId="33" fillId="0" borderId="0" xfId="0" applyNumberFormat="1" applyFont="1"/>
    <xf numFmtId="0" fontId="30" fillId="0" borderId="0" xfId="0" applyFont="1"/>
    <xf numFmtId="2" fontId="31" fillId="0" borderId="0" xfId="0" applyNumberFormat="1" applyFont="1"/>
    <xf numFmtId="165" fontId="30" fillId="0" borderId="0" xfId="0" applyNumberFormat="1" applyFont="1"/>
    <xf numFmtId="183" fontId="30" fillId="0" borderId="0" xfId="0" applyNumberFormat="1" applyFont="1"/>
    <xf numFmtId="0" fontId="30" fillId="10" borderId="0" xfId="0" applyFont="1" applyFill="1"/>
    <xf numFmtId="41" fontId="32" fillId="14" borderId="0" xfId="10" applyFont="1" applyFill="1" applyAlignment="1">
      <alignment horizontal="right" vertical="center"/>
    </xf>
    <xf numFmtId="3" fontId="30" fillId="10" borderId="0" xfId="0" applyNumberFormat="1" applyFont="1" applyFill="1"/>
    <xf numFmtId="0" fontId="30" fillId="6" borderId="0" xfId="0" applyFont="1" applyFill="1"/>
    <xf numFmtId="0" fontId="30" fillId="0" borderId="0" xfId="0" quotePrefix="1" applyFont="1"/>
    <xf numFmtId="165" fontId="30" fillId="0" borderId="0" xfId="1" applyNumberFormat="1" applyFont="1"/>
    <xf numFmtId="2" fontId="30" fillId="0" borderId="0" xfId="1" quotePrefix="1" applyNumberFormat="1" applyFont="1"/>
    <xf numFmtId="2" fontId="30" fillId="0" borderId="0" xfId="0" applyNumberFormat="1" applyFont="1"/>
    <xf numFmtId="164" fontId="30" fillId="0" borderId="0" xfId="1" applyFont="1" applyBorder="1"/>
    <xf numFmtId="41" fontId="30" fillId="0" borderId="0" xfId="10" applyFont="1" applyAlignment="1">
      <alignment vertical="top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 wrapText="1"/>
    </xf>
    <xf numFmtId="164" fontId="30" fillId="0" borderId="0" xfId="1" applyFont="1"/>
    <xf numFmtId="178" fontId="30" fillId="0" borderId="0" xfId="0" applyNumberFormat="1" applyFont="1"/>
    <xf numFmtId="165" fontId="34" fillId="0" borderId="0" xfId="1" applyNumberFormat="1" applyFont="1"/>
    <xf numFmtId="41" fontId="30" fillId="0" borderId="0" xfId="10" applyFont="1"/>
    <xf numFmtId="164" fontId="30" fillId="0" borderId="0" xfId="1" applyFont="1" applyFill="1" applyBorder="1"/>
    <xf numFmtId="0" fontId="30" fillId="0" borderId="0" xfId="0" applyFont="1" applyAlignment="1">
      <alignment horizontal="center"/>
    </xf>
    <xf numFmtId="0" fontId="30" fillId="5" borderId="0" xfId="0" quotePrefix="1" applyFont="1" applyFill="1" applyAlignment="1">
      <alignment vertical="top"/>
    </xf>
    <xf numFmtId="164" fontId="30" fillId="5" borderId="0" xfId="1" applyFont="1" applyFill="1" applyAlignment="1">
      <alignment vertical="center"/>
    </xf>
    <xf numFmtId="0" fontId="30" fillId="5" borderId="0" xfId="0" applyFont="1" applyFill="1" applyAlignment="1">
      <alignment vertical="center"/>
    </xf>
    <xf numFmtId="2" fontId="31" fillId="5" borderId="0" xfId="0" applyNumberFormat="1" applyFont="1" applyFill="1" applyAlignment="1">
      <alignment horizontal="left" vertical="center"/>
    </xf>
    <xf numFmtId="0" fontId="30" fillId="5" borderId="0" xfId="0" applyFont="1" applyFill="1" applyAlignment="1">
      <alignment horizontal="left" vertical="center"/>
    </xf>
    <xf numFmtId="172" fontId="30" fillId="5" borderId="0" xfId="0" applyNumberFormat="1" applyFont="1" applyFill="1"/>
    <xf numFmtId="0" fontId="32" fillId="9" borderId="0" xfId="0" applyFont="1" applyFill="1" applyAlignment="1">
      <alignment horizontal="right" wrapText="1"/>
    </xf>
    <xf numFmtId="166" fontId="33" fillId="6" borderId="0" xfId="2" applyNumberFormat="1" applyFont="1" applyFill="1" applyBorder="1" applyAlignment="1">
      <alignment horizontal="left" vertical="top"/>
    </xf>
    <xf numFmtId="0" fontId="32" fillId="9" borderId="0" xfId="0" applyFont="1" applyFill="1" applyAlignment="1">
      <alignment horizontal="center" vertical="top" wrapText="1"/>
    </xf>
    <xf numFmtId="0" fontId="30" fillId="8" borderId="0" xfId="0" applyFont="1" applyFill="1" applyAlignment="1">
      <alignment horizontal="center" vertical="center" wrapText="1"/>
    </xf>
    <xf numFmtId="164" fontId="30" fillId="5" borderId="0" xfId="1" applyFont="1" applyFill="1" applyAlignment="1">
      <alignment horizontal="center" vertical="center"/>
    </xf>
    <xf numFmtId="0" fontId="30" fillId="5" borderId="0" xfId="0" applyFont="1" applyFill="1" applyAlignment="1">
      <alignment horizontal="center"/>
    </xf>
    <xf numFmtId="175" fontId="30" fillId="5" borderId="0" xfId="0" applyNumberFormat="1" applyFont="1" applyFill="1"/>
    <xf numFmtId="172" fontId="30" fillId="5" borderId="0" xfId="0" applyNumberFormat="1" applyFont="1" applyFill="1" applyAlignment="1">
      <alignment horizontal="center"/>
    </xf>
    <xf numFmtId="168" fontId="30" fillId="0" borderId="0" xfId="0" applyNumberFormat="1" applyFont="1" applyAlignment="1">
      <alignment vertical="center"/>
    </xf>
    <xf numFmtId="0" fontId="30" fillId="8" borderId="0" xfId="0" applyFont="1" applyFill="1" applyAlignment="1">
      <alignment horizontal="left" vertical="center"/>
    </xf>
    <xf numFmtId="3" fontId="30" fillId="8" borderId="0" xfId="0" applyNumberFormat="1" applyFont="1" applyFill="1" applyAlignment="1">
      <alignment vertical="center"/>
    </xf>
    <xf numFmtId="164" fontId="30" fillId="0" borderId="0" xfId="1" applyFont="1" applyAlignment="1">
      <alignment vertical="center"/>
    </xf>
    <xf numFmtId="0" fontId="33" fillId="0" borderId="0" xfId="0" applyFont="1" applyAlignment="1">
      <alignment horizontal="left" vertical="center"/>
    </xf>
    <xf numFmtId="0" fontId="30" fillId="13" borderId="3" xfId="0" applyFont="1" applyFill="1" applyBorder="1" applyAlignment="1">
      <alignment horizontal="right" vertical="center"/>
    </xf>
    <xf numFmtId="0" fontId="30" fillId="13" borderId="3" xfId="0" applyFont="1" applyFill="1" applyBorder="1" applyAlignment="1">
      <alignment vertical="center"/>
    </xf>
    <xf numFmtId="0" fontId="30" fillId="13" borderId="10" xfId="0" applyFont="1" applyFill="1" applyBorder="1" applyAlignment="1">
      <alignment vertical="center"/>
    </xf>
    <xf numFmtId="164" fontId="30" fillId="0" borderId="0" xfId="1" applyFont="1" applyAlignment="1">
      <alignment horizontal="left" vertical="center"/>
    </xf>
    <xf numFmtId="173" fontId="30" fillId="0" borderId="5" xfId="0" applyNumberFormat="1" applyFont="1" applyBorder="1" applyAlignment="1">
      <alignment vertical="center"/>
    </xf>
    <xf numFmtId="0" fontId="30" fillId="13" borderId="0" xfId="0" applyFont="1" applyFill="1" applyAlignment="1">
      <alignment vertical="center"/>
    </xf>
    <xf numFmtId="0" fontId="30" fillId="13" borderId="12" xfId="0" applyFont="1" applyFill="1" applyBorder="1" applyAlignment="1">
      <alignment vertical="center"/>
    </xf>
    <xf numFmtId="38" fontId="30" fillId="0" borderId="0" xfId="0" applyNumberFormat="1" applyFont="1" applyAlignment="1">
      <alignment vertical="center"/>
    </xf>
    <xf numFmtId="38" fontId="30" fillId="0" borderId="4" xfId="0" applyNumberFormat="1" applyFont="1" applyBorder="1" applyAlignment="1">
      <alignment vertical="center"/>
    </xf>
    <xf numFmtId="173" fontId="30" fillId="0" borderId="4" xfId="1" applyNumberFormat="1" applyFont="1" applyBorder="1" applyAlignment="1">
      <alignment vertical="center"/>
    </xf>
    <xf numFmtId="0" fontId="30" fillId="13" borderId="1" xfId="0" applyFont="1" applyFill="1" applyBorder="1" applyAlignment="1">
      <alignment horizontal="right" vertical="center"/>
    </xf>
    <xf numFmtId="0" fontId="30" fillId="13" borderId="1" xfId="0" applyFont="1" applyFill="1" applyBorder="1" applyAlignment="1">
      <alignment vertical="center"/>
    </xf>
    <xf numFmtId="0" fontId="30" fillId="13" borderId="14" xfId="0" applyFont="1" applyFill="1" applyBorder="1" applyAlignment="1">
      <alignment vertical="center"/>
    </xf>
    <xf numFmtId="165" fontId="30" fillId="0" borderId="0" xfId="1" applyNumberFormat="1" applyFont="1" applyAlignment="1">
      <alignment horizontal="left" vertical="center"/>
    </xf>
    <xf numFmtId="170" fontId="30" fillId="0" borderId="0" xfId="1" applyNumberFormat="1" applyFont="1" applyAlignment="1">
      <alignment horizontal="left" vertical="center"/>
    </xf>
    <xf numFmtId="170" fontId="30" fillId="0" borderId="0" xfId="1" applyNumberFormat="1" applyFont="1" applyAlignment="1">
      <alignment vertical="center"/>
    </xf>
    <xf numFmtId="3" fontId="30" fillId="5" borderId="0" xfId="0" applyNumberFormat="1" applyFont="1" applyFill="1" applyAlignment="1">
      <alignment vertical="center"/>
    </xf>
    <xf numFmtId="2" fontId="33" fillId="0" borderId="0" xfId="0" applyNumberFormat="1" applyFont="1" applyAlignment="1">
      <alignment horizontal="left" vertical="center"/>
    </xf>
    <xf numFmtId="2" fontId="31" fillId="0" borderId="0" xfId="0" applyNumberFormat="1" applyFont="1" applyAlignment="1">
      <alignment horizontal="left" vertical="center"/>
    </xf>
    <xf numFmtId="2" fontId="39" fillId="0" borderId="0" xfId="0" applyNumberFormat="1" applyFont="1" applyAlignment="1">
      <alignment horizontal="left" vertical="center"/>
    </xf>
    <xf numFmtId="0" fontId="32" fillId="9" borderId="0" xfId="0" applyFont="1" applyFill="1" applyAlignment="1">
      <alignment vertical="top"/>
    </xf>
    <xf numFmtId="0" fontId="36" fillId="9" borderId="0" xfId="0" applyFont="1" applyFill="1" applyAlignment="1">
      <alignment vertical="top"/>
    </xf>
    <xf numFmtId="0" fontId="32" fillId="9" borderId="0" xfId="0" applyFont="1" applyFill="1" applyAlignment="1">
      <alignment horizontal="right" vertical="top"/>
    </xf>
    <xf numFmtId="0" fontId="30" fillId="0" borderId="0" xfId="0" applyFont="1" applyAlignment="1">
      <alignment horizontal="right"/>
    </xf>
    <xf numFmtId="9" fontId="30" fillId="0" borderId="0" xfId="2" applyFont="1" applyAlignment="1">
      <alignment horizontal="right"/>
    </xf>
    <xf numFmtId="0" fontId="30" fillId="0" borderId="0" xfId="0" quotePrefix="1" applyFont="1" applyAlignment="1">
      <alignment vertical="top"/>
    </xf>
    <xf numFmtId="3" fontId="30" fillId="0" borderId="0" xfId="0" quotePrefix="1" applyNumberFormat="1" applyFont="1" applyAlignment="1">
      <alignment vertical="top"/>
    </xf>
    <xf numFmtId="0" fontId="32" fillId="9" borderId="0" xfId="0" applyFont="1" applyFill="1" applyAlignment="1">
      <alignment horizontal="right" vertical="top" wrapText="1"/>
    </xf>
    <xf numFmtId="0" fontId="30" fillId="0" borderId="0" xfId="0" applyFont="1" applyAlignment="1">
      <alignment vertical="top"/>
    </xf>
    <xf numFmtId="3" fontId="31" fillId="0" borderId="0" xfId="0" applyNumberFormat="1" applyFont="1"/>
    <xf numFmtId="0" fontId="30" fillId="0" borderId="0" xfId="0" quotePrefix="1" applyFont="1" applyAlignment="1">
      <alignment horizontal="center"/>
    </xf>
    <xf numFmtId="0" fontId="33" fillId="0" borderId="0" xfId="0" applyFont="1"/>
    <xf numFmtId="4" fontId="3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3" fillId="0" borderId="0" xfId="0" applyFont="1" applyAlignment="1">
      <alignment vertical="top"/>
    </xf>
    <xf numFmtId="0" fontId="32" fillId="8" borderId="0" xfId="0" applyFont="1" applyFill="1" applyAlignment="1">
      <alignment vertical="top"/>
    </xf>
    <xf numFmtId="0" fontId="36" fillId="8" borderId="0" xfId="0" applyFont="1" applyFill="1" applyAlignment="1">
      <alignment vertical="top"/>
    </xf>
    <xf numFmtId="0" fontId="33" fillId="9" borderId="0" xfId="0" applyFont="1" applyFill="1" applyAlignment="1">
      <alignment horizontal="right" vertical="top" wrapText="1"/>
    </xf>
    <xf numFmtId="0" fontId="30" fillId="9" borderId="0" xfId="0" applyFont="1" applyFill="1" applyAlignment="1">
      <alignment vertical="top"/>
    </xf>
    <xf numFmtId="0" fontId="30" fillId="0" borderId="0" xfId="0" applyFont="1" applyAlignment="1">
      <alignment horizontal="center" vertical="top"/>
    </xf>
    <xf numFmtId="1" fontId="30" fillId="0" borderId="0" xfId="0" applyNumberFormat="1" applyFont="1" applyAlignment="1">
      <alignment vertical="top"/>
    </xf>
    <xf numFmtId="0" fontId="30" fillId="6" borderId="0" xfId="0" applyFont="1" applyFill="1" applyAlignment="1">
      <alignment vertical="top"/>
    </xf>
    <xf numFmtId="0" fontId="30" fillId="8" borderId="0" xfId="0" applyFont="1" applyFill="1" applyAlignment="1">
      <alignment vertical="top"/>
    </xf>
    <xf numFmtId="3" fontId="30" fillId="8" borderId="0" xfId="0" applyNumberFormat="1" applyFont="1" applyFill="1" applyAlignment="1">
      <alignment vertical="top"/>
    </xf>
    <xf numFmtId="3" fontId="30" fillId="8" borderId="0" xfId="0" applyNumberFormat="1" applyFont="1" applyFill="1" applyAlignment="1">
      <alignment horizontal="right" vertical="top"/>
    </xf>
    <xf numFmtId="0" fontId="30" fillId="0" borderId="0" xfId="0" applyFont="1" applyAlignment="1">
      <alignment horizontal="right" vertical="top"/>
    </xf>
    <xf numFmtId="3" fontId="30" fillId="0" borderId="0" xfId="1" applyNumberFormat="1" applyFont="1" applyBorder="1" applyAlignment="1">
      <alignment vertical="top"/>
    </xf>
    <xf numFmtId="167" fontId="30" fillId="0" borderId="0" xfId="0" applyNumberFormat="1" applyFont="1" applyAlignment="1">
      <alignment vertical="top"/>
    </xf>
    <xf numFmtId="3" fontId="30" fillId="6" borderId="0" xfId="0" applyNumberFormat="1" applyFont="1" applyFill="1" applyAlignment="1">
      <alignment vertical="top"/>
    </xf>
    <xf numFmtId="0" fontId="30" fillId="5" borderId="0" xfId="0" applyFont="1" applyFill="1" applyAlignment="1">
      <alignment vertical="top"/>
    </xf>
    <xf numFmtId="0" fontId="33" fillId="5" borderId="0" xfId="0" applyFont="1" applyFill="1"/>
    <xf numFmtId="0" fontId="31" fillId="5" borderId="0" xfId="0" applyFont="1" applyFill="1" applyAlignment="1">
      <alignment vertical="top"/>
    </xf>
    <xf numFmtId="0" fontId="30" fillId="5" borderId="0" xfId="0" quotePrefix="1" applyFont="1" applyFill="1" applyAlignment="1">
      <alignment horizontal="left" vertical="top"/>
    </xf>
    <xf numFmtId="2" fontId="30" fillId="5" borderId="0" xfId="1" applyNumberFormat="1" applyFont="1" applyFill="1" applyBorder="1" applyAlignment="1">
      <alignment vertical="top"/>
    </xf>
    <xf numFmtId="0" fontId="30" fillId="5" borderId="0" xfId="0" applyFont="1" applyFill="1" applyAlignment="1">
      <alignment horizontal="center" vertical="top"/>
    </xf>
    <xf numFmtId="3" fontId="30" fillId="5" borderId="0" xfId="0" applyNumberFormat="1" applyFont="1" applyFill="1" applyAlignment="1">
      <alignment vertical="top"/>
    </xf>
    <xf numFmtId="165" fontId="30" fillId="5" borderId="0" xfId="1" applyNumberFormat="1" applyFont="1" applyFill="1" applyBorder="1" applyAlignment="1">
      <alignment vertical="top"/>
    </xf>
    <xf numFmtId="167" fontId="30" fillId="5" borderId="0" xfId="0" applyNumberFormat="1" applyFont="1" applyFill="1" applyAlignment="1">
      <alignment vertical="top"/>
    </xf>
    <xf numFmtId="167" fontId="40" fillId="5" borderId="0" xfId="1" applyNumberFormat="1" applyFont="1" applyFill="1" applyBorder="1" applyAlignment="1">
      <alignment vertical="top"/>
    </xf>
    <xf numFmtId="0" fontId="30" fillId="6" borderId="0" xfId="0" applyFont="1" applyFill="1" applyAlignment="1">
      <alignment horizontal="right" vertical="top"/>
    </xf>
    <xf numFmtId="167" fontId="33" fillId="6" borderId="4" xfId="0" applyNumberFormat="1" applyFont="1" applyFill="1" applyBorder="1" applyAlignment="1">
      <alignment vertical="top"/>
    </xf>
    <xf numFmtId="0" fontId="30" fillId="6" borderId="0" xfId="0" quotePrefix="1" applyFont="1" applyFill="1" applyAlignment="1">
      <alignment vertical="top"/>
    </xf>
    <xf numFmtId="167" fontId="31" fillId="6" borderId="0" xfId="1" applyNumberFormat="1" applyFont="1" applyFill="1" applyBorder="1" applyAlignment="1">
      <alignment vertical="top"/>
    </xf>
    <xf numFmtId="167" fontId="31" fillId="5" borderId="0" xfId="1" applyNumberFormat="1" applyFont="1" applyFill="1" applyBorder="1" applyAlignment="1">
      <alignment vertical="top"/>
    </xf>
    <xf numFmtId="0" fontId="33" fillId="5" borderId="0" xfId="0" applyFont="1" applyFill="1" applyAlignment="1">
      <alignment vertical="top"/>
    </xf>
    <xf numFmtId="166" fontId="30" fillId="5" borderId="0" xfId="2" applyNumberFormat="1" applyFont="1" applyFill="1" applyBorder="1" applyAlignment="1">
      <alignment horizontal="center" vertical="top"/>
    </xf>
    <xf numFmtId="166" fontId="30" fillId="5" borderId="5" xfId="2" applyNumberFormat="1" applyFont="1" applyFill="1" applyBorder="1" applyAlignment="1">
      <alignment vertical="top"/>
    </xf>
    <xf numFmtId="9" fontId="30" fillId="5" borderId="0" xfId="2" applyFont="1" applyFill="1" applyBorder="1" applyAlignment="1">
      <alignment vertical="top"/>
    </xf>
    <xf numFmtId="164" fontId="30" fillId="5" borderId="0" xfId="1" applyFont="1" applyFill="1" applyBorder="1" applyAlignment="1">
      <alignment horizontal="right" vertical="top"/>
    </xf>
    <xf numFmtId="164" fontId="30" fillId="0" borderId="0" xfId="1" applyFont="1" applyFill="1" applyBorder="1" applyAlignment="1">
      <alignment horizontal="right" vertical="top"/>
    </xf>
    <xf numFmtId="165" fontId="30" fillId="0" borderId="0" xfId="1" applyNumberFormat="1" applyFont="1" applyBorder="1" applyAlignment="1">
      <alignment vertical="top"/>
    </xf>
    <xf numFmtId="0" fontId="30" fillId="0" borderId="0" xfId="0" quotePrefix="1" applyFont="1" applyAlignment="1">
      <alignment horizontal="left" vertical="top"/>
    </xf>
    <xf numFmtId="2" fontId="30" fillId="0" borderId="0" xfId="1" applyNumberFormat="1" applyFont="1" applyFill="1" applyBorder="1" applyAlignment="1">
      <alignment vertical="top"/>
    </xf>
    <xf numFmtId="165" fontId="30" fillId="0" borderId="0" xfId="0" applyNumberFormat="1" applyFont="1" applyAlignment="1">
      <alignment vertical="top"/>
    </xf>
    <xf numFmtId="165" fontId="41" fillId="0" borderId="0" xfId="1" applyNumberFormat="1" applyFont="1" applyBorder="1" applyAlignment="1">
      <alignment vertical="top"/>
    </xf>
    <xf numFmtId="167" fontId="41" fillId="0" borderId="0" xfId="1" applyNumberFormat="1" applyFont="1" applyBorder="1" applyAlignment="1">
      <alignment vertical="top"/>
    </xf>
    <xf numFmtId="164" fontId="30" fillId="6" borderId="0" xfId="1" applyFont="1" applyFill="1" applyBorder="1" applyAlignment="1">
      <alignment horizontal="left" vertical="top"/>
    </xf>
    <xf numFmtId="166" fontId="30" fillId="0" borderId="0" xfId="2" applyNumberFormat="1" applyFont="1" applyBorder="1" applyAlignment="1">
      <alignment horizontal="center" vertical="top"/>
    </xf>
    <xf numFmtId="166" fontId="30" fillId="0" borderId="5" xfId="2" applyNumberFormat="1" applyFont="1" applyBorder="1" applyAlignment="1">
      <alignment vertical="top"/>
    </xf>
    <xf numFmtId="9" fontId="30" fillId="0" borderId="0" xfId="2" applyFont="1" applyBorder="1" applyAlignment="1">
      <alignment vertical="top"/>
    </xf>
    <xf numFmtId="3" fontId="33" fillId="0" borderId="0" xfId="0" applyNumberFormat="1" applyFont="1"/>
    <xf numFmtId="3" fontId="31" fillId="0" borderId="0" xfId="0" applyNumberFormat="1" applyFont="1" applyAlignment="1">
      <alignment vertical="top"/>
    </xf>
    <xf numFmtId="3" fontId="32" fillId="9" borderId="0" xfId="0" applyNumberFormat="1" applyFont="1" applyFill="1" applyAlignment="1">
      <alignment vertical="top"/>
    </xf>
    <xf numFmtId="3" fontId="36" fillId="9" borderId="0" xfId="0" applyNumberFormat="1" applyFont="1" applyFill="1"/>
    <xf numFmtId="3" fontId="36" fillId="5" borderId="0" xfId="0" applyNumberFormat="1" applyFont="1" applyFill="1"/>
    <xf numFmtId="3" fontId="30" fillId="9" borderId="0" xfId="0" applyNumberFormat="1" applyFont="1" applyFill="1" applyAlignment="1">
      <alignment horizontal="center"/>
    </xf>
    <xf numFmtId="3" fontId="30" fillId="9" borderId="0" xfId="1" applyNumberFormat="1" applyFont="1" applyFill="1" applyBorder="1"/>
    <xf numFmtId="3" fontId="30" fillId="6" borderId="0" xfId="1" applyNumberFormat="1" applyFont="1" applyFill="1" applyBorder="1" applyAlignment="1">
      <alignment horizontal="right"/>
    </xf>
    <xf numFmtId="3" fontId="30" fillId="5" borderId="0" xfId="2" applyNumberFormat="1" applyFont="1" applyFill="1" applyBorder="1" applyAlignment="1">
      <alignment vertical="top"/>
    </xf>
    <xf numFmtId="3" fontId="31" fillId="0" borderId="0" xfId="1" applyNumberFormat="1" applyFont="1" applyFill="1" applyBorder="1"/>
    <xf numFmtId="3" fontId="30" fillId="6" borderId="0" xfId="1" applyNumberFormat="1" applyFont="1" applyFill="1" applyBorder="1"/>
    <xf numFmtId="3" fontId="33" fillId="0" borderId="0" xfId="0" applyNumberFormat="1" applyFont="1" applyAlignment="1">
      <alignment horizontal="left"/>
    </xf>
    <xf numFmtId="171" fontId="30" fillId="0" borderId="0" xfId="0" applyNumberFormat="1" applyFont="1" applyAlignment="1">
      <alignment horizontal="center" vertical="top"/>
    </xf>
    <xf numFmtId="167" fontId="30" fillId="0" borderId="0" xfId="0" applyNumberFormat="1" applyFont="1" applyAlignment="1">
      <alignment horizontal="center" vertical="top"/>
    </xf>
    <xf numFmtId="3" fontId="31" fillId="0" borderId="0" xfId="1" applyNumberFormat="1" applyFont="1" applyAlignment="1">
      <alignment vertical="top"/>
    </xf>
    <xf numFmtId="3" fontId="31" fillId="6" borderId="0" xfId="1" applyNumberFormat="1" applyFont="1" applyFill="1" applyAlignment="1">
      <alignment vertical="top"/>
    </xf>
    <xf numFmtId="165" fontId="30" fillId="0" borderId="5" xfId="1" applyNumberFormat="1" applyFont="1" applyBorder="1" applyAlignment="1">
      <alignment vertical="top"/>
    </xf>
    <xf numFmtId="3" fontId="30" fillId="6" borderId="0" xfId="1" applyNumberFormat="1" applyFont="1" applyFill="1" applyAlignment="1">
      <alignment vertical="top"/>
    </xf>
    <xf numFmtId="170" fontId="30" fillId="0" borderId="5" xfId="1" applyNumberFormat="1" applyFont="1" applyBorder="1" applyAlignment="1">
      <alignment vertical="top"/>
    </xf>
    <xf numFmtId="170" fontId="30" fillId="0" borderId="6" xfId="1" applyNumberFormat="1" applyFont="1" applyBorder="1" applyAlignment="1">
      <alignment vertical="top"/>
    </xf>
    <xf numFmtId="165" fontId="30" fillId="0" borderId="6" xfId="1" applyNumberFormat="1" applyFont="1" applyBorder="1" applyAlignment="1">
      <alignment vertical="top"/>
    </xf>
    <xf numFmtId="3" fontId="30" fillId="0" borderId="4" xfId="0" applyNumberFormat="1" applyFont="1" applyBorder="1" applyAlignment="1">
      <alignment vertical="top"/>
    </xf>
    <xf numFmtId="0" fontId="35" fillId="0" borderId="0" xfId="0" applyFont="1" applyAlignment="1">
      <alignment vertical="top"/>
    </xf>
    <xf numFmtId="0" fontId="32" fillId="9" borderId="0" xfId="0" applyFont="1" applyFill="1" applyAlignment="1">
      <alignment vertical="top" wrapText="1"/>
    </xf>
    <xf numFmtId="164" fontId="30" fillId="0" borderId="0" xfId="1" applyFont="1" applyBorder="1" applyAlignment="1">
      <alignment horizontal="right" vertical="top" wrapText="1"/>
    </xf>
    <xf numFmtId="169" fontId="30" fillId="0" borderId="6" xfId="1" applyNumberFormat="1" applyFont="1" applyBorder="1" applyAlignment="1">
      <alignment vertical="top"/>
    </xf>
    <xf numFmtId="167" fontId="30" fillId="0" borderId="0" xfId="1" applyNumberFormat="1" applyFont="1" applyBorder="1" applyAlignment="1">
      <alignment vertical="top"/>
    </xf>
    <xf numFmtId="167" fontId="30" fillId="0" borderId="6" xfId="1" applyNumberFormat="1" applyFont="1" applyBorder="1" applyAlignment="1">
      <alignment vertical="top"/>
    </xf>
    <xf numFmtId="164" fontId="30" fillId="0" borderId="0" xfId="1" applyFont="1" applyBorder="1" applyAlignment="1">
      <alignment horizontal="right" vertical="top"/>
    </xf>
    <xf numFmtId="0" fontId="30" fillId="0" borderId="0" xfId="0" applyFont="1" applyAlignment="1">
      <alignment horizontal="right" vertical="center"/>
    </xf>
    <xf numFmtId="0" fontId="30" fillId="13" borderId="11" xfId="0" applyFont="1" applyFill="1" applyBorder="1" applyAlignment="1">
      <alignment vertical="center"/>
    </xf>
    <xf numFmtId="0" fontId="30" fillId="13" borderId="13" xfId="0" applyFont="1" applyFill="1" applyBorder="1" applyAlignment="1">
      <alignment vertical="center"/>
    </xf>
    <xf numFmtId="41" fontId="30" fillId="13" borderId="9" xfId="10" applyFont="1" applyFill="1" applyBorder="1" applyAlignment="1">
      <alignment vertical="center"/>
    </xf>
    <xf numFmtId="41" fontId="30" fillId="13" borderId="11" xfId="10" applyFont="1" applyFill="1" applyBorder="1" applyAlignment="1">
      <alignment vertical="center"/>
    </xf>
    <xf numFmtId="41" fontId="30" fillId="13" borderId="13" xfId="10" applyFont="1" applyFill="1" applyBorder="1" applyAlignment="1">
      <alignment vertical="center"/>
    </xf>
    <xf numFmtId="0" fontId="30" fillId="13" borderId="3" xfId="0" quotePrefix="1" applyFont="1" applyFill="1" applyBorder="1" applyAlignment="1">
      <alignment vertical="center"/>
    </xf>
    <xf numFmtId="0" fontId="37" fillId="13" borderId="0" xfId="0" applyFont="1" applyFill="1" applyAlignment="1">
      <alignment horizontal="right" vertical="center"/>
    </xf>
    <xf numFmtId="0" fontId="30" fillId="13" borderId="0" xfId="0" quotePrefix="1" applyFont="1" applyFill="1" applyAlignment="1">
      <alignment vertical="center"/>
    </xf>
    <xf numFmtId="0" fontId="30" fillId="13" borderId="0" xfId="0" applyFont="1" applyFill="1" applyAlignment="1">
      <alignment horizontal="right" vertical="center"/>
    </xf>
    <xf numFmtId="0" fontId="30" fillId="13" borderId="12" xfId="0" quotePrefix="1" applyFont="1" applyFill="1" applyBorder="1" applyAlignment="1">
      <alignment vertical="center"/>
    </xf>
    <xf numFmtId="0" fontId="30" fillId="13" borderId="14" xfId="0" quotePrefix="1" applyFont="1" applyFill="1" applyBorder="1" applyAlignment="1">
      <alignment vertical="center"/>
    </xf>
    <xf numFmtId="9" fontId="31" fillId="0" borderId="0" xfId="2" applyFont="1" applyAlignment="1">
      <alignment vertical="center"/>
    </xf>
    <xf numFmtId="0" fontId="30" fillId="15" borderId="0" xfId="0" applyFont="1" applyFill="1" applyAlignment="1">
      <alignment vertical="center"/>
    </xf>
    <xf numFmtId="185" fontId="30" fillId="0" borderId="0" xfId="0" applyNumberFormat="1" applyFont="1" applyAlignment="1">
      <alignment vertical="center"/>
    </xf>
    <xf numFmtId="0" fontId="28" fillId="0" borderId="0" xfId="0" quotePrefix="1" applyFont="1" applyAlignment="1">
      <alignment vertical="center"/>
    </xf>
    <xf numFmtId="172" fontId="30" fillId="5" borderId="0" xfId="0" applyNumberFormat="1" applyFont="1" applyFill="1" applyAlignment="1">
      <alignment vertical="center"/>
    </xf>
    <xf numFmtId="168" fontId="30" fillId="0" borderId="4" xfId="0" applyNumberFormat="1" applyFont="1" applyBorder="1" applyAlignment="1">
      <alignment vertical="center"/>
    </xf>
    <xf numFmtId="172" fontId="30" fillId="0" borderId="0" xfId="0" applyNumberFormat="1" applyFont="1" applyAlignment="1">
      <alignment vertical="center"/>
    </xf>
    <xf numFmtId="0" fontId="32" fillId="5" borderId="0" xfId="0" applyFont="1" applyFill="1" applyAlignment="1">
      <alignment horizontal="center" vertical="top" wrapText="1"/>
    </xf>
    <xf numFmtId="0" fontId="32" fillId="5" borderId="0" xfId="0" applyFont="1" applyFill="1" applyAlignment="1">
      <alignment horizontal="right" wrapText="1"/>
    </xf>
    <xf numFmtId="165" fontId="33" fillId="0" borderId="0" xfId="0" applyNumberFormat="1" applyFont="1" applyAlignment="1">
      <alignment vertical="center"/>
    </xf>
    <xf numFmtId="187" fontId="30" fillId="0" borderId="0" xfId="0" applyNumberFormat="1" applyFont="1" applyAlignment="1">
      <alignment vertical="center"/>
    </xf>
    <xf numFmtId="0" fontId="33" fillId="5" borderId="0" xfId="0" applyFont="1" applyFill="1" applyAlignment="1">
      <alignment vertical="center"/>
    </xf>
    <xf numFmtId="0" fontId="33" fillId="5" borderId="0" xfId="0" applyFont="1" applyFill="1" applyAlignment="1">
      <alignment horizontal="right" vertical="center"/>
    </xf>
    <xf numFmtId="172" fontId="30" fillId="5" borderId="0" xfId="0" applyNumberFormat="1" applyFont="1" applyFill="1" applyAlignment="1">
      <alignment horizontal="right" vertical="center"/>
    </xf>
    <xf numFmtId="168" fontId="30" fillId="5" borderId="0" xfId="0" applyNumberFormat="1" applyFont="1" applyFill="1" applyAlignment="1">
      <alignment vertical="center"/>
    </xf>
    <xf numFmtId="177" fontId="30" fillId="5" borderId="0" xfId="0" applyNumberFormat="1" applyFont="1" applyFill="1" applyAlignment="1">
      <alignment horizontal="right" vertical="center"/>
    </xf>
    <xf numFmtId="170" fontId="30" fillId="5" borderId="0" xfId="1" applyNumberFormat="1" applyFont="1" applyFill="1" applyBorder="1" applyAlignment="1">
      <alignment vertical="center"/>
    </xf>
    <xf numFmtId="165" fontId="30" fillId="5" borderId="0" xfId="1" applyNumberFormat="1" applyFont="1" applyFill="1" applyBorder="1" applyAlignment="1">
      <alignment vertical="center"/>
    </xf>
    <xf numFmtId="164" fontId="30" fillId="5" borderId="0" xfId="1" applyFont="1" applyFill="1" applyBorder="1" applyAlignment="1">
      <alignment vertical="center"/>
    </xf>
    <xf numFmtId="186" fontId="30" fillId="5" borderId="0" xfId="0" applyNumberFormat="1" applyFont="1" applyFill="1" applyAlignment="1">
      <alignment horizontal="right" vertical="center"/>
    </xf>
    <xf numFmtId="2" fontId="30" fillId="5" borderId="0" xfId="0" applyNumberFormat="1" applyFont="1" applyFill="1" applyAlignment="1">
      <alignment vertical="center"/>
    </xf>
    <xf numFmtId="177" fontId="30" fillId="5" borderId="0" xfId="0" applyNumberFormat="1" applyFont="1" applyFill="1" applyAlignment="1">
      <alignment vertical="center"/>
    </xf>
    <xf numFmtId="0" fontId="30" fillId="0" borderId="1" xfId="0" applyFont="1" applyBorder="1"/>
    <xf numFmtId="0" fontId="30" fillId="0" borderId="1" xfId="0" applyFont="1" applyBorder="1" applyAlignment="1">
      <alignment horizontal="right"/>
    </xf>
    <xf numFmtId="0" fontId="30" fillId="5" borderId="0" xfId="0" applyFont="1" applyFill="1" applyAlignment="1">
      <alignment horizontal="left"/>
    </xf>
    <xf numFmtId="41" fontId="32" fillId="9" borderId="0" xfId="10" applyFont="1" applyFill="1" applyAlignment="1">
      <alignment horizontal="center" vertical="top" wrapText="1"/>
    </xf>
    <xf numFmtId="40" fontId="33" fillId="0" borderId="0" xfId="0" applyNumberFormat="1" applyFont="1" applyAlignment="1">
      <alignment horizontal="left"/>
    </xf>
    <xf numFmtId="173" fontId="31" fillId="0" borderId="0" xfId="0" applyNumberFormat="1" applyFont="1"/>
    <xf numFmtId="38" fontId="30" fillId="0" borderId="0" xfId="0" applyNumberFormat="1" applyFont="1" applyAlignment="1">
      <alignment horizontal="left"/>
    </xf>
    <xf numFmtId="0" fontId="30" fillId="0" borderId="0" xfId="0" applyFont="1" applyAlignment="1">
      <alignment horizontal="left"/>
    </xf>
    <xf numFmtId="174" fontId="30" fillId="0" borderId="0" xfId="1" applyNumberFormat="1" applyFont="1" applyFill="1" applyBorder="1" applyAlignment="1">
      <alignment horizontal="center"/>
    </xf>
    <xf numFmtId="173" fontId="30" fillId="0" borderId="0" xfId="1" applyNumberFormat="1" applyFont="1" applyFill="1" applyBorder="1"/>
    <xf numFmtId="170" fontId="30" fillId="0" borderId="0" xfId="1" applyNumberFormat="1" applyFont="1" applyFill="1" applyBorder="1"/>
    <xf numFmtId="40" fontId="30" fillId="0" borderId="0" xfId="0" applyNumberFormat="1" applyFont="1" applyAlignment="1">
      <alignment horizontal="left"/>
    </xf>
    <xf numFmtId="40" fontId="30" fillId="0" borderId="0" xfId="1" applyNumberFormat="1" applyFont="1" applyFill="1" applyBorder="1" applyAlignment="1">
      <alignment horizontal="center"/>
    </xf>
    <xf numFmtId="38" fontId="30" fillId="0" borderId="0" xfId="1" applyNumberFormat="1" applyFont="1" applyFill="1" applyBorder="1"/>
    <xf numFmtId="164" fontId="30" fillId="0" borderId="0" xfId="1" applyFont="1" applyFill="1" applyBorder="1" applyAlignment="1">
      <alignment horizontal="left"/>
    </xf>
    <xf numFmtId="170" fontId="30" fillId="0" borderId="0" xfId="1" applyNumberFormat="1" applyFont="1" applyFill="1" applyBorder="1" applyAlignment="1"/>
    <xf numFmtId="170" fontId="30" fillId="0" borderId="0" xfId="1" applyNumberFormat="1" applyFont="1" applyFill="1" applyBorder="1" applyAlignment="1">
      <alignment horizontal="right"/>
    </xf>
    <xf numFmtId="172" fontId="30" fillId="0" borderId="0" xfId="0" applyNumberFormat="1" applyFont="1" applyAlignment="1">
      <alignment horizontal="left"/>
    </xf>
    <xf numFmtId="0" fontId="42" fillId="0" borderId="0" xfId="0" quotePrefix="1" applyFont="1"/>
    <xf numFmtId="172" fontId="30" fillId="0" borderId="0" xfId="0" applyNumberFormat="1" applyFont="1"/>
    <xf numFmtId="41" fontId="30" fillId="5" borderId="0" xfId="10" quotePrefix="1" applyFont="1" applyFill="1" applyAlignment="1">
      <alignment vertical="top"/>
    </xf>
    <xf numFmtId="41" fontId="30" fillId="5" borderId="0" xfId="10" quotePrefix="1" applyFont="1" applyFill="1" applyBorder="1" applyAlignment="1">
      <alignment horizontal="left" vertical="top"/>
    </xf>
    <xf numFmtId="165" fontId="30" fillId="0" borderId="0" xfId="1" applyNumberFormat="1" applyFont="1" applyAlignment="1">
      <alignment horizontal="left"/>
    </xf>
    <xf numFmtId="3" fontId="30" fillId="0" borderId="0" xfId="0" quotePrefix="1" applyNumberFormat="1" applyFont="1"/>
    <xf numFmtId="3" fontId="30" fillId="5" borderId="0" xfId="1" applyNumberFormat="1" applyFont="1" applyFill="1" applyBorder="1" applyAlignment="1">
      <alignment vertical="top"/>
    </xf>
    <xf numFmtId="3" fontId="30" fillId="6" borderId="0" xfId="1" applyNumberFormat="1" applyFont="1" applyFill="1" applyBorder="1" applyAlignment="1">
      <alignment vertical="top"/>
    </xf>
    <xf numFmtId="3" fontId="30" fillId="6" borderId="4" xfId="0" applyNumberFormat="1" applyFont="1" applyFill="1" applyBorder="1" applyAlignment="1">
      <alignment vertical="top"/>
    </xf>
    <xf numFmtId="3" fontId="30" fillId="5" borderId="0" xfId="10" quotePrefix="1" applyNumberFormat="1" applyFont="1" applyFill="1" applyAlignment="1">
      <alignment vertical="top"/>
    </xf>
    <xf numFmtId="3" fontId="30" fillId="5" borderId="0" xfId="10" quotePrefix="1" applyNumberFormat="1" applyFont="1" applyFill="1" applyBorder="1" applyAlignment="1">
      <alignment horizontal="left" vertical="top"/>
    </xf>
    <xf numFmtId="166" fontId="30" fillId="0" borderId="0" xfId="2" applyNumberFormat="1" applyFont="1"/>
    <xf numFmtId="0" fontId="30" fillId="5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3" fillId="12" borderId="0" xfId="0" applyFont="1" applyFill="1" applyAlignment="1">
      <alignment vertical="top"/>
    </xf>
    <xf numFmtId="0" fontId="33" fillId="0" borderId="0" xfId="0" applyFont="1" applyAlignment="1">
      <alignment horizontal="center" vertical="top"/>
    </xf>
    <xf numFmtId="0" fontId="33" fillId="0" borderId="0" xfId="0" applyFont="1" applyAlignment="1">
      <alignment horizontal="center"/>
    </xf>
    <xf numFmtId="0" fontId="30" fillId="0" borderId="20" xfId="0" applyFont="1" applyBorder="1" applyAlignment="1">
      <alignment horizontal="center"/>
    </xf>
    <xf numFmtId="0" fontId="30" fillId="0" borderId="20" xfId="0" applyFont="1" applyBorder="1" applyAlignment="1">
      <alignment horizontal="center" vertical="center"/>
    </xf>
    <xf numFmtId="0" fontId="30" fillId="5" borderId="20" xfId="0" applyFont="1" applyFill="1" applyBorder="1" applyAlignment="1">
      <alignment horizontal="center" vertical="center"/>
    </xf>
    <xf numFmtId="0" fontId="33" fillId="0" borderId="20" xfId="0" applyFont="1" applyBorder="1"/>
    <xf numFmtId="0" fontId="33" fillId="16" borderId="0" xfId="0" applyFont="1" applyFill="1" applyAlignment="1">
      <alignment horizontal="center" vertical="top"/>
    </xf>
    <xf numFmtId="0" fontId="33" fillId="16" borderId="0" xfId="0" applyFont="1" applyFill="1" applyAlignment="1">
      <alignment horizontal="center" vertical="top" wrapText="1"/>
    </xf>
    <xf numFmtId="0" fontId="33" fillId="2" borderId="0" xfId="0" applyFont="1" applyFill="1" applyAlignment="1">
      <alignment horizontal="center" vertical="top"/>
    </xf>
    <xf numFmtId="0" fontId="33" fillId="2" borderId="0" xfId="0" applyFont="1" applyFill="1" applyAlignment="1">
      <alignment horizontal="center" vertical="top" wrapText="1"/>
    </xf>
    <xf numFmtId="0" fontId="33" fillId="17" borderId="0" xfId="0" applyFont="1" applyFill="1" applyAlignment="1">
      <alignment horizontal="center" vertical="top"/>
    </xf>
    <xf numFmtId="0" fontId="33" fillId="17" borderId="0" xfId="0" applyFont="1" applyFill="1" applyAlignment="1">
      <alignment horizontal="center" vertical="top" wrapText="1"/>
    </xf>
    <xf numFmtId="0" fontId="33" fillId="4" borderId="0" xfId="0" applyFont="1" applyFill="1" applyAlignment="1">
      <alignment horizontal="center" vertical="top"/>
    </xf>
    <xf numFmtId="0" fontId="33" fillId="4" borderId="0" xfId="0" applyFont="1" applyFill="1" applyAlignment="1">
      <alignment horizontal="center" vertical="top" wrapText="1"/>
    </xf>
    <xf numFmtId="0" fontId="33" fillId="5" borderId="0" xfId="0" applyFont="1" applyFill="1" applyAlignment="1">
      <alignment horizontal="center" vertical="top"/>
    </xf>
    <xf numFmtId="0" fontId="33" fillId="0" borderId="20" xfId="0" applyFont="1" applyBorder="1" applyAlignment="1">
      <alignment horizontal="center"/>
    </xf>
    <xf numFmtId="0" fontId="30" fillId="18" borderId="20" xfId="0" applyFont="1" applyFill="1" applyBorder="1" applyAlignment="1">
      <alignment horizontal="center"/>
    </xf>
    <xf numFmtId="0" fontId="30" fillId="18" borderId="0" xfId="0" applyFont="1" applyFill="1" applyAlignment="1">
      <alignment horizontal="center"/>
    </xf>
    <xf numFmtId="0" fontId="30" fillId="18" borderId="20" xfId="0" applyFont="1" applyFill="1" applyBorder="1" applyAlignment="1">
      <alignment horizontal="center" vertical="center"/>
    </xf>
    <xf numFmtId="175" fontId="30" fillId="0" borderId="0" xfId="0" applyNumberFormat="1" applyFont="1" applyAlignment="1">
      <alignment vertical="center"/>
    </xf>
    <xf numFmtId="172" fontId="30" fillId="0" borderId="0" xfId="1" applyNumberFormat="1" applyFont="1" applyAlignment="1">
      <alignment vertical="center"/>
    </xf>
    <xf numFmtId="177" fontId="30" fillId="0" borderId="0" xfId="0" applyNumberFormat="1" applyFont="1" applyAlignment="1">
      <alignment vertical="center"/>
    </xf>
    <xf numFmtId="177" fontId="30" fillId="0" borderId="0" xfId="1" applyNumberFormat="1" applyFont="1" applyAlignment="1">
      <alignment horizontal="left" vertical="center"/>
    </xf>
    <xf numFmtId="177" fontId="30" fillId="0" borderId="0" xfId="1" applyNumberFormat="1" applyFont="1" applyAlignment="1">
      <alignment vertical="center"/>
    </xf>
    <xf numFmtId="0" fontId="43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166" fontId="33" fillId="12" borderId="0" xfId="2" applyNumberFormat="1" applyFont="1" applyFill="1" applyBorder="1" applyAlignment="1">
      <alignment horizontal="left" vertical="top"/>
    </xf>
    <xf numFmtId="164" fontId="32" fillId="9" borderId="0" xfId="1" applyFont="1" applyFill="1" applyBorder="1" applyAlignment="1">
      <alignment vertical="top" wrapText="1"/>
    </xf>
    <xf numFmtId="0" fontId="42" fillId="5" borderId="0" xfId="0" applyFont="1" applyFill="1" applyAlignment="1">
      <alignment vertical="center"/>
    </xf>
    <xf numFmtId="3" fontId="31" fillId="5" borderId="18" xfId="1" applyNumberFormat="1" applyFont="1" applyFill="1" applyBorder="1" applyAlignment="1">
      <alignment horizontal="center"/>
    </xf>
    <xf numFmtId="184" fontId="31" fillId="5" borderId="17" xfId="1" applyNumberFormat="1" applyFont="1" applyFill="1" applyBorder="1" applyAlignment="1">
      <alignment horizontal="center"/>
    </xf>
    <xf numFmtId="3" fontId="31" fillId="5" borderId="17" xfId="1" applyNumberFormat="1" applyFont="1" applyFill="1" applyBorder="1" applyAlignment="1">
      <alignment horizontal="center"/>
    </xf>
    <xf numFmtId="3" fontId="30" fillId="5" borderId="18" xfId="1" applyNumberFormat="1" applyFont="1" applyFill="1" applyBorder="1" applyAlignment="1">
      <alignment horizontal="center"/>
    </xf>
    <xf numFmtId="0" fontId="30" fillId="12" borderId="0" xfId="0" applyFont="1" applyFill="1"/>
    <xf numFmtId="3" fontId="30" fillId="12" borderId="18" xfId="1" applyNumberFormat="1" applyFont="1" applyFill="1" applyBorder="1" applyAlignment="1">
      <alignment horizontal="center"/>
    </xf>
    <xf numFmtId="3" fontId="31" fillId="12" borderId="17" xfId="1" applyNumberFormat="1" applyFont="1" applyFill="1" applyBorder="1" applyAlignment="1">
      <alignment horizontal="center"/>
    </xf>
    <xf numFmtId="3" fontId="31" fillId="12" borderId="18" xfId="1" applyNumberFormat="1" applyFont="1" applyFill="1" applyBorder="1" applyAlignment="1">
      <alignment horizontal="center"/>
    </xf>
    <xf numFmtId="184" fontId="31" fillId="12" borderId="17" xfId="1" applyNumberFormat="1" applyFont="1" applyFill="1" applyBorder="1" applyAlignment="1">
      <alignment horizontal="center"/>
    </xf>
    <xf numFmtId="41" fontId="30" fillId="5" borderId="0" xfId="10" applyFont="1" applyFill="1" applyAlignment="1">
      <alignment vertical="top"/>
    </xf>
    <xf numFmtId="0" fontId="30" fillId="5" borderId="0" xfId="0" quotePrefix="1" applyFont="1" applyFill="1" applyAlignment="1">
      <alignment horizontal="center" vertical="top"/>
    </xf>
    <xf numFmtId="2" fontId="30" fillId="5" borderId="0" xfId="10" quotePrefix="1" applyNumberFormat="1" applyFont="1" applyFill="1" applyAlignment="1">
      <alignment vertical="top"/>
    </xf>
    <xf numFmtId="41" fontId="30" fillId="5" borderId="0" xfId="10" applyFont="1" applyFill="1"/>
    <xf numFmtId="41" fontId="30" fillId="5" borderId="0" xfId="10" quotePrefix="1" applyFont="1" applyFill="1"/>
    <xf numFmtId="3" fontId="33" fillId="5" borderId="18" xfId="1" quotePrefix="1" applyNumberFormat="1" applyFont="1" applyFill="1" applyBorder="1" applyAlignment="1">
      <alignment horizontal="center"/>
    </xf>
    <xf numFmtId="3" fontId="33" fillId="12" borderId="18" xfId="1" applyNumberFormat="1" applyFont="1" applyFill="1" applyBorder="1" applyAlignment="1">
      <alignment horizontal="center"/>
    </xf>
    <xf numFmtId="3" fontId="33" fillId="5" borderId="18" xfId="1" applyNumberFormat="1" applyFont="1" applyFill="1" applyBorder="1" applyAlignment="1">
      <alignment horizontal="center"/>
    </xf>
    <xf numFmtId="41" fontId="30" fillId="0" borderId="0" xfId="10" applyFont="1" applyAlignment="1">
      <alignment horizontal="left"/>
    </xf>
    <xf numFmtId="0" fontId="30" fillId="6" borderId="0" xfId="0" applyFont="1" applyFill="1" applyAlignment="1">
      <alignment horizontal="center"/>
    </xf>
    <xf numFmtId="41" fontId="30" fillId="0" borderId="0" xfId="10" applyFont="1" applyBorder="1"/>
    <xf numFmtId="178" fontId="30" fillId="5" borderId="0" xfId="0" applyNumberFormat="1" applyFont="1" applyFill="1"/>
    <xf numFmtId="2" fontId="30" fillId="0" borderId="0" xfId="0" quotePrefix="1" applyNumberFormat="1" applyFont="1"/>
    <xf numFmtId="10" fontId="30" fillId="5" borderId="0" xfId="2" applyNumberFormat="1" applyFont="1" applyFill="1" applyBorder="1"/>
    <xf numFmtId="188" fontId="30" fillId="5" borderId="0" xfId="0" applyNumberFormat="1" applyFont="1" applyFill="1"/>
    <xf numFmtId="164" fontId="30" fillId="5" borderId="0" xfId="1" applyFont="1" applyFill="1" applyBorder="1" applyAlignment="1">
      <alignment horizontal="left"/>
    </xf>
    <xf numFmtId="167" fontId="30" fillId="5" borderId="0" xfId="1" applyNumberFormat="1" applyFont="1" applyFill="1" applyBorder="1" applyAlignment="1">
      <alignment vertical="top"/>
    </xf>
    <xf numFmtId="166" fontId="30" fillId="5" borderId="0" xfId="2" applyNumberFormat="1" applyFont="1" applyFill="1" applyBorder="1" applyAlignment="1">
      <alignment vertical="top"/>
    </xf>
    <xf numFmtId="41" fontId="30" fillId="5" borderId="0" xfId="10" quotePrefix="1" applyFont="1" applyFill="1" applyBorder="1" applyAlignment="1">
      <alignment vertical="top"/>
    </xf>
    <xf numFmtId="3" fontId="30" fillId="0" borderId="23" xfId="0" applyNumberFormat="1" applyFont="1" applyBorder="1" applyAlignment="1">
      <alignment vertical="top"/>
    </xf>
    <xf numFmtId="3" fontId="30" fillId="0" borderId="2" xfId="0" quotePrefix="1" applyNumberFormat="1" applyFont="1" applyBorder="1" applyAlignment="1">
      <alignment vertical="top"/>
    </xf>
    <xf numFmtId="41" fontId="30" fillId="5" borderId="0" xfId="10" applyFont="1" applyFill="1" applyBorder="1" applyAlignment="1">
      <alignment vertical="top"/>
    </xf>
    <xf numFmtId="164" fontId="30" fillId="5" borderId="0" xfId="1" applyFont="1" applyFill="1" applyAlignment="1">
      <alignment vertical="top"/>
    </xf>
    <xf numFmtId="9" fontId="31" fillId="0" borderId="0" xfId="0" applyNumberFormat="1" applyFont="1"/>
    <xf numFmtId="2" fontId="39" fillId="0" borderId="0" xfId="0" applyNumberFormat="1" applyFont="1" applyAlignment="1">
      <alignment vertical="center"/>
    </xf>
    <xf numFmtId="2" fontId="44" fillId="0" borderId="0" xfId="0" applyNumberFormat="1" applyFont="1"/>
    <xf numFmtId="3" fontId="44" fillId="0" borderId="0" xfId="0" applyNumberFormat="1" applyFont="1"/>
    <xf numFmtId="17" fontId="32" fillId="9" borderId="0" xfId="0" quotePrefix="1" applyNumberFormat="1" applyFont="1" applyFill="1" applyAlignment="1">
      <alignment horizontal="right" vertical="top"/>
    </xf>
    <xf numFmtId="0" fontId="45" fillId="0" borderId="4" xfId="0" applyFont="1" applyBorder="1"/>
    <xf numFmtId="0" fontId="28" fillId="0" borderId="21" xfId="0" applyFont="1" applyBorder="1" applyAlignment="1">
      <alignment horizontal="center"/>
    </xf>
    <xf numFmtId="0" fontId="45" fillId="0" borderId="21" xfId="0" applyFont="1" applyBorder="1" applyAlignment="1">
      <alignment horizontal="center"/>
    </xf>
    <xf numFmtId="0" fontId="45" fillId="19" borderId="21" xfId="0" applyFont="1" applyFill="1" applyBorder="1" applyAlignment="1">
      <alignment horizontal="center"/>
    </xf>
    <xf numFmtId="0" fontId="42" fillId="0" borderId="0" xfId="0" applyFont="1"/>
    <xf numFmtId="0" fontId="28" fillId="0" borderId="16" xfId="0" applyFont="1" applyBorder="1"/>
    <xf numFmtId="0" fontId="28" fillId="0" borderId="14" xfId="0" applyFont="1" applyBorder="1" applyAlignment="1">
      <alignment horizontal="center"/>
    </xf>
    <xf numFmtId="10" fontId="28" fillId="0" borderId="14" xfId="0" applyNumberFormat="1" applyFont="1" applyBorder="1" applyAlignment="1">
      <alignment horizontal="center"/>
    </xf>
    <xf numFmtId="10" fontId="28" fillId="19" borderId="14" xfId="0" applyNumberFormat="1" applyFont="1" applyFill="1" applyBorder="1" applyAlignment="1">
      <alignment horizontal="center"/>
    </xf>
    <xf numFmtId="10" fontId="30" fillId="0" borderId="0" xfId="0" applyNumberFormat="1" applyFont="1"/>
    <xf numFmtId="10" fontId="30" fillId="0" borderId="4" xfId="0" applyNumberFormat="1" applyFont="1" applyBorder="1"/>
    <xf numFmtId="41" fontId="30" fillId="12" borderId="9" xfId="10" applyFont="1" applyFill="1" applyBorder="1"/>
    <xf numFmtId="0" fontId="30" fillId="12" borderId="3" xfId="0" applyFont="1" applyFill="1" applyBorder="1"/>
    <xf numFmtId="0" fontId="30" fillId="12" borderId="10" xfId="0" applyFont="1" applyFill="1" applyBorder="1"/>
    <xf numFmtId="41" fontId="30" fillId="12" borderId="11" xfId="10" applyFont="1" applyFill="1" applyBorder="1"/>
    <xf numFmtId="10" fontId="31" fillId="12" borderId="12" xfId="0" quotePrefix="1" applyNumberFormat="1" applyFont="1" applyFill="1" applyBorder="1"/>
    <xf numFmtId="41" fontId="30" fillId="12" borderId="13" xfId="10" applyFont="1" applyFill="1" applyBorder="1"/>
    <xf numFmtId="0" fontId="30" fillId="12" borderId="1" xfId="0" applyFont="1" applyFill="1" applyBorder="1"/>
    <xf numFmtId="10" fontId="31" fillId="12" borderId="14" xfId="0" quotePrefix="1" applyNumberFormat="1" applyFont="1" applyFill="1" applyBorder="1"/>
    <xf numFmtId="164" fontId="30" fillId="12" borderId="9" xfId="1" applyFont="1" applyFill="1" applyBorder="1" applyAlignment="1">
      <alignment horizontal="left"/>
    </xf>
    <xf numFmtId="0" fontId="30" fillId="12" borderId="11" xfId="0" applyFont="1" applyFill="1" applyBorder="1" applyAlignment="1">
      <alignment horizontal="left"/>
    </xf>
    <xf numFmtId="166" fontId="30" fillId="5" borderId="5" xfId="2" applyNumberFormat="1" applyFont="1" applyFill="1" applyBorder="1"/>
    <xf numFmtId="0" fontId="30" fillId="12" borderId="12" xfId="0" applyFont="1" applyFill="1" applyBorder="1"/>
    <xf numFmtId="166" fontId="30" fillId="5" borderId="6" xfId="2" applyNumberFormat="1" applyFont="1" applyFill="1" applyBorder="1"/>
    <xf numFmtId="10" fontId="30" fillId="5" borderId="5" xfId="2" applyNumberFormat="1" applyFont="1" applyFill="1" applyBorder="1" applyAlignment="1">
      <alignment horizontal="right"/>
    </xf>
    <xf numFmtId="41" fontId="30" fillId="12" borderId="12" xfId="10" applyFont="1" applyFill="1" applyBorder="1"/>
    <xf numFmtId="41" fontId="30" fillId="12" borderId="12" xfId="10" applyFont="1" applyFill="1" applyBorder="1" applyAlignment="1">
      <alignment horizontal="left"/>
    </xf>
    <xf numFmtId="166" fontId="30" fillId="12" borderId="22" xfId="2" applyNumberFormat="1" applyFont="1" applyFill="1" applyBorder="1"/>
    <xf numFmtId="0" fontId="30" fillId="12" borderId="13" xfId="0" applyFont="1" applyFill="1" applyBorder="1" applyAlignment="1">
      <alignment horizontal="left"/>
    </xf>
    <xf numFmtId="166" fontId="30" fillId="5" borderId="4" xfId="2" applyNumberFormat="1" applyFont="1" applyFill="1" applyBorder="1"/>
    <xf numFmtId="0" fontId="30" fillId="12" borderId="14" xfId="0" applyFont="1" applyFill="1" applyBorder="1"/>
    <xf numFmtId="0" fontId="28" fillId="16" borderId="16" xfId="0" applyFont="1" applyFill="1" applyBorder="1"/>
    <xf numFmtId="0" fontId="28" fillId="16" borderId="14" xfId="0" applyFont="1" applyFill="1" applyBorder="1" applyAlignment="1">
      <alignment horizontal="center"/>
    </xf>
    <xf numFmtId="10" fontId="28" fillId="16" borderId="14" xfId="0" applyNumberFormat="1" applyFont="1" applyFill="1" applyBorder="1" applyAlignment="1">
      <alignment horizontal="center"/>
    </xf>
    <xf numFmtId="0" fontId="46" fillId="0" borderId="0" xfId="0" applyFont="1" applyAlignment="1">
      <alignment vertical="center" wrapText="1"/>
    </xf>
    <xf numFmtId="183" fontId="33" fillId="0" borderId="0" xfId="0" applyNumberFormat="1" applyFont="1"/>
    <xf numFmtId="3" fontId="30" fillId="5" borderId="5" xfId="0" applyNumberFormat="1" applyFont="1" applyFill="1" applyBorder="1" applyAlignment="1">
      <alignment vertical="top"/>
    </xf>
    <xf numFmtId="41" fontId="30" fillId="0" borderId="0" xfId="10" quotePrefix="1" applyFont="1" applyFill="1" applyAlignment="1">
      <alignment vertical="top"/>
    </xf>
    <xf numFmtId="41" fontId="30" fillId="0" borderId="0" xfId="10" quotePrefix="1" applyFont="1" applyFill="1" applyBorder="1" applyAlignment="1">
      <alignment horizontal="left" vertical="top"/>
    </xf>
    <xf numFmtId="3" fontId="31" fillId="5" borderId="0" xfId="0" applyNumberFormat="1" applyFont="1" applyFill="1" applyAlignment="1">
      <alignment vertical="top"/>
    </xf>
    <xf numFmtId="41" fontId="30" fillId="5" borderId="1" xfId="10" applyFont="1" applyFill="1" applyBorder="1" applyAlignment="1">
      <alignment vertical="top"/>
    </xf>
    <xf numFmtId="0" fontId="30" fillId="5" borderId="1" xfId="0" applyFont="1" applyFill="1" applyBorder="1" applyAlignment="1">
      <alignment vertical="top"/>
    </xf>
    <xf numFmtId="3" fontId="30" fillId="5" borderId="1" xfId="0" applyNumberFormat="1" applyFont="1" applyFill="1" applyBorder="1" applyAlignment="1">
      <alignment vertical="top"/>
    </xf>
    <xf numFmtId="0" fontId="30" fillId="5" borderId="1" xfId="0" quotePrefix="1" applyFont="1" applyFill="1" applyBorder="1" applyAlignment="1">
      <alignment horizontal="left" vertical="top"/>
    </xf>
    <xf numFmtId="3" fontId="30" fillId="9" borderId="0" xfId="0" applyNumberFormat="1" applyFont="1" applyFill="1" applyAlignment="1">
      <alignment vertical="top"/>
    </xf>
    <xf numFmtId="41" fontId="30" fillId="9" borderId="0" xfId="10" applyFont="1" applyFill="1" applyAlignment="1">
      <alignment vertical="top"/>
    </xf>
    <xf numFmtId="0" fontId="30" fillId="5" borderId="0" xfId="0" applyFont="1" applyFill="1" applyAlignment="1">
      <alignment horizontal="left" vertical="top"/>
    </xf>
    <xf numFmtId="2" fontId="33" fillId="6" borderId="0" xfId="0" applyNumberFormat="1" applyFont="1" applyFill="1"/>
    <xf numFmtId="2" fontId="30" fillId="6" borderId="0" xfId="0" applyNumberFormat="1" applyFont="1" applyFill="1"/>
    <xf numFmtId="2" fontId="33" fillId="6" borderId="0" xfId="1" quotePrefix="1" applyNumberFormat="1" applyFont="1" applyFill="1"/>
    <xf numFmtId="41" fontId="31" fillId="5" borderId="0" xfId="10" quotePrefix="1" applyFont="1" applyFill="1" applyAlignment="1">
      <alignment vertical="top"/>
    </xf>
    <xf numFmtId="41" fontId="31" fillId="5" borderId="0" xfId="10" quotePrefix="1" applyFont="1" applyFill="1" applyBorder="1" applyAlignment="1">
      <alignment horizontal="left" vertical="top"/>
    </xf>
    <xf numFmtId="165" fontId="31" fillId="5" borderId="19" xfId="1" applyNumberFormat="1" applyFont="1" applyFill="1" applyBorder="1" applyAlignment="1">
      <alignment vertical="top"/>
    </xf>
    <xf numFmtId="0" fontId="30" fillId="8" borderId="0" xfId="0" applyFont="1" applyFill="1" applyAlignment="1">
      <alignment horizontal="center" vertical="center"/>
    </xf>
    <xf numFmtId="173" fontId="30" fillId="16" borderId="4" xfId="1" applyNumberFormat="1" applyFont="1" applyFill="1" applyBorder="1" applyAlignment="1">
      <alignment vertical="center"/>
    </xf>
    <xf numFmtId="0" fontId="32" fillId="9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right" vertical="center" wrapText="1"/>
    </xf>
    <xf numFmtId="172" fontId="31" fillId="0" borderId="1" xfId="0" applyNumberFormat="1" applyFont="1" applyBorder="1" applyAlignment="1">
      <alignment vertical="center"/>
    </xf>
    <xf numFmtId="172" fontId="30" fillId="0" borderId="1" xfId="0" applyNumberFormat="1" applyFont="1" applyBorder="1" applyAlignment="1">
      <alignment vertical="center"/>
    </xf>
    <xf numFmtId="172" fontId="30" fillId="6" borderId="0" xfId="0" applyNumberFormat="1" applyFont="1" applyFill="1" applyAlignment="1">
      <alignment vertical="center"/>
    </xf>
    <xf numFmtId="172" fontId="31" fillId="0" borderId="0" xfId="0" applyNumberFormat="1" applyFont="1" applyAlignment="1">
      <alignment vertical="center"/>
    </xf>
    <xf numFmtId="0" fontId="33" fillId="0" borderId="0" xfId="0" quotePrefix="1" applyFont="1" applyAlignment="1">
      <alignment vertical="center"/>
    </xf>
    <xf numFmtId="172" fontId="30" fillId="15" borderId="0" xfId="0" applyNumberFormat="1" applyFont="1" applyFill="1" applyAlignment="1">
      <alignment vertical="center"/>
    </xf>
    <xf numFmtId="0" fontId="30" fillId="6" borderId="0" xfId="0" applyFont="1" applyFill="1" applyAlignment="1">
      <alignment horizontal="right" wrapText="1"/>
    </xf>
    <xf numFmtId="3" fontId="30" fillId="6" borderId="0" xfId="0" applyNumberFormat="1" applyFont="1" applyFill="1" applyAlignment="1">
      <alignment horizontal="right" wrapText="1"/>
    </xf>
    <xf numFmtId="0" fontId="30" fillId="16" borderId="0" xfId="0" applyFont="1" applyFill="1" applyAlignment="1">
      <alignment horizontal="right" wrapText="1"/>
    </xf>
    <xf numFmtId="3" fontId="30" fillId="5" borderId="0" xfId="0" applyNumberFormat="1" applyFont="1" applyFill="1" applyAlignment="1">
      <alignment horizontal="right"/>
    </xf>
    <xf numFmtId="9" fontId="31" fillId="5" borderId="0" xfId="2" applyFont="1" applyFill="1" applyAlignment="1">
      <alignment horizontal="center"/>
    </xf>
    <xf numFmtId="41" fontId="30" fillId="0" borderId="0" xfId="10" quotePrefix="1" applyFont="1"/>
    <xf numFmtId="170" fontId="31" fillId="0" borderId="25" xfId="1" applyNumberFormat="1" applyFont="1" applyBorder="1"/>
    <xf numFmtId="165" fontId="30" fillId="0" borderId="24" xfId="1" applyNumberFormat="1" applyFont="1" applyFill="1" applyBorder="1"/>
    <xf numFmtId="165" fontId="30" fillId="0" borderId="25" xfId="1" applyNumberFormat="1" applyFont="1" applyFill="1" applyBorder="1"/>
    <xf numFmtId="167" fontId="31" fillId="0" borderId="25" xfId="1" applyNumberFormat="1" applyFont="1" applyFill="1" applyBorder="1"/>
    <xf numFmtId="167" fontId="31" fillId="0" borderId="25" xfId="1" applyNumberFormat="1" applyFont="1" applyBorder="1"/>
    <xf numFmtId="167" fontId="30" fillId="0" borderId="25" xfId="1" applyNumberFormat="1" applyFont="1" applyBorder="1"/>
    <xf numFmtId="165" fontId="31" fillId="0" borderId="24" xfId="1" applyNumberFormat="1" applyFont="1" applyBorder="1"/>
    <xf numFmtId="165" fontId="31" fillId="0" borderId="25" xfId="1" applyNumberFormat="1" applyFont="1" applyBorder="1"/>
    <xf numFmtId="165" fontId="31" fillId="0" borderId="25" xfId="1" applyNumberFormat="1" applyFont="1" applyFill="1" applyBorder="1"/>
    <xf numFmtId="0" fontId="30" fillId="6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right" vertical="center" wrapText="1"/>
    </xf>
    <xf numFmtId="3" fontId="30" fillId="5" borderId="24" xfId="0" applyNumberFormat="1" applyFont="1" applyFill="1" applyBorder="1"/>
    <xf numFmtId="3" fontId="30" fillId="5" borderId="25" xfId="0" applyNumberFormat="1" applyFont="1" applyFill="1" applyBorder="1"/>
    <xf numFmtId="165" fontId="30" fillId="5" borderId="0" xfId="1" applyNumberFormat="1" applyFont="1" applyFill="1" applyAlignment="1">
      <alignment horizontal="center"/>
    </xf>
    <xf numFmtId="165" fontId="30" fillId="5" borderId="0" xfId="0" applyNumberFormat="1" applyFont="1" applyFill="1" applyAlignment="1">
      <alignment horizontal="center"/>
    </xf>
    <xf numFmtId="3" fontId="35" fillId="0" borderId="1" xfId="0" applyNumberFormat="1" applyFont="1" applyBorder="1" applyAlignment="1">
      <alignment vertical="center"/>
    </xf>
    <xf numFmtId="0" fontId="37" fillId="5" borderId="0" xfId="0" applyFont="1" applyFill="1" applyAlignment="1">
      <alignment horizontal="center" vertical="top"/>
    </xf>
    <xf numFmtId="0" fontId="31" fillId="0" borderId="25" xfId="2" applyNumberFormat="1" applyFont="1" applyFill="1" applyBorder="1"/>
    <xf numFmtId="2" fontId="33" fillId="8" borderId="0" xfId="0" applyNumberFormat="1" applyFont="1" applyFill="1"/>
    <xf numFmtId="165" fontId="31" fillId="0" borderId="0" xfId="1" applyNumberFormat="1" applyFont="1" applyFill="1" applyBorder="1"/>
    <xf numFmtId="165" fontId="28" fillId="0" borderId="0" xfId="1" applyNumberFormat="1" applyFont="1" applyFill="1" applyBorder="1"/>
    <xf numFmtId="165" fontId="31" fillId="0" borderId="0" xfId="1" applyNumberFormat="1" applyFont="1" applyFill="1" applyBorder="1" applyAlignment="1">
      <alignment horizontal="right"/>
    </xf>
    <xf numFmtId="2" fontId="33" fillId="5" borderId="0" xfId="0" applyNumberFormat="1" applyFont="1" applyFill="1"/>
    <xf numFmtId="165" fontId="30" fillId="0" borderId="0" xfId="1" quotePrefix="1" applyNumberFormat="1" applyFont="1" applyFill="1" applyBorder="1" applyAlignment="1">
      <alignment horizontal="right"/>
    </xf>
    <xf numFmtId="41" fontId="30" fillId="5" borderId="0" xfId="0" applyNumberFormat="1" applyFont="1" applyFill="1" applyAlignment="1">
      <alignment vertical="top"/>
    </xf>
    <xf numFmtId="3" fontId="30" fillId="5" borderId="0" xfId="0" applyNumberFormat="1" applyFont="1" applyFill="1" applyAlignment="1">
      <alignment horizontal="right" vertical="top"/>
    </xf>
    <xf numFmtId="2" fontId="30" fillId="5" borderId="0" xfId="0" applyNumberFormat="1" applyFont="1" applyFill="1" applyAlignment="1">
      <alignment vertical="top"/>
    </xf>
    <xf numFmtId="0" fontId="30" fillId="5" borderId="19" xfId="0" applyFont="1" applyFill="1" applyBorder="1" applyAlignment="1">
      <alignment vertical="top"/>
    </xf>
    <xf numFmtId="2" fontId="30" fillId="5" borderId="0" xfId="0" applyNumberFormat="1" applyFont="1" applyFill="1"/>
    <xf numFmtId="165" fontId="30" fillId="5" borderId="0" xfId="1" applyNumberFormat="1" applyFont="1" applyFill="1" applyAlignment="1">
      <alignment vertical="top"/>
    </xf>
    <xf numFmtId="2" fontId="30" fillId="5" borderId="0" xfId="1" quotePrefix="1" applyNumberFormat="1" applyFont="1" applyFill="1"/>
    <xf numFmtId="166" fontId="30" fillId="5" borderId="1" xfId="2" applyNumberFormat="1" applyFont="1" applyFill="1" applyBorder="1" applyAlignment="1">
      <alignment vertical="top"/>
    </xf>
    <xf numFmtId="43" fontId="32" fillId="9" borderId="0" xfId="15" applyFont="1" applyFill="1" applyBorder="1" applyAlignment="1">
      <alignment horizontal="right" vertical="top" wrapText="1"/>
    </xf>
    <xf numFmtId="43" fontId="32" fillId="0" borderId="0" xfId="15" applyFont="1" applyFill="1" applyBorder="1" applyAlignment="1">
      <alignment horizontal="right" vertical="top" wrapText="1"/>
    </xf>
    <xf numFmtId="0" fontId="30" fillId="8" borderId="0" xfId="0" applyFont="1" applyFill="1" applyAlignment="1">
      <alignment horizontal="center"/>
    </xf>
    <xf numFmtId="0" fontId="30" fillId="8" borderId="0" xfId="0" applyFont="1" applyFill="1"/>
    <xf numFmtId="3" fontId="30" fillId="8" borderId="0" xfId="0" applyNumberFormat="1" applyFont="1" applyFill="1"/>
    <xf numFmtId="3" fontId="30" fillId="0" borderId="1" xfId="0" applyNumberFormat="1" applyFont="1" applyBorder="1"/>
    <xf numFmtId="43" fontId="32" fillId="9" borderId="0" xfId="15" applyFont="1" applyFill="1" applyBorder="1" applyAlignment="1">
      <alignment horizontal="center" vertical="top" wrapText="1"/>
    </xf>
    <xf numFmtId="3" fontId="30" fillId="0" borderId="11" xfId="0" applyNumberFormat="1" applyFont="1" applyBorder="1"/>
    <xf numFmtId="3" fontId="30" fillId="8" borderId="11" xfId="0" applyNumberFormat="1" applyFont="1" applyFill="1" applyBorder="1"/>
    <xf numFmtId="41" fontId="32" fillId="9" borderId="0" xfId="10" applyFont="1" applyFill="1" applyBorder="1" applyAlignment="1">
      <alignment horizontal="center" vertical="top" wrapText="1"/>
    </xf>
    <xf numFmtId="43" fontId="32" fillId="9" borderId="11" xfId="15" applyFont="1" applyFill="1" applyBorder="1" applyAlignment="1">
      <alignment horizontal="center" vertical="top" wrapText="1"/>
    </xf>
    <xf numFmtId="43" fontId="32" fillId="9" borderId="12" xfId="15" applyFont="1" applyFill="1" applyBorder="1" applyAlignment="1">
      <alignment horizontal="center" vertical="top" wrapText="1"/>
    </xf>
    <xf numFmtId="3" fontId="30" fillId="0" borderId="11" xfId="0" applyNumberFormat="1" applyFont="1" applyBorder="1" applyAlignment="1">
      <alignment horizontal="center"/>
    </xf>
    <xf numFmtId="3" fontId="30" fillId="8" borderId="12" xfId="0" applyNumberFormat="1" applyFont="1" applyFill="1" applyBorder="1" applyAlignment="1">
      <alignment horizontal="center"/>
    </xf>
    <xf numFmtId="3" fontId="30" fillId="0" borderId="13" xfId="0" applyNumberFormat="1" applyFont="1" applyBorder="1" applyAlignment="1">
      <alignment horizontal="center"/>
    </xf>
    <xf numFmtId="3" fontId="30" fillId="0" borderId="1" xfId="0" applyNumberFormat="1" applyFont="1" applyBorder="1" applyAlignment="1">
      <alignment horizontal="center"/>
    </xf>
    <xf numFmtId="3" fontId="30" fillId="8" borderId="14" xfId="0" applyNumberFormat="1" applyFont="1" applyFill="1" applyBorder="1" applyAlignment="1">
      <alignment horizontal="center"/>
    </xf>
    <xf numFmtId="41" fontId="32" fillId="9" borderId="11" xfId="10" applyFont="1" applyFill="1" applyBorder="1" applyAlignment="1">
      <alignment horizontal="center" vertical="top" wrapText="1"/>
    </xf>
    <xf numFmtId="3" fontId="30" fillId="8" borderId="12" xfId="0" applyNumberFormat="1" applyFont="1" applyFill="1" applyBorder="1"/>
    <xf numFmtId="3" fontId="30" fillId="0" borderId="13" xfId="0" applyNumberFormat="1" applyFont="1" applyBorder="1"/>
    <xf numFmtId="3" fontId="30" fillId="8" borderId="9" xfId="0" applyNumberFormat="1" applyFont="1" applyFill="1" applyBorder="1"/>
    <xf numFmtId="3" fontId="30" fillId="8" borderId="26" xfId="0" applyNumberFormat="1" applyFont="1" applyFill="1" applyBorder="1"/>
    <xf numFmtId="3" fontId="30" fillId="0" borderId="9" xfId="0" applyNumberFormat="1" applyFont="1" applyBorder="1" applyAlignment="1">
      <alignment horizontal="center"/>
    </xf>
    <xf numFmtId="3" fontId="30" fillId="0" borderId="3" xfId="0" applyNumberFormat="1" applyFont="1" applyBorder="1" applyAlignment="1">
      <alignment horizontal="center"/>
    </xf>
    <xf numFmtId="3" fontId="30" fillId="8" borderId="10" xfId="0" applyNumberFormat="1" applyFont="1" applyFill="1" applyBorder="1" applyAlignment="1">
      <alignment horizontal="center"/>
    </xf>
    <xf numFmtId="3" fontId="30" fillId="8" borderId="27" xfId="0" applyNumberFormat="1" applyFont="1" applyFill="1" applyBorder="1"/>
    <xf numFmtId="3" fontId="30" fillId="0" borderId="27" xfId="0" applyNumberFormat="1" applyFont="1" applyBorder="1"/>
    <xf numFmtId="0" fontId="32" fillId="9" borderId="15" xfId="0" applyFont="1" applyFill="1" applyBorder="1" applyAlignment="1">
      <alignment horizontal="center" vertical="center" wrapText="1"/>
    </xf>
    <xf numFmtId="0" fontId="32" fillId="9" borderId="0" xfId="0" applyFont="1" applyFill="1" applyAlignment="1">
      <alignment horizontal="center" vertical="center" wrapText="1"/>
    </xf>
    <xf numFmtId="0" fontId="32" fillId="9" borderId="15" xfId="0" applyFont="1" applyFill="1" applyBorder="1" applyAlignment="1">
      <alignment horizontal="right" vertical="center" wrapText="1"/>
    </xf>
    <xf numFmtId="169" fontId="31" fillId="0" borderId="25" xfId="1" applyNumberFormat="1" applyFont="1" applyBorder="1"/>
    <xf numFmtId="184" fontId="31" fillId="5" borderId="0" xfId="1" applyNumberFormat="1" applyFont="1" applyFill="1" applyBorder="1" applyAlignment="1">
      <alignment horizontal="center"/>
    </xf>
    <xf numFmtId="170" fontId="31" fillId="0" borderId="0" xfId="1" applyNumberFormat="1" applyFont="1" applyBorder="1"/>
    <xf numFmtId="0" fontId="33" fillId="6" borderId="0" xfId="0" applyFont="1" applyFill="1"/>
    <xf numFmtId="3" fontId="31" fillId="5" borderId="24" xfId="0" applyNumberFormat="1" applyFont="1" applyFill="1" applyBorder="1" applyAlignment="1">
      <alignment vertical="top"/>
    </xf>
    <xf numFmtId="3" fontId="31" fillId="5" borderId="25" xfId="0" applyNumberFormat="1" applyFont="1" applyFill="1" applyBorder="1" applyAlignment="1">
      <alignment vertical="top"/>
    </xf>
    <xf numFmtId="3" fontId="30" fillId="3" borderId="0" xfId="0" applyNumberFormat="1" applyFont="1" applyFill="1"/>
    <xf numFmtId="3" fontId="31" fillId="3" borderId="0" xfId="0" applyNumberFormat="1" applyFont="1" applyFill="1" applyAlignment="1">
      <alignment horizontal="center"/>
    </xf>
    <xf numFmtId="3" fontId="30" fillId="3" borderId="0" xfId="0" applyNumberFormat="1" applyFont="1" applyFill="1" applyAlignment="1">
      <alignment horizontal="center"/>
    </xf>
    <xf numFmtId="3" fontId="31" fillId="3" borderId="0" xfId="1" applyNumberFormat="1" applyFont="1" applyFill="1" applyBorder="1"/>
    <xf numFmtId="3" fontId="30" fillId="3" borderId="0" xfId="1" applyNumberFormat="1" applyFont="1" applyFill="1" applyBorder="1"/>
    <xf numFmtId="167" fontId="33" fillId="6" borderId="2" xfId="0" applyNumberFormat="1" applyFont="1" applyFill="1" applyBorder="1" applyAlignment="1">
      <alignment vertical="top"/>
    </xf>
    <xf numFmtId="0" fontId="33" fillId="6" borderId="2" xfId="0" applyFont="1" applyFill="1" applyBorder="1" applyAlignment="1">
      <alignment horizontal="center" vertical="top"/>
    </xf>
    <xf numFmtId="165" fontId="33" fillId="6" borderId="0" xfId="1" applyNumberFormat="1" applyFont="1" applyFill="1" applyBorder="1" applyAlignment="1">
      <alignment vertical="top"/>
    </xf>
    <xf numFmtId="0" fontId="30" fillId="5" borderId="1" xfId="0" applyFont="1" applyFill="1" applyBorder="1" applyAlignment="1">
      <alignment horizontal="center"/>
    </xf>
    <xf numFmtId="167" fontId="30" fillId="5" borderId="1" xfId="0" applyNumberFormat="1" applyFont="1" applyFill="1" applyBorder="1" applyAlignment="1">
      <alignment vertical="top"/>
    </xf>
    <xf numFmtId="167" fontId="31" fillId="5" borderId="0" xfId="1" applyNumberFormat="1" applyFont="1" applyFill="1" applyBorder="1" applyAlignment="1">
      <alignment horizontal="right" vertical="top"/>
    </xf>
    <xf numFmtId="167" fontId="30" fillId="5" borderId="0" xfId="0" applyNumberFormat="1" applyFont="1" applyFill="1" applyAlignment="1">
      <alignment horizontal="right" vertical="top"/>
    </xf>
    <xf numFmtId="165" fontId="31" fillId="5" borderId="0" xfId="1" applyNumberFormat="1" applyFont="1" applyFill="1" applyAlignment="1">
      <alignment vertical="top"/>
    </xf>
    <xf numFmtId="167" fontId="30" fillId="5" borderId="1" xfId="0" applyNumberFormat="1" applyFont="1" applyFill="1" applyBorder="1" applyAlignment="1">
      <alignment horizontal="right" vertical="top"/>
    </xf>
    <xf numFmtId="165" fontId="30" fillId="5" borderId="1" xfId="0" applyNumberFormat="1" applyFont="1" applyFill="1" applyBorder="1" applyAlignment="1">
      <alignment vertical="top"/>
    </xf>
    <xf numFmtId="0" fontId="30" fillId="5" borderId="0" xfId="0" applyFont="1" applyFill="1" applyAlignment="1">
      <alignment horizontal="right" vertical="top"/>
    </xf>
    <xf numFmtId="41" fontId="31" fillId="5" borderId="0" xfId="10" quotePrefix="1" applyFont="1" applyFill="1" applyBorder="1" applyAlignment="1">
      <alignment vertical="top"/>
    </xf>
    <xf numFmtId="0" fontId="31" fillId="5" borderId="1" xfId="0" applyFont="1" applyFill="1" applyBorder="1" applyAlignment="1">
      <alignment vertical="top"/>
    </xf>
    <xf numFmtId="167" fontId="30" fillId="5" borderId="1" xfId="1" applyNumberFormat="1" applyFont="1" applyFill="1" applyBorder="1" applyAlignment="1">
      <alignment vertical="top"/>
    </xf>
    <xf numFmtId="165" fontId="30" fillId="5" borderId="0" xfId="0" applyNumberFormat="1" applyFont="1" applyFill="1" applyAlignment="1">
      <alignment vertical="top"/>
    </xf>
    <xf numFmtId="165" fontId="30" fillId="5" borderId="1" xfId="1" applyNumberFormat="1" applyFont="1" applyFill="1" applyBorder="1" applyAlignment="1">
      <alignment vertical="top"/>
    </xf>
    <xf numFmtId="0" fontId="30" fillId="5" borderId="1" xfId="0" quotePrefix="1" applyFont="1" applyFill="1" applyBorder="1" applyAlignment="1">
      <alignment vertical="top"/>
    </xf>
    <xf numFmtId="165" fontId="31" fillId="0" borderId="28" xfId="1" applyNumberFormat="1" applyFont="1" applyBorder="1"/>
    <xf numFmtId="169" fontId="31" fillId="5" borderId="0" xfId="1" applyNumberFormat="1" applyFont="1" applyFill="1" applyBorder="1" applyAlignment="1">
      <alignment vertical="top"/>
    </xf>
    <xf numFmtId="165" fontId="30" fillId="0" borderId="0" xfId="1" applyNumberFormat="1" applyFont="1" applyFill="1" applyBorder="1" applyAlignment="1">
      <alignment horizontal="right"/>
    </xf>
    <xf numFmtId="0" fontId="31" fillId="0" borderId="0" xfId="0" applyFont="1"/>
    <xf numFmtId="165" fontId="31" fillId="0" borderId="0" xfId="1" applyNumberFormat="1" applyFont="1"/>
    <xf numFmtId="2" fontId="30" fillId="0" borderId="1" xfId="0" applyNumberFormat="1" applyFont="1" applyBorder="1"/>
    <xf numFmtId="165" fontId="30" fillId="0" borderId="1" xfId="0" applyNumberFormat="1" applyFont="1" applyBorder="1"/>
    <xf numFmtId="165" fontId="31" fillId="0" borderId="1" xfId="1" applyNumberFormat="1" applyFont="1" applyFill="1" applyBorder="1"/>
    <xf numFmtId="165" fontId="31" fillId="0" borderId="1" xfId="1" quotePrefix="1" applyNumberFormat="1" applyFont="1" applyBorder="1" applyAlignment="1">
      <alignment horizontal="right"/>
    </xf>
    <xf numFmtId="165" fontId="31" fillId="0" borderId="1" xfId="1" applyNumberFormat="1" applyFont="1" applyBorder="1"/>
    <xf numFmtId="165" fontId="30" fillId="0" borderId="25" xfId="1" applyNumberFormat="1" applyFont="1" applyBorder="1"/>
    <xf numFmtId="41" fontId="30" fillId="5" borderId="1" xfId="10" quotePrefix="1" applyFont="1" applyFill="1" applyBorder="1" applyAlignment="1">
      <alignment vertical="top"/>
    </xf>
    <xf numFmtId="1" fontId="31" fillId="5" borderId="0" xfId="0" applyNumberFormat="1" applyFont="1" applyFill="1" applyAlignment="1">
      <alignment horizontal="right"/>
    </xf>
    <xf numFmtId="0" fontId="31" fillId="5" borderId="6" xfId="0" applyFont="1" applyFill="1" applyBorder="1" applyAlignment="1">
      <alignment vertical="top"/>
    </xf>
    <xf numFmtId="10" fontId="30" fillId="0" borderId="0" xfId="2" applyNumberFormat="1" applyFont="1" applyAlignment="1">
      <alignment vertical="center"/>
    </xf>
    <xf numFmtId="0" fontId="47" fillId="20" borderId="0" xfId="0" applyFont="1" applyFill="1" applyAlignment="1">
      <alignment horizontal="center"/>
    </xf>
    <xf numFmtId="0" fontId="0" fillId="5" borderId="0" xfId="0" applyFill="1"/>
    <xf numFmtId="0" fontId="12" fillId="5" borderId="29" xfId="0" applyFont="1" applyFill="1" applyBorder="1"/>
    <xf numFmtId="0" fontId="12" fillId="5" borderId="32" xfId="0" applyFont="1" applyFill="1" applyBorder="1"/>
    <xf numFmtId="0" fontId="12" fillId="5" borderId="33" xfId="0" applyFont="1" applyFill="1" applyBorder="1"/>
    <xf numFmtId="165" fontId="12" fillId="21" borderId="29" xfId="1" applyNumberFormat="1" applyFont="1" applyFill="1" applyBorder="1"/>
    <xf numFmtId="165" fontId="0" fillId="5" borderId="29" xfId="1" applyNumberFormat="1" applyFont="1" applyFill="1" applyBorder="1" applyAlignment="1">
      <alignment horizontal="center" vertical="center"/>
    </xf>
    <xf numFmtId="165" fontId="49" fillId="5" borderId="30" xfId="1" applyNumberFormat="1" applyFont="1" applyFill="1" applyBorder="1" applyAlignment="1">
      <alignment horizontal="center" vertical="center"/>
    </xf>
    <xf numFmtId="165" fontId="0" fillId="5" borderId="30" xfId="1" applyNumberFormat="1" applyFont="1" applyFill="1" applyBorder="1" applyAlignment="1">
      <alignment horizontal="center" vertical="center"/>
    </xf>
    <xf numFmtId="165" fontId="0" fillId="5" borderId="31" xfId="1" applyNumberFormat="1" applyFont="1" applyFill="1" applyBorder="1" applyAlignment="1">
      <alignment horizontal="center" vertical="center"/>
    </xf>
    <xf numFmtId="165" fontId="49" fillId="0" borderId="0" xfId="1" applyNumberFormat="1" applyFont="1"/>
    <xf numFmtId="41" fontId="0" fillId="5" borderId="0" xfId="10" applyFont="1" applyFill="1" applyBorder="1" applyAlignment="1">
      <alignment horizontal="center"/>
    </xf>
    <xf numFmtId="165" fontId="0" fillId="5" borderId="34" xfId="1" applyNumberFormat="1" applyFont="1" applyFill="1" applyBorder="1"/>
    <xf numFmtId="165" fontId="0" fillId="5" borderId="0" xfId="1" applyNumberFormat="1" applyFont="1" applyFill="1" applyBorder="1"/>
    <xf numFmtId="165" fontId="0" fillId="5" borderId="36" xfId="1" applyNumberFormat="1" applyFont="1" applyFill="1" applyBorder="1"/>
    <xf numFmtId="165" fontId="0" fillId="5" borderId="0" xfId="0" applyNumberFormat="1" applyFill="1"/>
    <xf numFmtId="165" fontId="0" fillId="22" borderId="37" xfId="1" applyNumberFormat="1" applyFont="1" applyFill="1" applyBorder="1"/>
    <xf numFmtId="165" fontId="0" fillId="22" borderId="32" xfId="1" applyNumberFormat="1" applyFont="1" applyFill="1" applyBorder="1"/>
    <xf numFmtId="0" fontId="12" fillId="0" borderId="38" xfId="0" applyFont="1" applyBorder="1"/>
    <xf numFmtId="165" fontId="12" fillId="0" borderId="38" xfId="1" applyNumberFormat="1" applyFont="1" applyBorder="1"/>
    <xf numFmtId="41" fontId="49" fillId="5" borderId="0" xfId="10" applyFont="1" applyFill="1" applyBorder="1" applyAlignment="1">
      <alignment horizontal="center"/>
    </xf>
    <xf numFmtId="165" fontId="0" fillId="22" borderId="34" xfId="1" applyNumberFormat="1" applyFont="1" applyFill="1" applyBorder="1"/>
    <xf numFmtId="165" fontId="0" fillId="22" borderId="39" xfId="1" applyNumberFormat="1" applyFont="1" applyFill="1" applyBorder="1"/>
    <xf numFmtId="165" fontId="0" fillId="22" borderId="40" xfId="1" applyNumberFormat="1" applyFont="1" applyFill="1" applyBorder="1"/>
    <xf numFmtId="41" fontId="0" fillId="5" borderId="40" xfId="10" applyFont="1" applyFill="1" applyBorder="1" applyAlignment="1">
      <alignment horizontal="center"/>
    </xf>
    <xf numFmtId="165" fontId="0" fillId="5" borderId="39" xfId="1" applyNumberFormat="1" applyFont="1" applyFill="1" applyBorder="1"/>
    <xf numFmtId="165" fontId="0" fillId="5" borderId="40" xfId="1" applyNumberFormat="1" applyFont="1" applyFill="1" applyBorder="1"/>
    <xf numFmtId="165" fontId="0" fillId="5" borderId="42" xfId="1" applyNumberFormat="1" applyFont="1" applyFill="1" applyBorder="1"/>
    <xf numFmtId="0" fontId="12" fillId="0" borderId="0" xfId="0" applyFont="1"/>
    <xf numFmtId="165" fontId="12" fillId="0" borderId="0" xfId="1" applyNumberFormat="1" applyFont="1" applyBorder="1"/>
    <xf numFmtId="0" fontId="48" fillId="5" borderId="0" xfId="0" applyFont="1" applyFill="1" applyAlignment="1">
      <alignment horizontal="center" vertical="center" textRotation="90"/>
    </xf>
    <xf numFmtId="165" fontId="0" fillId="0" borderId="0" xfId="1" applyNumberFormat="1" applyFont="1" applyAlignment="1">
      <alignment horizontal="right"/>
    </xf>
    <xf numFmtId="166" fontId="49" fillId="0" borderId="0" xfId="0" applyNumberFormat="1" applyFont="1"/>
    <xf numFmtId="0" fontId="12" fillId="21" borderId="43" xfId="0" applyFont="1" applyFill="1" applyBorder="1"/>
    <xf numFmtId="165" fontId="12" fillId="21" borderId="43" xfId="1" applyNumberFormat="1" applyFont="1" applyFill="1" applyBorder="1"/>
    <xf numFmtId="41" fontId="0" fillId="0" borderId="0" xfId="10" applyFont="1"/>
    <xf numFmtId="164" fontId="30" fillId="5" borderId="0" xfId="1" applyFont="1" applyFill="1"/>
    <xf numFmtId="165" fontId="12" fillId="21" borderId="31" xfId="1" applyNumberFormat="1" applyFont="1" applyFill="1" applyBorder="1" applyAlignment="1">
      <alignment horizontal="center" vertical="center"/>
    </xf>
    <xf numFmtId="165" fontId="50" fillId="5" borderId="30" xfId="1" applyNumberFormat="1" applyFont="1" applyFill="1" applyBorder="1"/>
    <xf numFmtId="165" fontId="0" fillId="5" borderId="30" xfId="1" applyNumberFormat="1" applyFont="1" applyFill="1" applyBorder="1"/>
    <xf numFmtId="165" fontId="49" fillId="5" borderId="31" xfId="1" applyNumberFormat="1" applyFont="1" applyFill="1" applyBorder="1"/>
    <xf numFmtId="41" fontId="0" fillId="5" borderId="44" xfId="10" applyFont="1" applyFill="1" applyBorder="1" applyAlignment="1">
      <alignment horizontal="center"/>
    </xf>
    <xf numFmtId="165" fontId="0" fillId="5" borderId="37" xfId="1" applyNumberFormat="1" applyFont="1" applyFill="1" applyBorder="1"/>
    <xf numFmtId="165" fontId="0" fillId="5" borderId="32" xfId="1" applyNumberFormat="1" applyFont="1" applyFill="1" applyBorder="1"/>
    <xf numFmtId="165" fontId="0" fillId="5" borderId="33" xfId="1" applyNumberFormat="1" applyFont="1" applyFill="1" applyBorder="1"/>
    <xf numFmtId="41" fontId="0" fillId="5" borderId="35" xfId="10" applyFont="1" applyFill="1" applyBorder="1" applyAlignment="1">
      <alignment horizontal="center"/>
    </xf>
    <xf numFmtId="41" fontId="49" fillId="5" borderId="35" xfId="10" applyFont="1" applyFill="1" applyBorder="1" applyAlignment="1">
      <alignment horizontal="center"/>
    </xf>
    <xf numFmtId="165" fontId="0" fillId="23" borderId="45" xfId="1" applyNumberFormat="1" applyFont="1" applyFill="1" applyBorder="1"/>
    <xf numFmtId="189" fontId="0" fillId="5" borderId="0" xfId="0" applyNumberFormat="1" applyFill="1"/>
    <xf numFmtId="41" fontId="0" fillId="0" borderId="41" xfId="0" applyNumberFormat="1" applyBorder="1"/>
    <xf numFmtId="164" fontId="0" fillId="0" borderId="0" xfId="1" applyFont="1" applyAlignment="1">
      <alignment horizontal="right"/>
    </xf>
    <xf numFmtId="165" fontId="30" fillId="5" borderId="0" xfId="0" applyNumberFormat="1" applyFont="1" applyFill="1"/>
    <xf numFmtId="190" fontId="47" fillId="20" borderId="0" xfId="0" applyNumberFormat="1" applyFont="1" applyFill="1" applyAlignment="1">
      <alignment horizontal="left"/>
    </xf>
    <xf numFmtId="190" fontId="47" fillId="20" borderId="0" xfId="0" applyNumberFormat="1" applyFont="1" applyFill="1"/>
    <xf numFmtId="0" fontId="51" fillId="0" borderId="0" xfId="0" applyFont="1"/>
    <xf numFmtId="0" fontId="52" fillId="0" borderId="0" xfId="0" applyFont="1"/>
    <xf numFmtId="0" fontId="12" fillId="22" borderId="0" xfId="0" applyFont="1" applyFill="1"/>
    <xf numFmtId="191" fontId="0" fillId="22" borderId="0" xfId="0" applyNumberFormat="1" applyFill="1"/>
    <xf numFmtId="0" fontId="0" fillId="22" borderId="0" xfId="0" applyFill="1" applyAlignment="1">
      <alignment horizontal="left" indent="1"/>
    </xf>
    <xf numFmtId="165" fontId="49" fillId="22" borderId="0" xfId="1" applyNumberFormat="1" applyFont="1" applyFill="1"/>
    <xf numFmtId="0" fontId="0" fillId="22" borderId="0" xfId="0" applyFill="1"/>
    <xf numFmtId="0" fontId="49" fillId="22" borderId="0" xfId="0" applyFont="1" applyFill="1"/>
    <xf numFmtId="165" fontId="0" fillId="0" borderId="0" xfId="1" applyNumberFormat="1" applyFont="1" applyFill="1"/>
    <xf numFmtId="165" fontId="30" fillId="5" borderId="0" xfId="0" quotePrefix="1" applyNumberFormat="1" applyFont="1" applyFill="1" applyAlignment="1">
      <alignment vertical="top"/>
    </xf>
    <xf numFmtId="165" fontId="30" fillId="0" borderId="0" xfId="1" applyNumberFormat="1" applyFont="1" applyAlignment="1">
      <alignment vertical="top"/>
    </xf>
    <xf numFmtId="165" fontId="0" fillId="5" borderId="45" xfId="1" applyNumberFormat="1" applyFont="1" applyFill="1" applyBorder="1"/>
    <xf numFmtId="0" fontId="12" fillId="5" borderId="35" xfId="0" applyFont="1" applyFill="1" applyBorder="1" applyAlignment="1">
      <alignment horizontal="center" vertical="center"/>
    </xf>
    <xf numFmtId="0" fontId="12" fillId="5" borderId="41" xfId="0" applyFont="1" applyFill="1" applyBorder="1" applyAlignment="1">
      <alignment horizontal="center" vertical="center"/>
    </xf>
    <xf numFmtId="0" fontId="47" fillId="20" borderId="29" xfId="0" applyFont="1" applyFill="1" applyBorder="1"/>
    <xf numFmtId="165" fontId="12" fillId="23" borderId="45" xfId="1" applyNumberFormat="1" applyFont="1" applyFill="1" applyBorder="1"/>
    <xf numFmtId="3" fontId="33" fillId="8" borderId="0" xfId="0" applyNumberFormat="1" applyFont="1" applyFill="1"/>
    <xf numFmtId="186" fontId="30" fillId="0" borderId="0" xfId="0" applyNumberFormat="1" applyFont="1" applyAlignment="1">
      <alignment vertical="center"/>
    </xf>
    <xf numFmtId="40" fontId="30" fillId="0" borderId="4" xfId="1" applyNumberFormat="1" applyFont="1" applyBorder="1" applyAlignment="1">
      <alignment vertical="center"/>
    </xf>
    <xf numFmtId="0" fontId="30" fillId="5" borderId="9" xfId="0" applyFont="1" applyFill="1" applyBorder="1" applyAlignment="1">
      <alignment vertical="top"/>
    </xf>
    <xf numFmtId="165" fontId="30" fillId="5" borderId="3" xfId="1" applyNumberFormat="1" applyFont="1" applyFill="1" applyBorder="1" applyAlignment="1">
      <alignment vertical="top"/>
    </xf>
    <xf numFmtId="0" fontId="30" fillId="5" borderId="3" xfId="0" applyFont="1" applyFill="1" applyBorder="1" applyAlignment="1">
      <alignment vertical="top"/>
    </xf>
    <xf numFmtId="0" fontId="30" fillId="5" borderId="10" xfId="0" applyFont="1" applyFill="1" applyBorder="1" applyAlignment="1">
      <alignment vertical="top"/>
    </xf>
    <xf numFmtId="0" fontId="30" fillId="5" borderId="11" xfId="0" applyFont="1" applyFill="1" applyBorder="1" applyAlignment="1">
      <alignment vertical="top"/>
    </xf>
    <xf numFmtId="185" fontId="30" fillId="5" borderId="0" xfId="0" applyNumberFormat="1" applyFont="1" applyFill="1" applyAlignment="1">
      <alignment horizontal="center" vertical="top"/>
    </xf>
    <xf numFmtId="0" fontId="30" fillId="5" borderId="12" xfId="0" applyFont="1" applyFill="1" applyBorder="1" applyAlignment="1">
      <alignment vertical="top"/>
    </xf>
    <xf numFmtId="164" fontId="30" fillId="5" borderId="12" xfId="1" applyFont="1" applyFill="1" applyBorder="1" applyAlignment="1">
      <alignment vertical="top"/>
    </xf>
    <xf numFmtId="0" fontId="30" fillId="5" borderId="13" xfId="0" applyFont="1" applyFill="1" applyBorder="1" applyAlignment="1">
      <alignment vertical="top"/>
    </xf>
    <xf numFmtId="0" fontId="30" fillId="5" borderId="14" xfId="0" applyFont="1" applyFill="1" applyBorder="1" applyAlignment="1">
      <alignment vertical="top"/>
    </xf>
    <xf numFmtId="167" fontId="31" fillId="0" borderId="0" xfId="1" applyNumberFormat="1" applyFont="1" applyFill="1" applyBorder="1" applyAlignment="1">
      <alignment vertical="top"/>
    </xf>
    <xf numFmtId="165" fontId="33" fillId="5" borderId="1" xfId="0" applyNumberFormat="1" applyFont="1" applyFill="1" applyBorder="1" applyAlignment="1">
      <alignment vertical="top"/>
    </xf>
    <xf numFmtId="165" fontId="30" fillId="0" borderId="0" xfId="1" applyNumberFormat="1" applyFont="1" applyFill="1" applyBorder="1" applyAlignment="1">
      <alignment vertical="center"/>
    </xf>
    <xf numFmtId="165" fontId="30" fillId="0" borderId="0" xfId="1" applyNumberFormat="1" applyFont="1" applyAlignment="1">
      <alignment vertical="center"/>
    </xf>
    <xf numFmtId="178" fontId="30" fillId="0" borderId="0" xfId="0" applyNumberFormat="1" applyFont="1" applyAlignment="1">
      <alignment vertical="top"/>
    </xf>
    <xf numFmtId="192" fontId="30" fillId="0" borderId="0" xfId="0" applyNumberFormat="1" applyFont="1" applyAlignment="1">
      <alignment vertical="top"/>
    </xf>
    <xf numFmtId="43" fontId="32" fillId="9" borderId="12" xfId="15" applyFont="1" applyFill="1" applyBorder="1" applyAlignment="1">
      <alignment horizontal="center" vertical="center" wrapText="1"/>
    </xf>
    <xf numFmtId="3" fontId="28" fillId="6" borderId="0" xfId="1" applyNumberFormat="1" applyFont="1" applyFill="1" applyAlignment="1">
      <alignment vertical="top"/>
    </xf>
    <xf numFmtId="3" fontId="30" fillId="8" borderId="10" xfId="0" applyNumberFormat="1" applyFont="1" applyFill="1" applyBorder="1"/>
    <xf numFmtId="3" fontId="30" fillId="8" borderId="14" xfId="0" applyNumberFormat="1" applyFont="1" applyFill="1" applyBorder="1"/>
    <xf numFmtId="3" fontId="30" fillId="0" borderId="0" xfId="1" applyNumberFormat="1" applyFont="1" applyAlignment="1">
      <alignment vertical="top"/>
    </xf>
    <xf numFmtId="193" fontId="30" fillId="0" borderId="0" xfId="0" applyNumberFormat="1" applyFont="1" applyAlignment="1">
      <alignment vertical="top"/>
    </xf>
    <xf numFmtId="3" fontId="30" fillId="5" borderId="0" xfId="1" applyNumberFormat="1" applyFont="1" applyFill="1" applyAlignment="1">
      <alignment vertical="top"/>
    </xf>
    <xf numFmtId="3" fontId="31" fillId="5" borderId="0" xfId="1" applyNumberFormat="1" applyFont="1" applyFill="1" applyAlignment="1">
      <alignment vertical="top"/>
    </xf>
    <xf numFmtId="0" fontId="30" fillId="25" borderId="0" xfId="0" applyFont="1" applyFill="1" applyAlignment="1">
      <alignment horizontal="center" vertical="top"/>
    </xf>
    <xf numFmtId="3" fontId="30" fillId="25" borderId="0" xfId="0" applyNumberFormat="1" applyFont="1" applyFill="1" applyAlignment="1">
      <alignment vertical="top"/>
    </xf>
    <xf numFmtId="3" fontId="33" fillId="25" borderId="0" xfId="1" applyNumberFormat="1" applyFont="1" applyFill="1" applyAlignment="1">
      <alignment vertical="top"/>
    </xf>
    <xf numFmtId="3" fontId="31" fillId="25" borderId="0" xfId="1" applyNumberFormat="1" applyFont="1" applyFill="1" applyAlignment="1">
      <alignment vertical="top"/>
    </xf>
    <xf numFmtId="0" fontId="30" fillId="25" borderId="0" xfId="0" applyFont="1" applyFill="1" applyAlignment="1">
      <alignment vertical="top"/>
    </xf>
    <xf numFmtId="3" fontId="30" fillId="25" borderId="0" xfId="1" applyNumberFormat="1" applyFont="1" applyFill="1" applyAlignment="1">
      <alignment vertical="top"/>
    </xf>
    <xf numFmtId="0" fontId="32" fillId="9" borderId="0" xfId="0" applyFont="1" applyFill="1" applyAlignment="1">
      <alignment horizontal="center" vertical="top" wrapText="1"/>
    </xf>
    <xf numFmtId="0" fontId="30" fillId="5" borderId="0" xfId="0" applyFont="1" applyFill="1" applyAlignment="1">
      <alignment horizontal="center" vertical="center"/>
    </xf>
    <xf numFmtId="0" fontId="30" fillId="5" borderId="0" xfId="0" applyFont="1" applyFill="1" applyAlignment="1">
      <alignment horizontal="left" vertical="center"/>
    </xf>
    <xf numFmtId="0" fontId="33" fillId="5" borderId="0" xfId="0" applyFont="1" applyFill="1" applyAlignment="1">
      <alignment horizontal="left" vertical="center"/>
    </xf>
    <xf numFmtId="164" fontId="32" fillId="9" borderId="0" xfId="1" applyFont="1" applyFill="1" applyBorder="1" applyAlignment="1">
      <alignment horizontal="center" vertical="top"/>
    </xf>
    <xf numFmtId="0" fontId="30" fillId="0" borderId="3" xfId="0" applyFont="1" applyBorder="1" applyAlignment="1">
      <alignment horizontal="center" vertical="center" textRotation="90"/>
    </xf>
    <xf numFmtId="0" fontId="30" fillId="0" borderId="0" xfId="0" applyFont="1" applyAlignment="1">
      <alignment horizontal="center" vertical="center" textRotation="90"/>
    </xf>
    <xf numFmtId="0" fontId="32" fillId="9" borderId="0" xfId="0" applyFont="1" applyFill="1" applyAlignment="1">
      <alignment horizontal="right" wrapText="1"/>
    </xf>
    <xf numFmtId="0" fontId="12" fillId="3" borderId="0" xfId="0" applyFont="1" applyFill="1" applyAlignment="1">
      <alignment horizontal="center"/>
    </xf>
    <xf numFmtId="0" fontId="47" fillId="20" borderId="37" xfId="0" applyFont="1" applyFill="1" applyBorder="1" applyAlignment="1">
      <alignment horizontal="center"/>
    </xf>
    <xf numFmtId="0" fontId="47" fillId="20" borderId="32" xfId="0" applyFont="1" applyFill="1" applyBorder="1" applyAlignment="1">
      <alignment horizontal="center"/>
    </xf>
    <xf numFmtId="0" fontId="47" fillId="20" borderId="33" xfId="0" applyFont="1" applyFill="1" applyBorder="1" applyAlignment="1">
      <alignment horizontal="center"/>
    </xf>
    <xf numFmtId="0" fontId="12" fillId="5" borderId="39" xfId="0" applyFont="1" applyFill="1" applyBorder="1" applyAlignment="1">
      <alignment horizontal="center"/>
    </xf>
    <xf numFmtId="0" fontId="12" fillId="5" borderId="40" xfId="0" applyFont="1" applyFill="1" applyBorder="1" applyAlignment="1">
      <alignment horizontal="center"/>
    </xf>
    <xf numFmtId="0" fontId="12" fillId="5" borderId="42" xfId="0" applyFont="1" applyFill="1" applyBorder="1" applyAlignment="1">
      <alignment horizontal="center"/>
    </xf>
    <xf numFmtId="0" fontId="47" fillId="20" borderId="0" xfId="0" applyFont="1" applyFill="1" applyAlignment="1">
      <alignment horizontal="center"/>
    </xf>
    <xf numFmtId="0" fontId="12" fillId="5" borderId="44" xfId="0" applyFont="1" applyFill="1" applyBorder="1" applyAlignment="1">
      <alignment horizontal="center" vertical="center" textRotation="90"/>
    </xf>
    <xf numFmtId="0" fontId="12" fillId="5" borderId="35" xfId="0" applyFont="1" applyFill="1" applyBorder="1" applyAlignment="1">
      <alignment horizontal="center" vertical="center" textRotation="90"/>
    </xf>
    <xf numFmtId="0" fontId="12" fillId="5" borderId="41" xfId="0" applyFont="1" applyFill="1" applyBorder="1" applyAlignment="1">
      <alignment horizontal="center" vertical="center" textRotation="90"/>
    </xf>
    <xf numFmtId="0" fontId="48" fillId="5" borderId="34" xfId="0" applyFont="1" applyFill="1" applyBorder="1" applyAlignment="1">
      <alignment horizontal="center" vertical="center" textRotation="90"/>
    </xf>
    <xf numFmtId="0" fontId="48" fillId="5" borderId="35" xfId="0" applyFont="1" applyFill="1" applyBorder="1" applyAlignment="1">
      <alignment horizontal="center" vertical="center" textRotation="90"/>
    </xf>
    <xf numFmtId="0" fontId="48" fillId="5" borderId="41" xfId="0" applyFont="1" applyFill="1" applyBorder="1" applyAlignment="1">
      <alignment horizontal="center" vertical="center" textRotation="90"/>
    </xf>
    <xf numFmtId="0" fontId="47" fillId="24" borderId="29" xfId="0" applyFont="1" applyFill="1" applyBorder="1" applyAlignment="1">
      <alignment horizontal="center" vertical="center"/>
    </xf>
    <xf numFmtId="0" fontId="47" fillId="24" borderId="30" xfId="0" applyFont="1" applyFill="1" applyBorder="1" applyAlignment="1">
      <alignment horizontal="center" vertical="center"/>
    </xf>
    <xf numFmtId="0" fontId="47" fillId="24" borderId="31" xfId="0" applyFont="1" applyFill="1" applyBorder="1" applyAlignment="1">
      <alignment horizontal="center" vertical="center"/>
    </xf>
    <xf numFmtId="0" fontId="12" fillId="5" borderId="44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30" fillId="6" borderId="0" xfId="0" applyFont="1" applyFill="1" applyAlignment="1">
      <alignment horizontal="center" vertical="center"/>
    </xf>
    <xf numFmtId="43" fontId="32" fillId="9" borderId="26" xfId="15" applyFont="1" applyFill="1" applyBorder="1" applyAlignment="1">
      <alignment horizontal="center" vertical="center" wrapText="1"/>
    </xf>
    <xf numFmtId="43" fontId="32" fillId="9" borderId="27" xfId="15" applyFont="1" applyFill="1" applyBorder="1" applyAlignment="1">
      <alignment horizontal="center" vertical="center" wrapText="1"/>
    </xf>
    <xf numFmtId="43" fontId="32" fillId="9" borderId="11" xfId="15" applyFont="1" applyFill="1" applyBorder="1" applyAlignment="1">
      <alignment horizontal="center" vertical="center" wrapText="1"/>
    </xf>
    <xf numFmtId="43" fontId="32" fillId="9" borderId="0" xfId="15" applyFont="1" applyFill="1" applyBorder="1" applyAlignment="1">
      <alignment horizontal="center" vertical="center" wrapText="1"/>
    </xf>
    <xf numFmtId="43" fontId="32" fillId="9" borderId="12" xfId="15" applyFont="1" applyFill="1" applyBorder="1" applyAlignment="1">
      <alignment horizontal="center" vertical="center" wrapText="1"/>
    </xf>
    <xf numFmtId="43" fontId="32" fillId="9" borderId="0" xfId="15" applyFont="1" applyFill="1" applyBorder="1" applyAlignment="1">
      <alignment horizontal="right" vertical="top" wrapText="1"/>
    </xf>
    <xf numFmtId="43" fontId="32" fillId="9" borderId="9" xfId="15" applyFont="1" applyFill="1" applyBorder="1" applyAlignment="1">
      <alignment horizontal="center" vertical="center" wrapText="1"/>
    </xf>
    <xf numFmtId="43" fontId="32" fillId="9" borderId="3" xfId="15" applyFont="1" applyFill="1" applyBorder="1" applyAlignment="1">
      <alignment horizontal="center" vertical="center" wrapText="1"/>
    </xf>
    <xf numFmtId="43" fontId="32" fillId="9" borderId="10" xfId="15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top" wrapText="1"/>
    </xf>
    <xf numFmtId="3" fontId="30" fillId="6" borderId="0" xfId="1" applyNumberFormat="1" applyFont="1" applyFill="1" applyBorder="1" applyAlignment="1">
      <alignment horizontal="center"/>
    </xf>
    <xf numFmtId="3" fontId="30" fillId="6" borderId="0" xfId="0" applyNumberFormat="1" applyFont="1" applyFill="1" applyAlignment="1">
      <alignment horizontal="center"/>
    </xf>
    <xf numFmtId="0" fontId="32" fillId="9" borderId="0" xfId="0" applyFont="1" applyFill="1" applyAlignment="1">
      <alignment horizontal="right" vertical="top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3" fillId="16" borderId="1" xfId="0" applyFont="1" applyFill="1" applyBorder="1" applyAlignment="1">
      <alignment horizontal="center" vertical="top"/>
    </xf>
    <xf numFmtId="0" fontId="33" fillId="2" borderId="1" xfId="0" applyFont="1" applyFill="1" applyBorder="1" applyAlignment="1">
      <alignment horizontal="center" vertical="top"/>
    </xf>
    <xf numFmtId="0" fontId="33" fillId="17" borderId="1" xfId="0" applyFont="1" applyFill="1" applyBorder="1" applyAlignment="1">
      <alignment horizontal="center" vertical="top"/>
    </xf>
    <xf numFmtId="0" fontId="33" fillId="4" borderId="1" xfId="0" applyFont="1" applyFill="1" applyBorder="1" applyAlignment="1">
      <alignment horizontal="center" vertical="top"/>
    </xf>
  </cellXfs>
  <cellStyles count="24">
    <cellStyle name="Comma" xfId="1" builtinId="3"/>
    <cellStyle name="Comma [0]" xfId="10" builtinId="6"/>
    <cellStyle name="Comma [0] 2" xfId="13" xr:uid="{00000000-0005-0000-0000-000002000000}"/>
    <cellStyle name="Comma [0] 2 2" xfId="22" xr:uid="{00ED8780-A646-4AF5-9186-BA3C2D7E1A99}"/>
    <cellStyle name="Comma [0] 3" xfId="19" xr:uid="{B80148B4-3880-45A7-99E5-3F1D74A6D0D1}"/>
    <cellStyle name="Comma 2" xfId="4" xr:uid="{00000000-0005-0000-0000-000003000000}"/>
    <cellStyle name="Comma 2 2" xfId="16" xr:uid="{1CEC1EBF-A5F7-4E5B-AD4C-808C984A40D8}"/>
    <cellStyle name="Comma 3" xfId="6" xr:uid="{00000000-0005-0000-0000-000004000000}"/>
    <cellStyle name="Comma 3 2" xfId="17" xr:uid="{3BB330F7-CC74-4D44-9B25-F0FE6659A7B0}"/>
    <cellStyle name="Comma 4" xfId="7" xr:uid="{00000000-0005-0000-0000-000005000000}"/>
    <cellStyle name="Comma 4 2" xfId="18" xr:uid="{EFAF5DD1-8BBD-4C56-B9F5-97989061FF6E}"/>
    <cellStyle name="Comma 5" xfId="12" xr:uid="{00000000-0005-0000-0000-000006000000}"/>
    <cellStyle name="Comma 5 2" xfId="21" xr:uid="{91793CBC-F76A-4454-8E38-BDAA99025A6B}"/>
    <cellStyle name="Comma 6" xfId="15" xr:uid="{6774C324-EA08-4896-9E8E-5EADF0A837F6}"/>
    <cellStyle name="Normal" xfId="0" builtinId="0"/>
    <cellStyle name="Normal 2" xfId="3" xr:uid="{00000000-0005-0000-0000-000008000000}"/>
    <cellStyle name="Normal 3" xfId="5" xr:uid="{00000000-0005-0000-0000-000009000000}"/>
    <cellStyle name="Normal 4" xfId="8" xr:uid="{00000000-0005-0000-0000-00000A000000}"/>
    <cellStyle name="Normal 5" xfId="9" xr:uid="{00000000-0005-0000-0000-00000B000000}"/>
    <cellStyle name="Normal 6" xfId="11" xr:uid="{00000000-0005-0000-0000-00000C000000}"/>
    <cellStyle name="Normal 6 2" xfId="20" xr:uid="{9A71FBB0-4481-4523-8544-AFFB1CC9CC81}"/>
    <cellStyle name="Percent" xfId="2" builtinId="5"/>
    <cellStyle name="Percent 2" xfId="14" xr:uid="{00000000-0005-0000-0000-00000E000000}"/>
    <cellStyle name="Percent 2 2" xfId="23" xr:uid="{7E1341B1-E91E-49E8-90D2-A8FC23AE588D}"/>
  </cellStyles>
  <dxfs count="0"/>
  <tableStyles count="0" defaultTableStyle="TableStyleMedium2" defaultPivotStyle="PivotStyleLight16"/>
  <colors>
    <mruColors>
      <color rgb="FF0000FF"/>
      <color rgb="FFFFFF99"/>
      <color rgb="FF66FF33"/>
      <color rgb="FF66FF99"/>
      <color rgb="FF00FF00"/>
      <color rgb="FF006699"/>
      <color rgb="FFFFFFCC"/>
      <color rgb="FF33CCCC"/>
      <color rgb="FFF8F8F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externalLink" Target="externalLinks/externalLink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Laba</a:t>
            </a:r>
            <a:r>
              <a:rPr lang="en-US" b="1"/>
              <a:t> (Rugi)</a:t>
            </a:r>
            <a:r>
              <a:rPr lang="en-US" b="1" baseline="0"/>
              <a:t> Kotor, Operasi dan Bersih</a:t>
            </a:r>
            <a:endParaRPr lang="en-US" b="1"/>
          </a:p>
        </c:rich>
      </c:tx>
      <c:layout>
        <c:manualLayout>
          <c:xMode val="edge"/>
          <c:yMode val="edge"/>
          <c:x val="0.31827533828210125"/>
          <c:y val="2.05761316872427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1845664219508795"/>
          <c:y val="0.23349923852111074"/>
          <c:w val="0.7475336959691633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Laba Kotor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IncomeStatement!$C$13:$L$13</c:f>
              <c:numCache>
                <c:formatCode>#,##0</c:formatCode>
                <c:ptCount val="10"/>
                <c:pt idx="0">
                  <c:v>767150400</c:v>
                </c:pt>
                <c:pt idx="1">
                  <c:v>1157433408</c:v>
                </c:pt>
                <c:pt idx="2">
                  <c:v>1188322076.1599998</c:v>
                </c:pt>
                <c:pt idx="3">
                  <c:v>1219828517.6831999</c:v>
                </c:pt>
                <c:pt idx="4">
                  <c:v>1251965088.0368643</c:v>
                </c:pt>
                <c:pt idx="5">
                  <c:v>1212744389.7976012</c:v>
                </c:pt>
                <c:pt idx="6">
                  <c:v>1244739277.5935531</c:v>
                </c:pt>
                <c:pt idx="7">
                  <c:v>1277374063.1454244</c:v>
                </c:pt>
                <c:pt idx="8">
                  <c:v>1310661544.4083328</c:v>
                </c:pt>
                <c:pt idx="9">
                  <c:v>1344614775.2964993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0-4225-B4B7-D9415AA39BA6}"/>
            </c:ext>
          </c:extLst>
        </c:ser>
        <c:ser>
          <c:idx val="1"/>
          <c:order val="1"/>
          <c:tx>
            <c:v>Laba Operasi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IncomeStatement!$C$21:$L$21</c:f>
              <c:numCache>
                <c:formatCode>#,##0</c:formatCode>
                <c:ptCount val="10"/>
                <c:pt idx="0">
                  <c:v>467150400</c:v>
                </c:pt>
                <c:pt idx="1">
                  <c:v>882033408</c:v>
                </c:pt>
                <c:pt idx="2">
                  <c:v>907414076.15999985</c:v>
                </c:pt>
                <c:pt idx="3">
                  <c:v>933302357.68319988</c:v>
                </c:pt>
                <c:pt idx="4">
                  <c:v>959708404.83686423</c:v>
                </c:pt>
                <c:pt idx="5">
                  <c:v>914642572.93360114</c:v>
                </c:pt>
                <c:pt idx="6">
                  <c:v>940675424.39227307</c:v>
                </c:pt>
                <c:pt idx="7">
                  <c:v>967228932.88011873</c:v>
                </c:pt>
                <c:pt idx="8">
                  <c:v>994313511.53772104</c:v>
                </c:pt>
                <c:pt idx="9">
                  <c:v>1021939781.7684753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0-4225-B4B7-D9415AA39BA6}"/>
            </c:ext>
          </c:extLst>
        </c:ser>
        <c:ser>
          <c:idx val="2"/>
          <c:order val="2"/>
          <c:tx>
            <c:v>Laba Bersih</c:v>
          </c:tx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IncomeStatement!$C$7:$L$7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IncomeStatement!$C$26:$L$26</c:f>
              <c:numCache>
                <c:formatCode>#,##0</c:formatCode>
                <c:ptCount val="10"/>
                <c:pt idx="0">
                  <c:v>128124756</c:v>
                </c:pt>
                <c:pt idx="1">
                  <c:v>561290433.12</c:v>
                </c:pt>
                <c:pt idx="2">
                  <c:v>647799027.78239989</c:v>
                </c:pt>
                <c:pt idx="3">
                  <c:v>734759398.33804786</c:v>
                </c:pt>
                <c:pt idx="4">
                  <c:v>822180580.30480921</c:v>
                </c:pt>
                <c:pt idx="5">
                  <c:v>814031889.910905</c:v>
                </c:pt>
                <c:pt idx="6">
                  <c:v>837201127.70912302</c:v>
                </c:pt>
                <c:pt idx="7">
                  <c:v>860833750.26330566</c:v>
                </c:pt>
                <c:pt idx="8">
                  <c:v>884939025.26857173</c:v>
                </c:pt>
                <c:pt idx="9">
                  <c:v>909526405.77394295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8-4BF9-90A1-4B073CADB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60992"/>
        <c:axId val="198263552"/>
      </c:lineChart>
      <c:catAx>
        <c:axId val="19826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98263552"/>
        <c:crosses val="autoZero"/>
        <c:auto val="1"/>
        <c:lblAlgn val="ctr"/>
        <c:lblOffset val="100"/>
        <c:noMultiLvlLbl val="0"/>
      </c:catAx>
      <c:valAx>
        <c:axId val="1982635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Laba</a:t>
                </a:r>
                <a:r>
                  <a:rPr lang="en-US" baseline="0"/>
                  <a:t> (Rugi), </a:t>
                </a:r>
                <a:r>
                  <a:rPr lang="en-US"/>
                  <a:t>Rp x 1000</a:t>
                </a:r>
              </a:p>
            </c:rich>
          </c:tx>
          <c:layout>
            <c:manualLayout>
              <c:xMode val="edge"/>
              <c:yMode val="edge"/>
              <c:x val="1.258996760743253E-2"/>
              <c:y val="0.29253556268429409"/>
            </c:manualLayout>
          </c:layout>
          <c:overlay val="0"/>
        </c:title>
        <c:numFmt formatCode="#,##0_ ;[Red]\-#,##0\ " sourceLinked="0"/>
        <c:majorTickMark val="out"/>
        <c:minorTickMark val="none"/>
        <c:tickLblPos val="nextTo"/>
        <c:crossAx val="1982609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583267716535433"/>
          <c:y val="0.11998651210265383"/>
          <c:w val="0.76449313401042263"/>
          <c:h val="6.4301869673698192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id-ID" b="1"/>
              <a:t>Proyeksi arus kas bersih</a:t>
            </a:r>
            <a:endParaRPr lang="en-US" b="1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876958863554378"/>
          <c:y val="0.23349923852111074"/>
          <c:w val="0.77893918473460955"/>
          <c:h val="0.58752827192897195"/>
        </c:manualLayout>
      </c:layout>
      <c:lineChart>
        <c:grouping val="standard"/>
        <c:varyColors val="0"/>
        <c:ser>
          <c:idx val="0"/>
          <c:order val="0"/>
          <c:tx>
            <c:v>Operating</c:v>
          </c:tx>
          <c:spPr>
            <a:ln>
              <a:solidFill>
                <a:srgbClr val="00FF00"/>
              </a:solidFill>
            </a:ln>
          </c:spPr>
          <c:marker>
            <c:symbol val="circl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CashFlow!$B$16:$L$16</c:f>
              <c:numCache>
                <c:formatCode>#,##0_ ;\-#,##0\ </c:formatCode>
                <c:ptCount val="11"/>
                <c:pt idx="1">
                  <c:v>831314756</c:v>
                </c:pt>
                <c:pt idx="2">
                  <c:v>1192660433.1199999</c:v>
                </c:pt>
                <c:pt idx="3">
                  <c:v>1207349027.7823999</c:v>
                </c:pt>
                <c:pt idx="4">
                  <c:v>1222489398.338048</c:v>
                </c:pt>
                <c:pt idx="5">
                  <c:v>1238090580.3048091</c:v>
                </c:pt>
                <c:pt idx="6">
                  <c:v>1194031889.9109051</c:v>
                </c:pt>
                <c:pt idx="7">
                  <c:v>1217201127.7091229</c:v>
                </c:pt>
                <c:pt idx="8">
                  <c:v>1240833750.2633061</c:v>
                </c:pt>
                <c:pt idx="9">
                  <c:v>1264939025.2685714</c:v>
                </c:pt>
                <c:pt idx="10">
                  <c:v>1289526405.7739429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2-4489-9E2D-294F05CABC69}"/>
            </c:ext>
          </c:extLst>
        </c:ser>
        <c:ser>
          <c:idx val="1"/>
          <c:order val="1"/>
          <c:tx>
            <c:v>Investing</c:v>
          </c:tx>
          <c:spPr>
            <a:ln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CashFlow!$B$21:$L$21</c:f>
              <c:numCache>
                <c:formatCode>#,##0</c:formatCode>
                <c:ptCount val="11"/>
                <c:pt idx="0">
                  <c:v>4500000000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2-4489-9E2D-294F05CABC69}"/>
            </c:ext>
          </c:extLst>
        </c:ser>
        <c:ser>
          <c:idx val="2"/>
          <c:order val="2"/>
          <c:tx>
            <c:v>Financing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CashFlow!$B$28:$L$28</c:f>
              <c:numCache>
                <c:formatCode>#,##0_ ;\-#,##0\ </c:formatCode>
                <c:ptCount val="11"/>
                <c:pt idx="0">
                  <c:v>-3800000000</c:v>
                </c:pt>
                <c:pt idx="1">
                  <c:v>-919252378</c:v>
                </c:pt>
                <c:pt idx="2">
                  <c:v>-1064015216.5599999</c:v>
                </c:pt>
                <c:pt idx="3">
                  <c:v>-1165009319.44768</c:v>
                </c:pt>
                <c:pt idx="4">
                  <c:v>-1374489398.338048</c:v>
                </c:pt>
                <c:pt idx="5">
                  <c:v>-1390090580.3048091</c:v>
                </c:pt>
                <c:pt idx="6">
                  <c:v>-814031889.910905</c:v>
                </c:pt>
                <c:pt idx="7">
                  <c:v>-837201127.70912302</c:v>
                </c:pt>
                <c:pt idx="8">
                  <c:v>-860833750.26330566</c:v>
                </c:pt>
                <c:pt idx="9">
                  <c:v>-884939025.26857173</c:v>
                </c:pt>
                <c:pt idx="10">
                  <c:v>-909526405.77394295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2-4489-9E2D-294F05CABC69}"/>
            </c:ext>
          </c:extLst>
        </c:ser>
        <c:ser>
          <c:idx val="3"/>
          <c:order val="3"/>
          <c:tx>
            <c:v>Ending balance</c:v>
          </c:tx>
          <c:spPr>
            <a:ln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CashFlow!$B$8:$L$8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CashFlow!$B$32:$L$32</c:f>
              <c:numCache>
                <c:formatCode>#,##0_ ;\-#,##0\ </c:formatCode>
                <c:ptCount val="11"/>
                <c:pt idx="0">
                  <c:v>700000000</c:v>
                </c:pt>
                <c:pt idx="1">
                  <c:v>612062378</c:v>
                </c:pt>
                <c:pt idx="2">
                  <c:v>740707594.55999994</c:v>
                </c:pt>
                <c:pt idx="3">
                  <c:v>783047302.89471984</c:v>
                </c:pt>
                <c:pt idx="4">
                  <c:v>631047302.89471984</c:v>
                </c:pt>
                <c:pt idx="5">
                  <c:v>479047302.89471984</c:v>
                </c:pt>
                <c:pt idx="6">
                  <c:v>859047302.89471996</c:v>
                </c:pt>
                <c:pt idx="7">
                  <c:v>1239047302.8947198</c:v>
                </c:pt>
                <c:pt idx="8">
                  <c:v>1619047302.8947203</c:v>
                </c:pt>
                <c:pt idx="9">
                  <c:v>1999047302.8947201</c:v>
                </c:pt>
                <c:pt idx="10">
                  <c:v>2379047302.8947201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2-4489-9E2D-294F05CAB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52352"/>
        <c:axId val="198454656"/>
      </c:lineChart>
      <c:catAx>
        <c:axId val="19845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Tahun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txPr>
          <a:bodyPr rot="0" vert="horz"/>
          <a:lstStyle/>
          <a:p>
            <a:pPr>
              <a:defRPr/>
            </a:pPr>
            <a:endParaRPr lang="en-US"/>
          </a:p>
        </c:txPr>
        <c:crossAx val="198454656"/>
        <c:crosses val="autoZero"/>
        <c:auto val="1"/>
        <c:lblAlgn val="ctr"/>
        <c:lblOffset val="100"/>
        <c:noMultiLvlLbl val="0"/>
      </c:catAx>
      <c:valAx>
        <c:axId val="19845465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Proyeksi arus kas bersih (Rp, juta)</a:t>
                </a:r>
              </a:p>
            </c:rich>
          </c:tx>
          <c:overlay val="0"/>
        </c:title>
        <c:numFmt formatCode="#,##0_ ;[Red]\-#,##0\ " sourceLinked="0"/>
        <c:majorTickMark val="out"/>
        <c:minorTickMark val="none"/>
        <c:tickLblPos val="nextTo"/>
        <c:crossAx val="198452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1280783450455788E-2"/>
          <c:y val="0.11998651210265383"/>
          <c:w val="0.88176784353568716"/>
          <c:h val="6.337837399954635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900" b="0">
          <a:latin typeface="+mn-lt"/>
          <a:ea typeface="Segoe UI" pitchFamily="34" charset="0"/>
          <a:cs typeface="Segoe UI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Total Dividen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Dividen!$F$9:$F$18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Dividen!$O$9:$O$18</c:f>
              <c:numCache>
                <c:formatCode>#,##0</c:formatCode>
                <c:ptCount val="10"/>
                <c:pt idx="0">
                  <c:v>267466559</c:v>
                </c:pt>
                <c:pt idx="1">
                  <c:v>389219859.17999995</c:v>
                </c:pt>
                <c:pt idx="2">
                  <c:v>424529812.80711997</c:v>
                </c:pt>
                <c:pt idx="3">
                  <c:v>265359463.00536793</c:v>
                </c:pt>
                <c:pt idx="4">
                  <c:v>34045706.207580626</c:v>
                </c:pt>
                <c:pt idx="5">
                  <c:v>331705674.2738381</c:v>
                </c:pt>
                <c:pt idx="6">
                  <c:v>626250041.70142007</c:v>
                </c:pt>
                <c:pt idx="7">
                  <c:v>917587120.47755456</c:v>
                </c:pt>
                <c:pt idx="8">
                  <c:v>1205622801.3092113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2-4690-91ED-17D9BC75F5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PEMA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Dividen!$S$7</c:f>
              <c:strCache>
                <c:ptCount val="1"/>
                <c:pt idx="0">
                  <c:v>PEMA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Dividen!$S$9:$S$18</c:f>
              <c:numCache>
                <c:formatCode>_(* #,##0_);_(* \(#,##0\);_(* "-"??_);_(@_)</c:formatCode>
                <c:ptCount val="10"/>
                <c:pt idx="0">
                  <c:v>51249902.400000006</c:v>
                </c:pt>
                <c:pt idx="1">
                  <c:v>224516173.24800003</c:v>
                </c:pt>
                <c:pt idx="2">
                  <c:v>362767455.55814391</c:v>
                </c:pt>
                <c:pt idx="3">
                  <c:v>587807518.67043829</c:v>
                </c:pt>
                <c:pt idx="4">
                  <c:v>657744464.24384737</c:v>
                </c:pt>
                <c:pt idx="5">
                  <c:v>651225511.92872405</c:v>
                </c:pt>
                <c:pt idx="6">
                  <c:v>669760902.16729844</c:v>
                </c:pt>
                <c:pt idx="7">
                  <c:v>688667000.2106446</c:v>
                </c:pt>
                <c:pt idx="8">
                  <c:v>707951220.21485746</c:v>
                </c:pt>
                <c:pt idx="9">
                  <c:v>727621124.61915445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1-499D-890E-721149210F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Besaran Dividen Mitra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Dividen!$T$7</c:f>
              <c:strCache>
                <c:ptCount val="1"/>
                <c:pt idx="0">
                  <c:v>Mitra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Dividen!$T$9:$T$18</c:f>
              <c:numCache>
                <c:formatCode>_(* #,##0_);_(* \(#,##0\);_(* "-"??_);_(@_)</c:formatCode>
                <c:ptCount val="10"/>
                <c:pt idx="0">
                  <c:v>12812475.599999994</c:v>
                </c:pt>
                <c:pt idx="1">
                  <c:v>56129043.311999977</c:v>
                </c:pt>
                <c:pt idx="2">
                  <c:v>90691863.889535964</c:v>
                </c:pt>
                <c:pt idx="3">
                  <c:v>146951879.66760957</c:v>
                </c:pt>
                <c:pt idx="4">
                  <c:v>164436116.06096184</c:v>
                </c:pt>
                <c:pt idx="5">
                  <c:v>162806377.98218095</c:v>
                </c:pt>
                <c:pt idx="6">
                  <c:v>167440225.54182458</c:v>
                </c:pt>
                <c:pt idx="7">
                  <c:v>172166750.05266106</c:v>
                </c:pt>
                <c:pt idx="8">
                  <c:v>176987805.05371428</c:v>
                </c:pt>
                <c:pt idx="9">
                  <c:v>181905281.15478849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D-4B36-B16F-44448D713C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(Rp, ribu)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EquityChange!$Q$7</c:f>
              <c:strCache>
                <c:ptCount val="1"/>
                <c:pt idx="0">
                  <c:v>Nilai Perusahaan (Rp, ribu)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EquityChange!$P$8:$P$17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EquityChange!$Q$8:$Q$17</c:f>
              <c:numCache>
                <c:formatCode>#,##0_ ;[Red]\-#,##0\ </c:formatCode>
                <c:ptCount val="10"/>
                <c:pt idx="0">
                  <c:v>4564062378</c:v>
                </c:pt>
                <c:pt idx="1">
                  <c:v>4844707594.5600004</c:v>
                </c:pt>
                <c:pt idx="2">
                  <c:v>5039047302.8947201</c:v>
                </c:pt>
                <c:pt idx="3">
                  <c:v>5039047302.8947201</c:v>
                </c:pt>
                <c:pt idx="4">
                  <c:v>5039047302.8947201</c:v>
                </c:pt>
                <c:pt idx="5">
                  <c:v>5039047302.8947201</c:v>
                </c:pt>
                <c:pt idx="6">
                  <c:v>5039047302.8947201</c:v>
                </c:pt>
                <c:pt idx="7">
                  <c:v>5039047302.8947201</c:v>
                </c:pt>
                <c:pt idx="8">
                  <c:v>5039047302.8947201</c:v>
                </c:pt>
                <c:pt idx="9">
                  <c:v>5039047302.8947201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E-48A0-A590-0C4FA30E08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Perubahan Nilai Perusahaan </a:t>
            </a:r>
          </a:p>
          <a:p>
            <a:pPr algn="l">
              <a:defRPr sz="1400" b="0" cap="none">
                <a:solidFill>
                  <a:schemeClr val="tx1"/>
                </a:solidFill>
              </a:defRPr>
            </a:pPr>
            <a:r>
              <a:rPr lang="en-US" sz="1200" b="0" cap="none" baseline="0">
                <a:solidFill>
                  <a:schemeClr val="tx1"/>
                </a:solidFill>
              </a:rPr>
              <a:t> (%)</a:t>
            </a:r>
          </a:p>
        </c:rich>
      </c:tx>
      <c:layout>
        <c:manualLayout>
          <c:xMode val="edge"/>
          <c:yMode val="edge"/>
          <c:x val="2.3915435228130732E-2"/>
          <c:y val="2.342606149341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120" normalizeH="0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5708333333333333"/>
          <c:w val="0.93888888888888888"/>
          <c:h val="0.574667906095071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EquityChange!$R$7</c:f>
              <c:strCache>
                <c:ptCount val="1"/>
                <c:pt idx="0">
                  <c:v>Persen perubahan,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EquityChange!$P$8:$P$17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EquityChange!$R$8:$R$17</c:f>
              <c:numCache>
                <c:formatCode>#,##0.0_ ;[Red]\-#,##0.0\ </c:formatCode>
                <c:ptCount val="10"/>
                <c:pt idx="1">
                  <c:v>6.1490223690365262</c:v>
                </c:pt>
                <c:pt idx="2">
                  <c:v>4.0113815858141528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3-4820-83ED-1B8EA58E6D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59096080"/>
        <c:axId val="658838384"/>
      </c:barChart>
      <c:catAx>
        <c:axId val="65909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baseline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cap="none" baseline="0">
                    <a:solidFill>
                      <a:schemeClr val="tx1"/>
                    </a:solidFill>
                  </a:rPr>
                  <a:t>Tahun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baseline="0">
                  <a:solidFill>
                    <a:schemeClr val="tx1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658838384"/>
        <c:crosses val="autoZero"/>
        <c:auto val="1"/>
        <c:lblAlgn val="ctr"/>
        <c:lblOffset val="100"/>
        <c:noMultiLvlLbl val="0"/>
      </c:catAx>
      <c:valAx>
        <c:axId val="658838384"/>
        <c:scaling>
          <c:orientation val="minMax"/>
        </c:scaling>
        <c:delete val="1"/>
        <c:axPos val="l"/>
        <c:numFmt formatCode="#,##0_ ;[Red]\-#,##0\ " sourceLinked="1"/>
        <c:majorTickMark val="none"/>
        <c:minorTickMark val="none"/>
        <c:tickLblPos val="nextTo"/>
        <c:crossAx val="65909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0</xdr:rowOff>
    </xdr:from>
    <xdr:to>
      <xdr:col>12</xdr:col>
      <xdr:colOff>0</xdr:colOff>
      <xdr:row>65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9</xdr:col>
      <xdr:colOff>6350</xdr:colOff>
      <xdr:row>68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525780</xdr:colOff>
      <xdr:row>8</xdr:row>
      <xdr:rowOff>57150</xdr:rowOff>
    </xdr:from>
    <xdr:to>
      <xdr:col>25</xdr:col>
      <xdr:colOff>620486</xdr:colOff>
      <xdr:row>33</xdr:row>
      <xdr:rowOff>97972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770F7-AFA3-4068-8751-5BA009E0D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8</xdr:row>
      <xdr:rowOff>63499</xdr:rowOff>
    </xdr:from>
    <xdr:to>
      <xdr:col>32</xdr:col>
      <xdr:colOff>402772</xdr:colOff>
      <xdr:row>33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5F014-C642-4E0F-8AF1-A82A67CE9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566056</xdr:colOff>
      <xdr:row>8</xdr:row>
      <xdr:rowOff>32657</xdr:rowOff>
    </xdr:from>
    <xdr:to>
      <xdr:col>39</xdr:col>
      <xdr:colOff>304799</xdr:colOff>
      <xdr:row>33</xdr:row>
      <xdr:rowOff>119743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C09759-8B50-45E9-A454-78BEEB461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624840</xdr:colOff>
      <xdr:row>8</xdr:row>
      <xdr:rowOff>0</xdr:rowOff>
    </xdr:from>
    <xdr:to>
      <xdr:col>23</xdr:col>
      <xdr:colOff>38100</xdr:colOff>
      <xdr:row>29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69FFC-4545-4DF7-9ED8-E663AE25A5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7</xdr:row>
      <xdr:rowOff>106680</xdr:rowOff>
    </xdr:from>
    <xdr:to>
      <xdr:col>29</xdr:col>
      <xdr:colOff>121920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BF1475-8B58-438B-ACD8-EA4329376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123825</xdr:rowOff>
    </xdr:from>
    <xdr:to>
      <xdr:col>4</xdr:col>
      <xdr:colOff>600075</xdr:colOff>
      <xdr:row>9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CxnSpPr/>
      </xdr:nvCxnSpPr>
      <xdr:spPr>
        <a:xfrm flipV="1">
          <a:off x="2962275" y="1019175"/>
          <a:ext cx="1190625" cy="2190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10</xdr:row>
      <xdr:rowOff>95250</xdr:rowOff>
    </xdr:from>
    <xdr:to>
      <xdr:col>4</xdr:col>
      <xdr:colOff>600075</xdr:colOff>
      <xdr:row>13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CxnSpPr/>
      </xdr:nvCxnSpPr>
      <xdr:spPr>
        <a:xfrm>
          <a:off x="2990850" y="1390650"/>
          <a:ext cx="1162050" cy="3524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15</xdr:row>
      <xdr:rowOff>95250</xdr:rowOff>
    </xdr:from>
    <xdr:to>
      <xdr:col>5</xdr:col>
      <xdr:colOff>9525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CxnSpPr/>
      </xdr:nvCxnSpPr>
      <xdr:spPr>
        <a:xfrm>
          <a:off x="2933700" y="2057400"/>
          <a:ext cx="1314450" cy="7715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16</xdr:row>
      <xdr:rowOff>123825</xdr:rowOff>
    </xdr:from>
    <xdr:to>
      <xdr:col>4</xdr:col>
      <xdr:colOff>657225</xdr:colOff>
      <xdr:row>28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CxnSpPr/>
      </xdr:nvCxnSpPr>
      <xdr:spPr>
        <a:xfrm>
          <a:off x="2914650" y="2400300"/>
          <a:ext cx="1295400" cy="15049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11</xdr:row>
      <xdr:rowOff>76200</xdr:rowOff>
    </xdr:from>
    <xdr:to>
      <xdr:col>3</xdr:col>
      <xdr:colOff>552450</xdr:colOff>
      <xdr:row>21</xdr:row>
      <xdr:rowOff>85725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3114675" y="1638300"/>
          <a:ext cx="523875" cy="13430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9525</xdr:colOff>
      <xdr:row>24</xdr:row>
      <xdr:rowOff>0</xdr:rowOff>
    </xdr:from>
    <xdr:to>
      <xdr:col>3</xdr:col>
      <xdr:colOff>533400</xdr:colOff>
      <xdr:row>44</xdr:row>
      <xdr:rowOff>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/>
      </xdr:nvSpPr>
      <xdr:spPr>
        <a:xfrm>
          <a:off x="3095625" y="3295650"/>
          <a:ext cx="523875" cy="2667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omersil\Project%20Minyak%20Goreng\Pra%20Fs\2022%2009%2026%20FFS%20Cooking%20Oil%20plant%20(New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omersil\Project%20Minyak%20Goreng\2022%2007%2027%20FFS%20Cooking%20Oil%20plant_rev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%20sheet\21.%20Peternakan%20ayam%20petelur\FFS\2023%2008%2028%20FFS%20peternakan%20ayam%20petelur-Case%201_pakan%20dibeli.xlsx" TargetMode="External"/><Relationship Id="rId1" Type="http://schemas.openxmlformats.org/officeDocument/2006/relationships/externalLinkPath" Target="file:///D:\Working%20sheet\21.%20Peternakan%20ayam%20petelur\FFS\2023%2008%2028%20FFS%20peternakan%20ayam%20petelur-Case%201_pakan%20dibeli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OneDrive\Desktop\2023%2012%2009%20PFS%20Truk%20Skema%20Pembiayaan%20Eksternal%208%25.xlsx" TargetMode="External"/><Relationship Id="rId1" Type="http://schemas.openxmlformats.org/officeDocument/2006/relationships/externalLinkPath" Target="2023%2012%2009%20PFS%20Truk%20Skema%20Pembiayaan%20Eksternal%208%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6.%20PEMA\05.%20Various%20Project\19.%20Minyak%20goreng\Users\denny1909\Dropbox\SPI\VPC%20Gas%2066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EA\Kapal%20Tangkap%20Beku\2023%2010%2010%20PFS%20Kapal%20Tangkap%20Beku.xlsx" TargetMode="External"/><Relationship Id="rId1" Type="http://schemas.openxmlformats.org/officeDocument/2006/relationships/externalLinkPath" Target="file:///C:\DEA\Kapal%20Tangkap%20Beku\2023%2010%2010%20PFS%20Kapal%20Tangkap%20Bek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ProjectValuation"/>
      <sheetName val="Sensitivity"/>
      <sheetName val="IncomeStatement"/>
      <sheetName val="CashFlow"/>
      <sheetName val="CapitalInvestment"/>
      <sheetName val="WorkingCapital"/>
      <sheetName val="BEP"/>
      <sheetName val="Market"/>
      <sheetName val="Prod.&amp;SalesRevenue"/>
      <sheetName val="CostStructure"/>
      <sheetName val="COGS"/>
      <sheetName val="VarProdCost"/>
      <sheetName val="PlantOVH"/>
      <sheetName val="SG&amp;A"/>
      <sheetName val="Salary"/>
      <sheetName val="LoanInterest"/>
      <sheetName val="Amortization"/>
      <sheetName val="Referensi"/>
      <sheetName val="Lamp P&amp;L"/>
      <sheetName val="Lamp CF"/>
      <sheetName val="Sheet1"/>
      <sheetName val="Cost"/>
    </sheetNames>
    <sheetDataSet>
      <sheetData sheetId="0">
        <row r="1">
          <cell r="A1" t="str">
            <v>COOKING OIL FROM PALM OIL PLANT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ProjectValuation"/>
      <sheetName val="Sensitivity"/>
      <sheetName val="IncomeStatement"/>
      <sheetName val="CashFlow"/>
      <sheetName val="CapitalInvestment"/>
      <sheetName val="WorkingCapital"/>
      <sheetName val="BEP"/>
      <sheetName val="Prod.&amp;SalesRevenue"/>
      <sheetName val="COGS"/>
      <sheetName val="VarProdCost"/>
      <sheetName val="PlantOVH"/>
      <sheetName val="SG&amp;A"/>
      <sheetName val="Salary"/>
      <sheetName val="LoanInterest"/>
      <sheetName val="Amortization"/>
      <sheetName val="Referensi"/>
      <sheetName val="Lamp P&amp;L"/>
      <sheetName val="Lamp CF"/>
      <sheetName val="Theory"/>
      <sheetName val="FullCosting"/>
      <sheetName val="Costs&amp;Expenses"/>
      <sheetName val="CostChecking"/>
      <sheetName val="Sheet1"/>
      <sheetName val="Cost"/>
    </sheetNames>
    <sheetDataSet>
      <sheetData sheetId="0">
        <row r="1">
          <cell r="A1" t="str">
            <v>COOKING OIL FROM PALM OIL PLANT</v>
          </cell>
        </row>
        <row r="2">
          <cell r="A2" t="str">
            <v>Financial Pre-Feasibility Study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umsi"/>
      <sheetName val="ProjectValuation"/>
      <sheetName val="IncomeStatement"/>
      <sheetName val="CapitalInvestment"/>
      <sheetName val="WorkingCapital"/>
      <sheetName val="CostOfCapital"/>
      <sheetName val="Market"/>
      <sheetName val="LifeCycle"/>
      <sheetName val="Revenue"/>
      <sheetName val="CostStructure"/>
      <sheetName val="COGS"/>
      <sheetName val="VariableCost"/>
      <sheetName val="PlantOVH"/>
      <sheetName val="SG&amp;A"/>
      <sheetName val="Salary"/>
      <sheetName val="Depreciation"/>
      <sheetName val="Reference"/>
    </sheetNames>
    <sheetDataSet>
      <sheetData sheetId="0"/>
      <sheetData sheetId="1"/>
      <sheetData sheetId="2">
        <row r="4">
          <cell r="A4" t="str">
            <v>Case-1: Pakan dibeli</v>
          </cell>
        </row>
      </sheetData>
      <sheetData sheetId="3"/>
      <sheetData sheetId="4">
        <row r="2">
          <cell r="A2" t="str">
            <v>Financial Pre-Feasibility Study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Rincian Tarif Toll"/>
      <sheetName val="ProjectValuation"/>
      <sheetName val="IncomeStatement"/>
      <sheetName val="CashFlow"/>
      <sheetName val="Variable Cost"/>
      <sheetName val="OVH Expenses"/>
      <sheetName val="Revenue Thermoking"/>
      <sheetName val="Revenue"/>
      <sheetName val="Dividen"/>
      <sheetName val="EquityChange"/>
      <sheetName val="CapitalInvestment"/>
      <sheetName val="WorkingCapital"/>
      <sheetName val="CostofCapital"/>
      <sheetName val="FreightCost"/>
      <sheetName val="Salary"/>
      <sheetName val="LoanInterest"/>
      <sheetName val="Depreciation"/>
      <sheetName val="Sensitivity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</sheetNames>
    <sheetDataSet>
      <sheetData sheetId="0">
        <row r="1">
          <cell r="A1" t="str">
            <v>Bisnis Truk Thermoking</v>
          </cell>
        </row>
        <row r="2">
          <cell r="A2" t="str">
            <v>Financial Pre-Feasibility Study</v>
          </cell>
        </row>
        <row r="20">
          <cell r="E20">
            <v>15000</v>
          </cell>
        </row>
        <row r="30">
          <cell r="E30">
            <v>8</v>
          </cell>
        </row>
        <row r="31">
          <cell r="E31">
            <v>5</v>
          </cell>
        </row>
        <row r="32">
          <cell r="E3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C10">
            <v>2660000000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PC"/>
    </sheetNames>
    <sheetDataSet>
      <sheetData sheetId="0" refreshError="1">
        <row r="28">
          <cell r="O28">
            <v>165.8725230666667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"/>
      <sheetName val="ProjectValuation(JO)"/>
      <sheetName val="Sensitivity"/>
      <sheetName val="OVH Expenses"/>
      <sheetName val="IncomeStatement"/>
      <sheetName val="CashFlow"/>
      <sheetName val="EquityChange"/>
      <sheetName val="CapitalInvestment"/>
      <sheetName val="WorkingCapital"/>
      <sheetName val="CostofCapital"/>
      <sheetName val="Variable Cost"/>
      <sheetName val="Cost of Goods Sold"/>
      <sheetName val="Revenue"/>
      <sheetName val="SG&amp;A"/>
      <sheetName val="FreightCost"/>
      <sheetName val="Salary"/>
      <sheetName val="LoanInterest"/>
      <sheetName val="Amortization"/>
      <sheetName val="TransportReference"/>
      <sheetName val="Lamp P&amp;L"/>
      <sheetName val="Lamp CF"/>
      <sheetName val="Theory"/>
      <sheetName val="FullCosting"/>
      <sheetName val="Costs&amp;Expenses"/>
      <sheetName val="CostChecking"/>
      <sheetName val="Cost"/>
      <sheetName val="Supply schedule"/>
      <sheetName val="SOTK"/>
      <sheetName val="Timeline"/>
      <sheetName val="Sheet1"/>
    </sheetNames>
    <sheetDataSet>
      <sheetData sheetId="0">
        <row r="1">
          <cell r="A1" t="str">
            <v>Bisnis Kapal Tangkap Beku</v>
          </cell>
        </row>
        <row r="2">
          <cell r="A2" t="str">
            <v>Financial Pre-Feasibility Study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O94"/>
  <sheetViews>
    <sheetView showGridLines="0" zoomScaleNormal="100" workbookViewId="0">
      <pane ySplit="4" topLeftCell="A5" activePane="bottomLeft" state="frozen"/>
      <selection pane="bottomLeft" activeCell="E36" sqref="E36"/>
    </sheetView>
  </sheetViews>
  <sheetFormatPr defaultColWidth="10.625" defaultRowHeight="11.25" x14ac:dyDescent="0.2"/>
  <cols>
    <col min="1" max="1" width="21.125" style="202" customWidth="1"/>
    <col min="2" max="2" width="9.125" style="202" customWidth="1"/>
    <col min="3" max="3" width="11" style="213" bestFit="1" customWidth="1"/>
    <col min="4" max="4" width="9.5" style="213" customWidth="1"/>
    <col min="5" max="5" width="15.625" style="211" bestFit="1" customWidth="1"/>
    <col min="6" max="6" width="18.25" style="202" customWidth="1"/>
    <col min="7" max="7" width="9.625" style="202" customWidth="1"/>
    <col min="8" max="8" width="11.875" style="202" bestFit="1" customWidth="1"/>
    <col min="9" max="9" width="14.75" style="202" customWidth="1"/>
    <col min="10" max="10" width="9.25" style="393" bestFit="1" customWidth="1"/>
    <col min="11" max="16384" width="10.625" style="202"/>
  </cols>
  <sheetData>
    <row r="1" spans="1:14" x14ac:dyDescent="0.2">
      <c r="A1" s="201" t="s">
        <v>1153</v>
      </c>
      <c r="B1" s="201"/>
      <c r="F1" s="204"/>
      <c r="G1" s="204"/>
      <c r="H1" s="204"/>
      <c r="I1" s="204"/>
    </row>
    <row r="2" spans="1:14" x14ac:dyDescent="0.2">
      <c r="A2" s="201" t="s">
        <v>563</v>
      </c>
      <c r="B2" s="201"/>
      <c r="H2" s="156"/>
      <c r="J2" s="408"/>
      <c r="K2" s="211"/>
      <c r="L2" s="211"/>
      <c r="M2" s="211"/>
      <c r="N2" s="211"/>
    </row>
    <row r="3" spans="1:14" x14ac:dyDescent="0.2">
      <c r="A3" s="203" t="s">
        <v>562</v>
      </c>
      <c r="B3" s="203"/>
      <c r="J3" s="408"/>
      <c r="K3" s="211"/>
      <c r="L3" s="211"/>
      <c r="M3" s="211"/>
      <c r="N3" s="211"/>
    </row>
    <row r="4" spans="1:14" x14ac:dyDescent="0.2">
      <c r="C4" s="212"/>
      <c r="D4" s="212"/>
    </row>
    <row r="5" spans="1:14" x14ac:dyDescent="0.2">
      <c r="C5" s="212"/>
      <c r="D5" s="212"/>
    </row>
    <row r="6" spans="1:14" x14ac:dyDescent="0.2">
      <c r="A6" s="534" t="s">
        <v>564</v>
      </c>
      <c r="B6" s="534"/>
      <c r="C6" s="533"/>
      <c r="D6" s="533"/>
    </row>
    <row r="7" spans="1:14" x14ac:dyDescent="0.2">
      <c r="A7" s="584" t="s">
        <v>1129</v>
      </c>
      <c r="B7" s="584"/>
      <c r="C7" s="582"/>
      <c r="D7" s="582"/>
      <c r="E7" s="560">
        <v>2</v>
      </c>
      <c r="F7" s="202" t="s">
        <v>1130</v>
      </c>
      <c r="H7" s="156"/>
      <c r="I7" s="156"/>
    </row>
    <row r="8" spans="1:14" x14ac:dyDescent="0.2">
      <c r="A8" s="214" t="s">
        <v>1076</v>
      </c>
      <c r="B8" s="214"/>
      <c r="E8" s="560">
        <v>12</v>
      </c>
      <c r="F8" s="156" t="s">
        <v>565</v>
      </c>
      <c r="H8" s="156"/>
      <c r="I8" s="156"/>
    </row>
    <row r="9" spans="1:14" x14ac:dyDescent="0.2">
      <c r="A9" s="214" t="s">
        <v>1112</v>
      </c>
      <c r="B9" s="214"/>
      <c r="E9" s="561">
        <v>5</v>
      </c>
      <c r="F9" s="156" t="s">
        <v>1115</v>
      </c>
      <c r="H9" s="156"/>
      <c r="I9" s="156"/>
    </row>
    <row r="10" spans="1:14" x14ac:dyDescent="0.2">
      <c r="E10" s="561">
        <v>7</v>
      </c>
      <c r="F10" s="156" t="s">
        <v>1116</v>
      </c>
      <c r="G10" s="217"/>
    </row>
    <row r="11" spans="1:14" x14ac:dyDescent="0.2">
      <c r="A11" s="213" t="s">
        <v>1007</v>
      </c>
      <c r="B11" s="213"/>
      <c r="E11" s="654">
        <f>E7*E12*E13</f>
        <v>8</v>
      </c>
      <c r="F11" s="202" t="s">
        <v>1077</v>
      </c>
    </row>
    <row r="12" spans="1:14" x14ac:dyDescent="0.2">
      <c r="A12" s="210" t="s">
        <v>1206</v>
      </c>
      <c r="E12" s="561">
        <v>2</v>
      </c>
      <c r="F12" s="202" t="s">
        <v>1077</v>
      </c>
    </row>
    <row r="13" spans="1:14" x14ac:dyDescent="0.2">
      <c r="A13" s="210" t="s">
        <v>1207</v>
      </c>
      <c r="E13" s="561">
        <v>2</v>
      </c>
      <c r="F13" s="202" t="s">
        <v>1077</v>
      </c>
      <c r="G13" s="156"/>
      <c r="K13" s="211"/>
    </row>
    <row r="14" spans="1:14" x14ac:dyDescent="0.2">
      <c r="A14" s="215" t="s">
        <v>1078</v>
      </c>
      <c r="B14" s="215"/>
      <c r="E14" s="562">
        <v>20000</v>
      </c>
      <c r="F14" s="216" t="s">
        <v>1080</v>
      </c>
      <c r="G14" s="468"/>
      <c r="K14" s="204"/>
    </row>
    <row r="15" spans="1:14" x14ac:dyDescent="0.2">
      <c r="A15" s="213"/>
      <c r="B15" s="213"/>
      <c r="E15" s="556">
        <f>E14*E11</f>
        <v>160000</v>
      </c>
      <c r="F15" s="202" t="s">
        <v>1079</v>
      </c>
      <c r="G15" s="468"/>
      <c r="K15" s="204"/>
    </row>
    <row r="16" spans="1:14" x14ac:dyDescent="0.2">
      <c r="A16" s="213"/>
      <c r="B16" s="213"/>
      <c r="E16" s="556">
        <f>E15*E8</f>
        <v>1920000</v>
      </c>
      <c r="F16" s="202" t="s">
        <v>685</v>
      </c>
      <c r="G16" s="468"/>
    </row>
    <row r="17" spans="1:15" x14ac:dyDescent="0.2">
      <c r="A17" s="213" t="s">
        <v>1107</v>
      </c>
      <c r="B17" s="213"/>
      <c r="E17" s="556">
        <v>2493</v>
      </c>
      <c r="F17" s="202" t="s">
        <v>1108</v>
      </c>
      <c r="G17" s="219"/>
    </row>
    <row r="18" spans="1:15" x14ac:dyDescent="0.2">
      <c r="A18" s="214" t="s">
        <v>1081</v>
      </c>
      <c r="B18" s="214"/>
      <c r="E18" s="561">
        <v>1800</v>
      </c>
      <c r="F18" s="156" t="s">
        <v>372</v>
      </c>
      <c r="H18" s="168"/>
      <c r="I18" s="168"/>
      <c r="J18" s="388"/>
      <c r="K18" s="168"/>
      <c r="L18" s="168"/>
      <c r="M18" s="168"/>
      <c r="N18" s="168"/>
      <c r="O18" s="168"/>
    </row>
    <row r="19" spans="1:15" x14ac:dyDescent="0.2">
      <c r="A19" s="214" t="s">
        <v>1122</v>
      </c>
      <c r="B19" s="214"/>
      <c r="E19" s="561">
        <v>6800</v>
      </c>
      <c r="F19" s="156" t="s">
        <v>1009</v>
      </c>
      <c r="H19" s="168"/>
      <c r="I19" s="168"/>
      <c r="J19" s="388"/>
      <c r="K19" s="168"/>
      <c r="L19" s="168"/>
      <c r="M19" s="168"/>
      <c r="N19" s="168"/>
      <c r="O19" s="168"/>
    </row>
    <row r="20" spans="1:15" x14ac:dyDescent="0.2">
      <c r="A20" s="214" t="s">
        <v>1003</v>
      </c>
      <c r="B20" s="214"/>
      <c r="E20" s="561">
        <v>15000</v>
      </c>
      <c r="F20" s="202" t="s">
        <v>1004</v>
      </c>
      <c r="H20" s="168"/>
      <c r="I20" s="168"/>
      <c r="J20" s="388"/>
      <c r="K20" s="168"/>
      <c r="L20" s="168"/>
      <c r="M20" s="168"/>
      <c r="N20" s="168"/>
      <c r="O20" s="168"/>
    </row>
    <row r="21" spans="1:15" x14ac:dyDescent="0.2">
      <c r="A21" s="214" t="s">
        <v>567</v>
      </c>
      <c r="B21" s="214"/>
      <c r="E21" s="561">
        <v>10</v>
      </c>
      <c r="F21" s="156" t="s">
        <v>566</v>
      </c>
      <c r="H21" s="168"/>
      <c r="I21" s="168"/>
      <c r="J21" s="388"/>
      <c r="K21" s="168"/>
      <c r="L21" s="168"/>
      <c r="M21" s="168"/>
      <c r="N21" s="168"/>
      <c r="O21" s="168"/>
    </row>
    <row r="22" spans="1:15" x14ac:dyDescent="0.2">
      <c r="A22" s="214" t="s">
        <v>1186</v>
      </c>
      <c r="B22" s="214"/>
      <c r="E22" s="644">
        <v>1800000000</v>
      </c>
      <c r="F22" s="156" t="s">
        <v>1182</v>
      </c>
      <c r="H22" s="168"/>
      <c r="I22" s="168"/>
      <c r="J22" s="388"/>
      <c r="K22" s="168"/>
      <c r="L22" s="168"/>
      <c r="M22" s="168"/>
      <c r="N22" s="168"/>
      <c r="O22" s="168"/>
    </row>
    <row r="23" spans="1:15" x14ac:dyDescent="0.2">
      <c r="A23" s="532" t="s">
        <v>568</v>
      </c>
      <c r="B23" s="532"/>
      <c r="C23" s="533"/>
      <c r="D23" s="533"/>
      <c r="E23" s="220"/>
      <c r="F23" s="219"/>
      <c r="I23" s="471"/>
      <c r="J23" s="171"/>
      <c r="K23" s="168"/>
      <c r="L23" s="168"/>
      <c r="M23" s="168"/>
      <c r="N23" s="168"/>
      <c r="O23" s="168"/>
    </row>
    <row r="24" spans="1:15" x14ac:dyDescent="0.2">
      <c r="A24" s="214" t="s">
        <v>569</v>
      </c>
      <c r="B24" s="214"/>
      <c r="E24" s="555">
        <f>SUM(E25:E26)</f>
        <v>4500000000</v>
      </c>
      <c r="F24" s="202" t="s">
        <v>420</v>
      </c>
      <c r="I24" s="468"/>
      <c r="J24" s="168"/>
      <c r="K24" s="168"/>
      <c r="L24" s="168"/>
      <c r="M24" s="168"/>
      <c r="N24" s="168"/>
      <c r="O24" s="168"/>
    </row>
    <row r="25" spans="1:15" x14ac:dyDescent="0.2">
      <c r="A25" s="214" t="s">
        <v>570</v>
      </c>
      <c r="B25" s="214"/>
      <c r="E25" s="556">
        <f>CapitalInvestment!C7</f>
        <v>3800000000</v>
      </c>
      <c r="F25" s="202" t="s">
        <v>386</v>
      </c>
      <c r="I25" s="168"/>
      <c r="J25" s="168"/>
      <c r="K25" s="168"/>
      <c r="L25" s="168"/>
      <c r="M25" s="168"/>
      <c r="N25" s="168"/>
      <c r="O25" s="168"/>
    </row>
    <row r="26" spans="1:15" x14ac:dyDescent="0.2">
      <c r="A26" s="214" t="s">
        <v>571</v>
      </c>
      <c r="B26" s="214"/>
      <c r="E26" s="556">
        <f>CapitalInvestment!C8</f>
        <v>700000000</v>
      </c>
      <c r="F26" s="202" t="s">
        <v>389</v>
      </c>
      <c r="I26" s="168"/>
      <c r="J26" s="168"/>
      <c r="K26" s="168"/>
      <c r="L26" s="168"/>
      <c r="M26" s="168"/>
      <c r="N26" s="168"/>
      <c r="O26" s="168"/>
    </row>
    <row r="27" spans="1:15" x14ac:dyDescent="0.2">
      <c r="A27" s="214" t="s">
        <v>1249</v>
      </c>
      <c r="B27" s="214"/>
      <c r="E27" s="556">
        <f>CapitalInvestment!C11</f>
        <v>323190000</v>
      </c>
      <c r="F27" s="202" t="s">
        <v>518</v>
      </c>
      <c r="I27" s="168"/>
      <c r="J27" s="168"/>
      <c r="K27" s="168"/>
      <c r="L27" s="168"/>
      <c r="M27" s="168"/>
      <c r="N27" s="168"/>
      <c r="O27" s="168"/>
    </row>
    <row r="28" spans="1:15" x14ac:dyDescent="0.2">
      <c r="A28" s="214" t="s">
        <v>572</v>
      </c>
      <c r="B28" s="214"/>
      <c r="E28" s="557">
        <v>70</v>
      </c>
      <c r="F28" s="202" t="s">
        <v>519</v>
      </c>
      <c r="I28" s="168"/>
      <c r="J28" s="168"/>
      <c r="K28" s="168"/>
      <c r="L28" s="168"/>
      <c r="M28" s="168"/>
      <c r="N28" s="168"/>
      <c r="O28" s="168"/>
    </row>
    <row r="29" spans="1:15" x14ac:dyDescent="0.2">
      <c r="A29" s="214" t="s">
        <v>573</v>
      </c>
      <c r="B29" s="214"/>
      <c r="E29" s="556">
        <f>100-E28</f>
        <v>30</v>
      </c>
      <c r="F29" s="202" t="s">
        <v>60</v>
      </c>
      <c r="I29" s="168"/>
      <c r="J29" s="168"/>
      <c r="K29" s="168"/>
      <c r="L29" s="168"/>
      <c r="M29" s="168"/>
      <c r="N29" s="168"/>
      <c r="O29" s="168"/>
    </row>
    <row r="30" spans="1:15" x14ac:dyDescent="0.2">
      <c r="A30" s="214" t="s">
        <v>574</v>
      </c>
      <c r="B30" s="214"/>
      <c r="E30" s="616">
        <v>13.5</v>
      </c>
      <c r="F30" s="202" t="s">
        <v>388</v>
      </c>
      <c r="I30" s="168"/>
      <c r="J30" s="168"/>
      <c r="K30" s="168"/>
      <c r="L30" s="168"/>
      <c r="M30" s="168"/>
      <c r="N30" s="168"/>
      <c r="O30" s="168"/>
    </row>
    <row r="31" spans="1:15" x14ac:dyDescent="0.2">
      <c r="A31" s="214" t="s">
        <v>575</v>
      </c>
      <c r="B31" s="214"/>
      <c r="E31" s="557">
        <v>5</v>
      </c>
      <c r="F31" s="202" t="s">
        <v>566</v>
      </c>
      <c r="I31" s="168"/>
      <c r="J31" s="168"/>
      <c r="K31" s="168"/>
      <c r="L31" s="168"/>
      <c r="M31" s="168"/>
      <c r="N31" s="168"/>
      <c r="O31" s="168"/>
    </row>
    <row r="32" spans="1:15" x14ac:dyDescent="0.2">
      <c r="A32" s="214" t="s">
        <v>576</v>
      </c>
      <c r="B32" s="214"/>
      <c r="E32" s="557">
        <v>1</v>
      </c>
      <c r="F32" s="202" t="s">
        <v>782</v>
      </c>
      <c r="I32" s="168"/>
      <c r="J32" s="168"/>
      <c r="K32" s="168"/>
      <c r="L32" s="168"/>
      <c r="M32" s="168"/>
      <c r="N32" s="168"/>
      <c r="O32" s="168"/>
    </row>
    <row r="33" spans="1:15" x14ac:dyDescent="0.2">
      <c r="A33" s="214" t="s">
        <v>758</v>
      </c>
      <c r="B33" s="214"/>
      <c r="E33" s="559">
        <v>12</v>
      </c>
      <c r="F33" s="202" t="s">
        <v>783</v>
      </c>
      <c r="I33" s="168"/>
      <c r="J33" s="168"/>
      <c r="K33" s="168"/>
      <c r="L33" s="168"/>
      <c r="M33" s="168"/>
      <c r="N33" s="168"/>
      <c r="O33" s="168"/>
    </row>
    <row r="34" spans="1:15" x14ac:dyDescent="0.2">
      <c r="A34" s="214" t="s">
        <v>577</v>
      </c>
      <c r="B34" s="214"/>
      <c r="E34" s="558">
        <v>2</v>
      </c>
      <c r="F34" s="202" t="s">
        <v>784</v>
      </c>
      <c r="I34" s="168"/>
      <c r="J34" s="168"/>
      <c r="K34" s="168"/>
      <c r="L34" s="168"/>
      <c r="M34" s="168"/>
      <c r="N34" s="168"/>
      <c r="O34" s="168"/>
    </row>
    <row r="35" spans="1:15" x14ac:dyDescent="0.2">
      <c r="A35" s="214" t="s">
        <v>578</v>
      </c>
      <c r="B35" s="214"/>
      <c r="E35" s="558">
        <v>10</v>
      </c>
      <c r="F35" s="202" t="s">
        <v>566</v>
      </c>
      <c r="I35" s="168"/>
      <c r="J35" s="168"/>
      <c r="K35" s="168"/>
      <c r="L35" s="168"/>
      <c r="M35" s="168"/>
      <c r="N35" s="168"/>
      <c r="O35" s="168"/>
    </row>
    <row r="36" spans="1:15" x14ac:dyDescent="0.2">
      <c r="A36" s="222" t="s">
        <v>579</v>
      </c>
      <c r="B36" s="222"/>
      <c r="E36" s="558">
        <f>50%*22%*100</f>
        <v>11</v>
      </c>
      <c r="F36" s="202" t="s">
        <v>64</v>
      </c>
      <c r="I36" s="168"/>
      <c r="J36" s="168"/>
      <c r="K36" s="168"/>
      <c r="L36" s="168"/>
      <c r="M36" s="168"/>
      <c r="N36" s="168"/>
      <c r="O36" s="168"/>
    </row>
    <row r="37" spans="1:15" ht="12.75" x14ac:dyDescent="0.2">
      <c r="A37" s="222" t="s">
        <v>75</v>
      </c>
      <c r="B37" s="222"/>
      <c r="E37" s="571">
        <v>0</v>
      </c>
      <c r="F37" s="202" t="s">
        <v>1082</v>
      </c>
      <c r="I37" s="168"/>
      <c r="J37" s="168"/>
      <c r="K37" s="168"/>
      <c r="L37" s="168"/>
      <c r="M37" s="168"/>
      <c r="N37" s="168"/>
      <c r="O37" s="168"/>
    </row>
    <row r="38" spans="1:15" x14ac:dyDescent="0.2">
      <c r="A38" s="222" t="s">
        <v>65</v>
      </c>
      <c r="B38" s="222"/>
      <c r="E38" s="554"/>
      <c r="F38" s="202" t="s">
        <v>60</v>
      </c>
      <c r="I38" s="168"/>
      <c r="J38" s="472"/>
      <c r="K38" s="168"/>
      <c r="L38" s="168"/>
      <c r="M38" s="168"/>
      <c r="N38" s="168"/>
      <c r="O38" s="168"/>
    </row>
    <row r="39" spans="1:15" x14ac:dyDescent="0.2">
      <c r="A39" s="222"/>
      <c r="B39" s="222"/>
      <c r="E39" s="618"/>
      <c r="I39" s="168"/>
      <c r="J39" s="472"/>
      <c r="K39" s="168"/>
      <c r="L39" s="168"/>
      <c r="M39" s="168"/>
      <c r="N39" s="168"/>
      <c r="O39" s="168"/>
    </row>
    <row r="40" spans="1:15" x14ac:dyDescent="0.2">
      <c r="A40" s="619" t="s">
        <v>1034</v>
      </c>
      <c r="B40" s="619"/>
      <c r="C40" s="619"/>
      <c r="D40" s="619"/>
      <c r="E40" s="618"/>
      <c r="I40" s="168"/>
      <c r="J40" s="388"/>
      <c r="K40" s="168"/>
      <c r="L40" s="168"/>
      <c r="M40" s="470"/>
      <c r="N40" s="168"/>
      <c r="O40" s="168"/>
    </row>
    <row r="41" spans="1:15" x14ac:dyDescent="0.2">
      <c r="A41" s="210" t="s">
        <v>1156</v>
      </c>
      <c r="B41" s="210"/>
      <c r="C41" s="620">
        <v>80</v>
      </c>
      <c r="D41" s="469" t="s">
        <v>60</v>
      </c>
      <c r="E41" s="202"/>
      <c r="J41" s="202"/>
    </row>
    <row r="42" spans="1:15" x14ac:dyDescent="0.2">
      <c r="A42" s="210" t="s">
        <v>1157</v>
      </c>
      <c r="B42" s="210"/>
      <c r="C42" s="621">
        <f>100-C41</f>
        <v>20</v>
      </c>
      <c r="D42" s="469" t="s">
        <v>60</v>
      </c>
      <c r="E42" s="202"/>
      <c r="J42" s="202"/>
    </row>
    <row r="43" spans="1:15" x14ac:dyDescent="0.2">
      <c r="A43" s="222"/>
      <c r="B43" s="222"/>
      <c r="E43" s="202"/>
      <c r="J43" s="202"/>
    </row>
    <row r="44" spans="1:15" x14ac:dyDescent="0.2">
      <c r="E44" s="202"/>
      <c r="J44" s="202"/>
    </row>
    <row r="45" spans="1:15" x14ac:dyDescent="0.2">
      <c r="E45" s="202"/>
      <c r="J45" s="202"/>
    </row>
    <row r="46" spans="1:15" x14ac:dyDescent="0.2">
      <c r="A46" s="532" t="s">
        <v>759</v>
      </c>
      <c r="B46" s="532"/>
      <c r="C46" s="533"/>
      <c r="D46" s="533"/>
      <c r="E46" s="211" t="s">
        <v>760</v>
      </c>
      <c r="I46" s="211"/>
      <c r="J46" s="202"/>
    </row>
    <row r="47" spans="1:15" x14ac:dyDescent="0.2">
      <c r="A47" s="532" t="s">
        <v>761</v>
      </c>
      <c r="B47" s="532"/>
      <c r="C47" s="533"/>
      <c r="D47" s="533"/>
      <c r="E47" s="211" t="s">
        <v>762</v>
      </c>
      <c r="I47" s="211"/>
      <c r="J47" s="202"/>
    </row>
    <row r="48" spans="1:15" x14ac:dyDescent="0.2">
      <c r="A48" s="572" t="s">
        <v>1187</v>
      </c>
      <c r="B48" s="572"/>
      <c r="C48" s="572"/>
      <c r="D48" s="572"/>
      <c r="E48" s="201"/>
      <c r="F48" s="201"/>
      <c r="G48" s="201"/>
      <c r="H48" s="201"/>
      <c r="J48" s="202"/>
    </row>
    <row r="49" spans="1:10" x14ac:dyDescent="0.2">
      <c r="A49" s="213" t="s">
        <v>1190</v>
      </c>
      <c r="B49" s="213" t="s">
        <v>1188</v>
      </c>
      <c r="C49" s="656">
        <v>2</v>
      </c>
      <c r="D49" s="582" t="s">
        <v>1189</v>
      </c>
      <c r="E49" s="202"/>
      <c r="F49" s="213"/>
      <c r="G49" s="573"/>
      <c r="J49" s="202"/>
    </row>
    <row r="50" spans="1:10" x14ac:dyDescent="0.2">
      <c r="A50" s="386"/>
      <c r="B50" s="386" t="s">
        <v>1086</v>
      </c>
      <c r="C50" s="653">
        <v>5000000</v>
      </c>
      <c r="D50" s="649" t="s">
        <v>1211</v>
      </c>
      <c r="E50" s="202"/>
      <c r="F50" s="201"/>
      <c r="G50" s="574"/>
      <c r="J50" s="202"/>
    </row>
    <row r="51" spans="1:10" x14ac:dyDescent="0.2">
      <c r="A51" s="576"/>
      <c r="B51" s="213"/>
      <c r="C51" s="646"/>
      <c r="D51" s="202"/>
      <c r="E51" s="202"/>
      <c r="F51" s="201"/>
      <c r="G51" s="574"/>
      <c r="J51" s="202"/>
    </row>
    <row r="52" spans="1:10" x14ac:dyDescent="0.2">
      <c r="A52" s="213" t="s">
        <v>1191</v>
      </c>
      <c r="B52" s="213" t="s">
        <v>1120</v>
      </c>
      <c r="C52" s="574">
        <f>E19</f>
        <v>6800</v>
      </c>
      <c r="D52" s="202" t="s">
        <v>1087</v>
      </c>
      <c r="E52" s="202"/>
      <c r="F52" s="213"/>
      <c r="G52" s="574"/>
      <c r="J52" s="202"/>
    </row>
    <row r="53" spans="1:10" x14ac:dyDescent="0.2">
      <c r="B53" s="202" t="s">
        <v>1192</v>
      </c>
      <c r="C53" s="573">
        <v>2493</v>
      </c>
      <c r="D53" s="202" t="s">
        <v>1088</v>
      </c>
      <c r="E53" s="202"/>
      <c r="G53" s="573"/>
      <c r="J53" s="202"/>
    </row>
    <row r="54" spans="1:10" x14ac:dyDescent="0.2">
      <c r="B54" s="202" t="s">
        <v>1193</v>
      </c>
      <c r="C54" s="575" t="s">
        <v>1089</v>
      </c>
      <c r="D54" s="202" t="s">
        <v>1090</v>
      </c>
      <c r="E54" s="202"/>
      <c r="G54" s="573"/>
      <c r="J54" s="202"/>
    </row>
    <row r="55" spans="1:10" x14ac:dyDescent="0.2">
      <c r="B55" s="202" t="s">
        <v>1165</v>
      </c>
      <c r="C55" s="575">
        <f>C53/2</f>
        <v>1246.5</v>
      </c>
      <c r="D55" s="202" t="s">
        <v>1200</v>
      </c>
      <c r="E55" s="202"/>
      <c r="G55" s="574"/>
      <c r="J55" s="202"/>
    </row>
    <row r="56" spans="1:10" x14ac:dyDescent="0.2">
      <c r="C56" s="202"/>
      <c r="D56" s="202"/>
      <c r="E56" s="202"/>
      <c r="G56" s="575"/>
      <c r="J56" s="202"/>
    </row>
    <row r="57" spans="1:10" x14ac:dyDescent="0.2">
      <c r="B57" s="202" t="s">
        <v>1194</v>
      </c>
      <c r="C57" s="648">
        <v>1898</v>
      </c>
      <c r="D57" s="202" t="s">
        <v>1088</v>
      </c>
      <c r="E57" s="202"/>
      <c r="G57" s="575"/>
      <c r="J57" s="202"/>
    </row>
    <row r="58" spans="1:10" x14ac:dyDescent="0.2">
      <c r="B58" s="202" t="s">
        <v>1195</v>
      </c>
      <c r="C58" s="647">
        <v>617</v>
      </c>
      <c r="D58" s="202" t="s">
        <v>1088</v>
      </c>
      <c r="E58" s="202"/>
      <c r="G58" s="577"/>
      <c r="J58" s="202"/>
    </row>
    <row r="59" spans="1:10" x14ac:dyDescent="0.2">
      <c r="A59" s="386"/>
      <c r="B59" s="386" t="s">
        <v>1165</v>
      </c>
      <c r="C59" s="650">
        <f>(C57+C58)/2</f>
        <v>1257.5</v>
      </c>
      <c r="D59" s="386" t="s">
        <v>1199</v>
      </c>
      <c r="E59" s="202"/>
      <c r="G59" s="574"/>
      <c r="J59" s="202"/>
    </row>
    <row r="60" spans="1:10" x14ac:dyDescent="0.2">
      <c r="C60" s="202"/>
      <c r="D60" s="202"/>
      <c r="E60" s="202"/>
      <c r="F60" s="213"/>
      <c r="G60" s="573"/>
      <c r="J60" s="202"/>
    </row>
    <row r="61" spans="1:10" x14ac:dyDescent="0.2">
      <c r="A61" s="649" t="s">
        <v>1196</v>
      </c>
      <c r="B61" s="649"/>
      <c r="C61" s="651">
        <v>2050000</v>
      </c>
      <c r="D61" s="386" t="s">
        <v>1198</v>
      </c>
      <c r="E61" s="202"/>
      <c r="F61" s="213"/>
      <c r="G61" s="574"/>
      <c r="J61" s="202"/>
    </row>
    <row r="62" spans="1:10" x14ac:dyDescent="0.2">
      <c r="C62" s="202"/>
      <c r="D62" s="202"/>
      <c r="E62" s="202"/>
      <c r="F62" s="213"/>
      <c r="J62" s="202"/>
    </row>
    <row r="63" spans="1:10" x14ac:dyDescent="0.2">
      <c r="A63" s="649" t="s">
        <v>1091</v>
      </c>
      <c r="B63" s="386"/>
      <c r="C63" s="652">
        <v>1076500</v>
      </c>
      <c r="D63" s="386" t="s">
        <v>1198</v>
      </c>
      <c r="E63" s="202"/>
      <c r="F63" s="213"/>
      <c r="J63" s="202"/>
    </row>
    <row r="64" spans="1:10" x14ac:dyDescent="0.2">
      <c r="C64" s="573"/>
      <c r="D64" s="202"/>
      <c r="E64" s="202"/>
      <c r="G64" s="573"/>
      <c r="J64" s="202"/>
    </row>
    <row r="65" spans="1:10" x14ac:dyDescent="0.2">
      <c r="A65" s="649" t="s">
        <v>1110</v>
      </c>
      <c r="B65" s="386"/>
      <c r="C65" s="653">
        <v>1076500</v>
      </c>
      <c r="D65" s="649" t="s">
        <v>1198</v>
      </c>
      <c r="E65" s="202"/>
      <c r="G65" s="573"/>
      <c r="J65" s="202"/>
    </row>
    <row r="66" spans="1:10" x14ac:dyDescent="0.2">
      <c r="C66" s="202"/>
      <c r="D66" s="202"/>
      <c r="E66" s="202"/>
      <c r="G66" s="573"/>
      <c r="J66" s="202"/>
    </row>
    <row r="67" spans="1:10" x14ac:dyDescent="0.2">
      <c r="B67" s="213"/>
      <c r="C67" s="202"/>
      <c r="D67" s="202"/>
      <c r="E67" s="202"/>
      <c r="G67" s="573"/>
      <c r="J67" s="202"/>
    </row>
    <row r="68" spans="1:10" x14ac:dyDescent="0.2">
      <c r="A68" s="213"/>
      <c r="B68" s="213"/>
      <c r="C68" s="573"/>
      <c r="D68" s="202"/>
      <c r="E68" s="202"/>
      <c r="G68" s="573"/>
      <c r="J68" s="202"/>
    </row>
    <row r="69" spans="1:10" x14ac:dyDescent="0.2">
      <c r="A69" s="213"/>
      <c r="B69" s="213"/>
      <c r="C69" s="573"/>
      <c r="D69" s="202"/>
      <c r="E69" s="202" t="s">
        <v>1100</v>
      </c>
      <c r="G69" s="573"/>
      <c r="J69" s="202"/>
    </row>
    <row r="70" spans="1:10" x14ac:dyDescent="0.2">
      <c r="A70" s="213"/>
      <c r="B70" s="213"/>
      <c r="C70" s="573"/>
      <c r="D70" s="202"/>
      <c r="E70" s="202"/>
      <c r="G70" s="574"/>
      <c r="J70" s="202"/>
    </row>
    <row r="71" spans="1:10" x14ac:dyDescent="0.2">
      <c r="A71" s="213"/>
      <c r="B71" s="213"/>
      <c r="C71" s="573"/>
      <c r="D71" s="202"/>
      <c r="E71" s="202"/>
      <c r="G71" s="574"/>
      <c r="J71" s="202"/>
    </row>
    <row r="72" spans="1:10" x14ac:dyDescent="0.2">
      <c r="A72" s="213"/>
      <c r="B72" s="213"/>
      <c r="C72" s="573"/>
      <c r="D72" s="202"/>
      <c r="E72" s="202"/>
      <c r="J72" s="202"/>
    </row>
    <row r="73" spans="1:10" x14ac:dyDescent="0.2">
      <c r="C73" s="574"/>
      <c r="D73" s="202"/>
      <c r="E73" s="202"/>
      <c r="J73" s="202"/>
    </row>
    <row r="74" spans="1:10" x14ac:dyDescent="0.2">
      <c r="C74" s="574"/>
      <c r="D74" s="202"/>
      <c r="E74" s="202"/>
      <c r="J74" s="202"/>
    </row>
    <row r="75" spans="1:10" x14ac:dyDescent="0.2">
      <c r="C75" s="202"/>
      <c r="D75" s="202"/>
      <c r="E75" s="202"/>
      <c r="J75" s="202"/>
    </row>
    <row r="76" spans="1:10" x14ac:dyDescent="0.2">
      <c r="C76" s="202"/>
      <c r="D76" s="202"/>
      <c r="E76" s="202"/>
      <c r="J76" s="202"/>
    </row>
    <row r="77" spans="1:10" x14ac:dyDescent="0.2">
      <c r="C77" s="202"/>
      <c r="D77" s="202"/>
      <c r="E77" s="202"/>
      <c r="J77" s="202"/>
    </row>
    <row r="78" spans="1:10" x14ac:dyDescent="0.2">
      <c r="C78" s="202"/>
      <c r="D78" s="202"/>
      <c r="E78" s="202"/>
      <c r="J78" s="202"/>
    </row>
    <row r="79" spans="1:10" x14ac:dyDescent="0.2">
      <c r="C79" s="202"/>
      <c r="D79" s="202"/>
      <c r="E79" s="202"/>
      <c r="J79" s="202"/>
    </row>
    <row r="80" spans="1:10" x14ac:dyDescent="0.2">
      <c r="C80" s="202"/>
      <c r="D80" s="202"/>
      <c r="E80" s="202"/>
      <c r="J80" s="202"/>
    </row>
    <row r="81" spans="1:10" x14ac:dyDescent="0.2">
      <c r="C81" s="202"/>
      <c r="D81" s="202"/>
      <c r="E81" s="202"/>
      <c r="J81" s="202"/>
    </row>
    <row r="82" spans="1:10" x14ac:dyDescent="0.2">
      <c r="A82" s="213"/>
      <c r="B82" s="213"/>
      <c r="E82" s="202"/>
      <c r="J82" s="202"/>
    </row>
    <row r="83" spans="1:10" x14ac:dyDescent="0.2">
      <c r="A83" s="213"/>
      <c r="B83" s="213"/>
      <c r="E83" s="202"/>
      <c r="J83" s="202"/>
    </row>
    <row r="84" spans="1:10" x14ac:dyDescent="0.2">
      <c r="A84" s="213"/>
      <c r="B84" s="213"/>
      <c r="E84" s="202"/>
      <c r="J84" s="202"/>
    </row>
    <row r="85" spans="1:10" x14ac:dyDescent="0.2">
      <c r="E85" s="202"/>
      <c r="J85" s="202"/>
    </row>
    <row r="86" spans="1:10" x14ac:dyDescent="0.2">
      <c r="E86" s="202"/>
      <c r="J86" s="202"/>
    </row>
    <row r="87" spans="1:10" x14ac:dyDescent="0.2">
      <c r="E87" s="202"/>
      <c r="J87" s="202"/>
    </row>
    <row r="88" spans="1:10" x14ac:dyDescent="0.2">
      <c r="E88" s="202"/>
      <c r="J88" s="202"/>
    </row>
    <row r="89" spans="1:10" x14ac:dyDescent="0.2">
      <c r="E89" s="202"/>
      <c r="J89" s="202"/>
    </row>
    <row r="90" spans="1:10" x14ac:dyDescent="0.2">
      <c r="E90" s="202"/>
      <c r="J90" s="202"/>
    </row>
    <row r="91" spans="1:10" x14ac:dyDescent="0.2">
      <c r="E91" s="202"/>
      <c r="J91" s="202"/>
    </row>
    <row r="92" spans="1:10" x14ac:dyDescent="0.2">
      <c r="E92" s="202"/>
    </row>
    <row r="93" spans="1:10" x14ac:dyDescent="0.2">
      <c r="E93" s="202"/>
    </row>
    <row r="94" spans="1:10" x14ac:dyDescent="0.2">
      <c r="E94" s="202"/>
    </row>
  </sheetData>
  <phoneticPr fontId="2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B7D0-4AB3-4431-826B-F9FEECF7037D}">
  <sheetPr>
    <tabColor theme="9" tint="0.39997558519241921"/>
  </sheetPr>
  <dimension ref="A1:N34"/>
  <sheetViews>
    <sheetView showGridLines="0" zoomScaleNormal="100" workbookViewId="0">
      <pane ySplit="4" topLeftCell="A5" activePane="bottomLeft" state="frozen"/>
      <selection pane="bottomLeft" activeCell="C10" sqref="C10"/>
    </sheetView>
  </sheetViews>
  <sheetFormatPr defaultColWidth="10.625" defaultRowHeight="11.25" x14ac:dyDescent="0.2"/>
  <cols>
    <col min="1" max="1" width="21.125" style="202" customWidth="1"/>
    <col min="2" max="2" width="9.125" style="202" customWidth="1"/>
    <col min="3" max="3" width="11" style="213" bestFit="1" customWidth="1"/>
    <col min="4" max="4" width="9.5" style="213" customWidth="1"/>
    <col min="5" max="5" width="15.625" style="211" bestFit="1" customWidth="1"/>
    <col min="6" max="6" width="18.25" style="202" customWidth="1"/>
    <col min="7" max="7" width="9.625" style="202" customWidth="1"/>
    <col min="8" max="8" width="11.875" style="202" bestFit="1" customWidth="1"/>
    <col min="9" max="9" width="14.75" style="202" customWidth="1"/>
    <col min="10" max="10" width="9.25" style="393" bestFit="1" customWidth="1"/>
    <col min="11" max="16384" width="10.625" style="202"/>
  </cols>
  <sheetData>
    <row r="1" spans="1:14" x14ac:dyDescent="0.2">
      <c r="A1" s="201" t="s">
        <v>1153</v>
      </c>
      <c r="B1" s="201"/>
      <c r="F1" s="204"/>
      <c r="G1" s="204"/>
      <c r="H1" s="204"/>
      <c r="I1" s="204"/>
    </row>
    <row r="2" spans="1:14" x14ac:dyDescent="0.2">
      <c r="A2" s="201" t="s">
        <v>563</v>
      </c>
      <c r="B2" s="201"/>
      <c r="H2" s="156"/>
      <c r="J2" s="408"/>
      <c r="K2" s="211"/>
      <c r="L2" s="211"/>
      <c r="M2" s="211"/>
      <c r="N2" s="211"/>
    </row>
    <row r="3" spans="1:14" x14ac:dyDescent="0.2">
      <c r="A3" s="203" t="s">
        <v>1197</v>
      </c>
      <c r="B3" s="203"/>
      <c r="J3" s="408"/>
      <c r="K3" s="211"/>
      <c r="L3" s="211"/>
      <c r="M3" s="211"/>
      <c r="N3" s="211"/>
    </row>
    <row r="4" spans="1:14" x14ac:dyDescent="0.2">
      <c r="C4" s="212"/>
      <c r="D4" s="212"/>
    </row>
    <row r="5" spans="1:14" x14ac:dyDescent="0.2">
      <c r="A5" s="213" t="s">
        <v>1091</v>
      </c>
      <c r="C5" s="202"/>
      <c r="D5" s="202"/>
      <c r="E5" s="202"/>
      <c r="F5" s="213" t="s">
        <v>1110</v>
      </c>
      <c r="J5" s="202"/>
    </row>
    <row r="6" spans="1:14" x14ac:dyDescent="0.2">
      <c r="J6" s="202"/>
    </row>
    <row r="7" spans="1:14" x14ac:dyDescent="0.2">
      <c r="A7" s="213" t="s">
        <v>1095</v>
      </c>
      <c r="B7" s="213"/>
      <c r="C7" s="573">
        <v>64000</v>
      </c>
      <c r="D7" s="202" t="s">
        <v>1093</v>
      </c>
      <c r="E7" s="202"/>
      <c r="F7" s="202" t="s">
        <v>1092</v>
      </c>
      <c r="G7" s="573">
        <v>200000</v>
      </c>
      <c r="H7" s="202" t="s">
        <v>1093</v>
      </c>
      <c r="J7" s="202"/>
    </row>
    <row r="8" spans="1:14" x14ac:dyDescent="0.2">
      <c r="A8" s="213" t="s">
        <v>1097</v>
      </c>
      <c r="B8" s="213"/>
      <c r="C8" s="573">
        <v>125000</v>
      </c>
      <c r="D8" s="202" t="s">
        <v>1093</v>
      </c>
      <c r="E8" s="202"/>
      <c r="F8" s="202" t="s">
        <v>1094</v>
      </c>
      <c r="G8" s="573">
        <v>509500</v>
      </c>
      <c r="H8" s="202" t="s">
        <v>1093</v>
      </c>
      <c r="J8" s="202"/>
    </row>
    <row r="9" spans="1:14" x14ac:dyDescent="0.2">
      <c r="A9" s="213" t="s">
        <v>1099</v>
      </c>
      <c r="B9" s="213"/>
      <c r="C9" s="573">
        <v>178000</v>
      </c>
      <c r="D9" s="202" t="s">
        <v>1093</v>
      </c>
      <c r="E9" s="202"/>
      <c r="F9" s="202" t="s">
        <v>1096</v>
      </c>
      <c r="G9" s="573">
        <v>178000</v>
      </c>
      <c r="H9" s="202" t="s">
        <v>1093</v>
      </c>
      <c r="J9" s="202"/>
    </row>
    <row r="10" spans="1:14" x14ac:dyDescent="0.2">
      <c r="A10" s="213" t="s">
        <v>1102</v>
      </c>
      <c r="B10" s="213"/>
      <c r="C10" s="573">
        <v>509500</v>
      </c>
      <c r="D10" s="202" t="s">
        <v>1093</v>
      </c>
      <c r="E10" s="202"/>
      <c r="F10" s="202" t="s">
        <v>1098</v>
      </c>
      <c r="G10" s="573">
        <v>83000</v>
      </c>
      <c r="H10" s="202" t="s">
        <v>1093</v>
      </c>
      <c r="J10" s="202"/>
    </row>
    <row r="11" spans="1:14" x14ac:dyDescent="0.2">
      <c r="A11" s="213" t="s">
        <v>1104</v>
      </c>
      <c r="B11" s="213"/>
      <c r="C11" s="573">
        <v>200000</v>
      </c>
      <c r="D11" s="202" t="s">
        <v>1093</v>
      </c>
      <c r="E11" s="202"/>
      <c r="F11" s="202" t="s">
        <v>1101</v>
      </c>
      <c r="G11" s="573">
        <v>42000</v>
      </c>
      <c r="H11" s="202" t="s">
        <v>1093</v>
      </c>
      <c r="J11" s="202"/>
    </row>
    <row r="12" spans="1:14" x14ac:dyDescent="0.2">
      <c r="A12" s="202" t="s">
        <v>1105</v>
      </c>
      <c r="C12" s="574">
        <f>SUM(C7:C11)</f>
        <v>1076500</v>
      </c>
      <c r="D12" s="202" t="s">
        <v>1106</v>
      </c>
      <c r="E12" s="202" t="s">
        <v>1100</v>
      </c>
      <c r="F12" s="202" t="s">
        <v>1103</v>
      </c>
      <c r="G12" s="573">
        <v>64000</v>
      </c>
      <c r="H12" s="202" t="s">
        <v>1093</v>
      </c>
      <c r="J12" s="202"/>
    </row>
    <row r="13" spans="1:14" x14ac:dyDescent="0.2">
      <c r="C13" s="202"/>
      <c r="D13" s="202"/>
      <c r="E13" s="202"/>
      <c r="F13" s="202" t="s">
        <v>1105</v>
      </c>
      <c r="G13" s="574">
        <f>SUM(G7:G12)</f>
        <v>1076500</v>
      </c>
      <c r="H13" s="202" t="s">
        <v>1106</v>
      </c>
      <c r="J13" s="202"/>
    </row>
    <row r="14" spans="1:14" x14ac:dyDescent="0.2">
      <c r="C14" s="202"/>
      <c r="D14" s="202"/>
      <c r="E14" s="202"/>
      <c r="J14" s="202"/>
    </row>
    <row r="15" spans="1:14" x14ac:dyDescent="0.2">
      <c r="C15" s="202"/>
      <c r="D15" s="202"/>
      <c r="E15" s="202"/>
      <c r="J15" s="202"/>
    </row>
    <row r="16" spans="1:14" x14ac:dyDescent="0.2">
      <c r="C16" s="202"/>
      <c r="D16" s="202"/>
      <c r="E16" s="202"/>
      <c r="J16" s="202"/>
    </row>
    <row r="17" spans="1:10" x14ac:dyDescent="0.2">
      <c r="C17" s="202"/>
      <c r="D17" s="202"/>
      <c r="E17" s="202"/>
      <c r="J17" s="202"/>
    </row>
    <row r="18" spans="1:10" x14ac:dyDescent="0.2">
      <c r="C18" s="202"/>
      <c r="D18" s="202"/>
      <c r="E18" s="202"/>
      <c r="J18" s="202"/>
    </row>
    <row r="19" spans="1:10" x14ac:dyDescent="0.2">
      <c r="C19" s="202"/>
      <c r="D19" s="202"/>
      <c r="E19" s="202"/>
      <c r="J19" s="202"/>
    </row>
    <row r="20" spans="1:10" x14ac:dyDescent="0.2">
      <c r="C20" s="202"/>
      <c r="D20" s="202"/>
      <c r="E20" s="202"/>
      <c r="J20" s="202"/>
    </row>
    <row r="21" spans="1:10" x14ac:dyDescent="0.2">
      <c r="C21" s="202"/>
      <c r="D21" s="202"/>
      <c r="E21" s="202"/>
      <c r="J21" s="202"/>
    </row>
    <row r="22" spans="1:10" x14ac:dyDescent="0.2">
      <c r="A22" s="213"/>
      <c r="B22" s="213"/>
      <c r="E22" s="202"/>
      <c r="J22" s="202"/>
    </row>
    <row r="23" spans="1:10" x14ac:dyDescent="0.2">
      <c r="A23" s="213"/>
      <c r="B23" s="213"/>
      <c r="E23" s="202"/>
      <c r="J23" s="202"/>
    </row>
    <row r="24" spans="1:10" x14ac:dyDescent="0.2">
      <c r="A24" s="213"/>
      <c r="B24" s="213"/>
      <c r="E24" s="202"/>
      <c r="J24" s="202"/>
    </row>
    <row r="25" spans="1:10" x14ac:dyDescent="0.2">
      <c r="E25" s="202"/>
      <c r="J25" s="202"/>
    </row>
    <row r="26" spans="1:10" x14ac:dyDescent="0.2">
      <c r="E26" s="202"/>
      <c r="J26" s="202"/>
    </row>
    <row r="27" spans="1:10" x14ac:dyDescent="0.2">
      <c r="E27" s="202"/>
      <c r="J27" s="202"/>
    </row>
    <row r="28" spans="1:10" x14ac:dyDescent="0.2">
      <c r="E28" s="202"/>
      <c r="J28" s="202"/>
    </row>
    <row r="29" spans="1:10" x14ac:dyDescent="0.2">
      <c r="E29" s="202"/>
      <c r="J29" s="202"/>
    </row>
    <row r="30" spans="1:10" x14ac:dyDescent="0.2">
      <c r="E30" s="202"/>
      <c r="J30" s="202"/>
    </row>
    <row r="31" spans="1:10" x14ac:dyDescent="0.2">
      <c r="E31" s="202"/>
      <c r="J31" s="202"/>
    </row>
    <row r="32" spans="1:10" x14ac:dyDescent="0.2">
      <c r="E32" s="202"/>
    </row>
    <row r="33" spans="5:5" x14ac:dyDescent="0.2">
      <c r="E33" s="202"/>
    </row>
    <row r="34" spans="5:5" x14ac:dyDescent="0.2">
      <c r="E34" s="20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H75"/>
  <sheetViews>
    <sheetView showGridLines="0" tabSelected="1" zoomScaleNormal="100" workbookViewId="0">
      <pane xSplit="3" ySplit="8" topLeftCell="L9" activePane="bottomRight" state="frozen"/>
      <selection pane="topRight" activeCell="D1" sqref="D1"/>
      <selection pane="bottomLeft" activeCell="A9" sqref="A9"/>
      <selection pane="bottomRight" activeCell="T39" sqref="T39"/>
    </sheetView>
  </sheetViews>
  <sheetFormatPr defaultColWidth="9" defaultRowHeight="10.5" customHeight="1" x14ac:dyDescent="0.25"/>
  <cols>
    <col min="1" max="1" width="3.75" style="216" customWidth="1"/>
    <col min="2" max="2" width="3.5" style="241" customWidth="1"/>
    <col min="3" max="3" width="2.625" style="241" customWidth="1"/>
    <col min="4" max="4" width="10.75" style="180" bestFit="1" customWidth="1"/>
    <col min="5" max="5" width="15" style="180" bestFit="1" customWidth="1"/>
    <col min="6" max="6" width="9" style="180" bestFit="1" customWidth="1"/>
    <col min="7" max="7" width="10.5" style="180" customWidth="1"/>
    <col min="8" max="8" width="9.5" style="180" customWidth="1"/>
    <col min="9" max="9" width="10.125" style="180" bestFit="1" customWidth="1"/>
    <col min="10" max="10" width="16" style="180" customWidth="1"/>
    <col min="11" max="11" width="1.625" style="180" customWidth="1"/>
    <col min="12" max="12" width="6.75" style="180" customWidth="1"/>
    <col min="13" max="13" width="11.25" style="180" customWidth="1"/>
    <col min="14" max="14" width="12.5" style="180" customWidth="1"/>
    <col min="15" max="15" width="1.625" style="180" customWidth="1"/>
    <col min="16" max="16" width="7.625" style="180" customWidth="1"/>
    <col min="17" max="17" width="10.625" style="180" customWidth="1"/>
    <col min="18" max="18" width="14.625" style="180" customWidth="1"/>
    <col min="19" max="19" width="1.625" style="180" customWidth="1"/>
    <col min="20" max="20" width="10.5" style="180" customWidth="1"/>
    <col min="21" max="21" width="9.875" style="180" customWidth="1"/>
    <col min="22" max="22" width="1.625" style="180" customWidth="1"/>
    <col min="23" max="23" width="10.25" style="180" customWidth="1"/>
    <col min="24" max="24" width="10" style="180" customWidth="1"/>
    <col min="25" max="25" width="7.75" style="180" customWidth="1"/>
    <col min="26" max="26" width="12" style="180" customWidth="1"/>
    <col min="27" max="27" width="9" style="180"/>
    <col min="28" max="28" width="29.125" style="180" customWidth="1"/>
    <col min="29" max="29" width="4.75" style="180" customWidth="1"/>
    <col min="30" max="30" width="11.75" style="180" customWidth="1"/>
    <col min="31" max="31" width="9" style="180"/>
    <col min="32" max="32" width="10.25" style="180" bestFit="1" customWidth="1"/>
    <col min="33" max="16384" width="9" style="180"/>
  </cols>
  <sheetData>
    <row r="1" spans="1:34" ht="11.25" x14ac:dyDescent="0.25">
      <c r="A1" s="167" t="str">
        <f>Assumption!A1</f>
        <v>Bisnis Truk Thermoking</v>
      </c>
      <c r="B1" s="225"/>
      <c r="C1" s="225"/>
      <c r="D1" s="226"/>
      <c r="I1" s="370"/>
      <c r="J1" s="370"/>
      <c r="O1" s="370"/>
      <c r="P1" s="370"/>
      <c r="Q1" s="370"/>
      <c r="R1" s="370"/>
      <c r="S1" s="259"/>
    </row>
    <row r="2" spans="1:34" ht="11.25" x14ac:dyDescent="0.25">
      <c r="A2" s="167" t="str">
        <f>Assumption!A2</f>
        <v>Financial Pre-Feasibility Study</v>
      </c>
      <c r="B2" s="225"/>
      <c r="C2" s="225"/>
      <c r="D2" s="226"/>
      <c r="K2" s="370"/>
      <c r="L2" s="370"/>
      <c r="M2" s="370"/>
      <c r="N2" s="370"/>
    </row>
    <row r="3" spans="1:34" ht="11.25" x14ac:dyDescent="0.25">
      <c r="A3" s="227" t="s">
        <v>1154</v>
      </c>
      <c r="B3" s="225"/>
      <c r="C3" s="225"/>
      <c r="D3" s="226"/>
      <c r="P3" s="368"/>
      <c r="Q3" s="368"/>
    </row>
    <row r="4" spans="1:34" ht="10.5" customHeight="1" x14ac:dyDescent="0.2">
      <c r="A4" s="228"/>
      <c r="B4" s="225"/>
      <c r="C4" s="225"/>
      <c r="D4" s="229"/>
      <c r="E4" s="229"/>
      <c r="F4" s="229"/>
      <c r="G4" s="229"/>
      <c r="H4" s="226"/>
      <c r="I4" s="226"/>
      <c r="J4" s="226"/>
      <c r="K4" s="226"/>
      <c r="L4" s="226"/>
      <c r="M4" s="226"/>
      <c r="N4" s="226"/>
      <c r="W4" s="443" t="s">
        <v>66</v>
      </c>
      <c r="X4" s="444" t="s">
        <v>732</v>
      </c>
    </row>
    <row r="5" spans="1:34" ht="10.5" customHeight="1" x14ac:dyDescent="0.25">
      <c r="A5" s="228" t="s">
        <v>652</v>
      </c>
      <c r="B5" s="225"/>
      <c r="C5" s="225"/>
      <c r="D5" s="226"/>
      <c r="E5" s="226"/>
      <c r="F5" s="226"/>
      <c r="G5" s="226"/>
      <c r="H5" s="226"/>
      <c r="I5" s="226"/>
      <c r="J5" s="447" t="s">
        <v>658</v>
      </c>
      <c r="K5" s="226"/>
      <c r="M5" s="447" t="s">
        <v>657</v>
      </c>
      <c r="N5" s="226"/>
      <c r="W5" s="444"/>
      <c r="X5" s="444" t="s">
        <v>733</v>
      </c>
    </row>
    <row r="6" spans="1:34" ht="37.9" customHeight="1" x14ac:dyDescent="0.2">
      <c r="A6" s="762" t="s">
        <v>731</v>
      </c>
      <c r="B6" s="762"/>
      <c r="C6" s="225"/>
      <c r="D6" s="769" t="s">
        <v>580</v>
      </c>
      <c r="E6" s="769" t="s">
        <v>583</v>
      </c>
      <c r="F6" s="230"/>
      <c r="G6" s="769" t="s">
        <v>584</v>
      </c>
      <c r="H6" s="769" t="s">
        <v>84</v>
      </c>
      <c r="I6" s="769" t="s">
        <v>172</v>
      </c>
      <c r="J6" s="769" t="s">
        <v>85</v>
      </c>
      <c r="K6" s="225"/>
      <c r="L6" s="446" t="s">
        <v>670</v>
      </c>
      <c r="M6" s="231">
        <f>Assumption!E33/100</f>
        <v>0.12</v>
      </c>
      <c r="N6" s="231"/>
      <c r="O6" s="225"/>
      <c r="P6" s="766" t="s">
        <v>83</v>
      </c>
      <c r="Q6" s="766"/>
      <c r="R6" s="445">
        <v>0.18102796392921125</v>
      </c>
      <c r="T6" s="762" t="s">
        <v>520</v>
      </c>
      <c r="U6" s="762"/>
      <c r="V6" s="371"/>
      <c r="W6" s="762" t="s">
        <v>660</v>
      </c>
      <c r="X6" s="762"/>
      <c r="Y6" s="762"/>
      <c r="Z6" s="762"/>
    </row>
    <row r="7" spans="1:34" ht="49.5" customHeight="1" x14ac:dyDescent="0.2">
      <c r="A7" s="762"/>
      <c r="B7" s="762"/>
      <c r="C7" s="225"/>
      <c r="D7" s="769"/>
      <c r="E7" s="769"/>
      <c r="F7" s="230" t="s">
        <v>701</v>
      </c>
      <c r="G7" s="769"/>
      <c r="H7" s="769"/>
      <c r="I7" s="769"/>
      <c r="J7" s="769"/>
      <c r="K7" s="225"/>
      <c r="L7" s="230" t="s">
        <v>55</v>
      </c>
      <c r="M7" s="230" t="s">
        <v>86</v>
      </c>
      <c r="N7" s="230" t="s">
        <v>87</v>
      </c>
      <c r="O7" s="225"/>
      <c r="P7" s="230" t="s">
        <v>55</v>
      </c>
      <c r="Q7" s="230" t="s">
        <v>86</v>
      </c>
      <c r="R7" s="230" t="s">
        <v>87</v>
      </c>
      <c r="T7" s="230" t="s">
        <v>84</v>
      </c>
      <c r="U7" s="230" t="s">
        <v>267</v>
      </c>
      <c r="V7" s="372"/>
      <c r="W7" s="230" t="s">
        <v>55</v>
      </c>
      <c r="X7" s="230" t="s">
        <v>661</v>
      </c>
      <c r="Y7" s="230" t="s">
        <v>662</v>
      </c>
      <c r="Z7" s="230" t="s">
        <v>663</v>
      </c>
    </row>
    <row r="8" spans="1:34" ht="12.75" customHeight="1" x14ac:dyDescent="0.25">
      <c r="A8" s="762"/>
      <c r="B8" s="762"/>
      <c r="C8" s="225"/>
      <c r="D8" s="233" t="s">
        <v>581</v>
      </c>
      <c r="E8" s="233" t="s">
        <v>56</v>
      </c>
      <c r="F8" s="233" t="s">
        <v>582</v>
      </c>
      <c r="G8" s="233" t="s">
        <v>1020</v>
      </c>
      <c r="H8" s="233" t="s">
        <v>1021</v>
      </c>
      <c r="I8" s="233" t="s">
        <v>1022</v>
      </c>
      <c r="J8" s="233" t="s">
        <v>1023</v>
      </c>
      <c r="K8" s="234"/>
      <c r="L8" s="233" t="s">
        <v>57</v>
      </c>
      <c r="M8" s="233" t="s">
        <v>1024</v>
      </c>
      <c r="N8" s="233" t="s">
        <v>178</v>
      </c>
      <c r="O8" s="234"/>
      <c r="P8" s="233" t="s">
        <v>57</v>
      </c>
      <c r="Q8" s="233" t="s">
        <v>1025</v>
      </c>
      <c r="R8" s="233" t="s">
        <v>1026</v>
      </c>
      <c r="T8" s="184"/>
      <c r="U8" s="184"/>
      <c r="V8" s="226"/>
      <c r="W8" s="233" t="s">
        <v>57</v>
      </c>
      <c r="X8" s="233" t="s">
        <v>585</v>
      </c>
      <c r="Y8" s="184" t="s">
        <v>664</v>
      </c>
      <c r="Z8" s="538" t="s">
        <v>1027</v>
      </c>
    </row>
    <row r="9" spans="1:34" ht="10.5" customHeight="1" x14ac:dyDescent="0.2">
      <c r="A9" s="416"/>
      <c r="B9" s="630">
        <v>0</v>
      </c>
      <c r="C9" s="382"/>
      <c r="D9" s="229"/>
      <c r="E9" s="229"/>
      <c r="F9" s="229"/>
      <c r="G9" s="229"/>
      <c r="H9" s="229"/>
      <c r="I9" s="229">
        <f>-1*Assumption!E24</f>
        <v>-4500000000</v>
      </c>
      <c r="J9" s="229">
        <f>H9+I9</f>
        <v>-4500000000</v>
      </c>
      <c r="K9" s="382"/>
      <c r="L9" s="236">
        <f t="shared" ref="L9:L19" si="0">1/(1+$M$6)^B9</f>
        <v>1</v>
      </c>
      <c r="M9" s="229">
        <f>L9*J9</f>
        <v>-4500000000</v>
      </c>
      <c r="N9" s="229">
        <f>M9</f>
        <v>-4500000000</v>
      </c>
      <c r="O9" s="382"/>
      <c r="P9" s="236">
        <f t="shared" ref="P9:P19" si="1">1/(1+$R$6)^B9</f>
        <v>1</v>
      </c>
      <c r="Q9" s="229">
        <f>J9*P9</f>
        <v>-4500000000</v>
      </c>
      <c r="R9" s="229">
        <f>Q9</f>
        <v>-4500000000</v>
      </c>
      <c r="U9" s="370">
        <f>-1*I9</f>
        <v>4500000000</v>
      </c>
      <c r="V9" s="370"/>
      <c r="W9" s="438">
        <f>L9</f>
        <v>1</v>
      </c>
      <c r="X9" s="370">
        <f>W9*I9</f>
        <v>-4500000000</v>
      </c>
    </row>
    <row r="10" spans="1:34" ht="10.5" customHeight="1" x14ac:dyDescent="0.2">
      <c r="A10" s="767" t="s">
        <v>586</v>
      </c>
      <c r="B10" s="235">
        <v>1</v>
      </c>
      <c r="C10" s="382"/>
      <c r="D10" s="259">
        <f>IncomeStatement!C21</f>
        <v>467150400</v>
      </c>
      <c r="E10" s="368">
        <f>-1*IncomeStatement!C25</f>
        <v>-15835644</v>
      </c>
      <c r="F10" s="370">
        <f>-1*IncomeStatement!C23</f>
        <v>-323190000</v>
      </c>
      <c r="G10" s="259">
        <f>Depreciation!F8</f>
        <v>380000000</v>
      </c>
      <c r="H10" s="229">
        <f>D10+E10+F10+G10</f>
        <v>508124756</v>
      </c>
      <c r="I10" s="229"/>
      <c r="J10" s="229">
        <f>H10+I10</f>
        <v>508124756</v>
      </c>
      <c r="K10" s="382"/>
      <c r="L10" s="236">
        <f t="shared" si="0"/>
        <v>0.89285714285714279</v>
      </c>
      <c r="M10" s="229">
        <f>L10*J10</f>
        <v>453682817.85714281</v>
      </c>
      <c r="N10" s="229">
        <f>M10+N9</f>
        <v>-4046317182.1428571</v>
      </c>
      <c r="O10" s="382"/>
      <c r="P10" s="236">
        <f t="shared" si="1"/>
        <v>0.84672000201676711</v>
      </c>
      <c r="Q10" s="229">
        <f t="shared" ref="Q10:Q19" si="2">J10*P10</f>
        <v>430239394.4250893</v>
      </c>
      <c r="R10" s="229">
        <f>Q10+R9</f>
        <v>-4069760605.5749106</v>
      </c>
      <c r="T10" s="192">
        <f>H10*L10</f>
        <v>453682817.85714281</v>
      </c>
      <c r="U10" s="192">
        <v>0</v>
      </c>
      <c r="V10" s="192"/>
      <c r="W10" s="192"/>
      <c r="X10" s="192"/>
      <c r="Y10" s="374">
        <f t="shared" ref="Y10:Y19" si="3">(1+$M$6)^($B$19-B10)</f>
        <v>2.7730787574501883</v>
      </c>
      <c r="Z10" s="744">
        <f>Y10*H10</f>
        <v>1409069966.9981601</v>
      </c>
    </row>
    <row r="11" spans="1:34" ht="10.5" customHeight="1" x14ac:dyDescent="0.2">
      <c r="A11" s="768"/>
      <c r="B11" s="235">
        <v>2</v>
      </c>
      <c r="C11" s="235"/>
      <c r="D11" s="259">
        <f>IncomeStatement!D21</f>
        <v>882033408</v>
      </c>
      <c r="E11" s="368">
        <f>-1*IncomeStatement!D25</f>
        <v>-69372974.879999995</v>
      </c>
      <c r="F11" s="370">
        <f>-1*IncomeStatement!D23</f>
        <v>-251370000.00000003</v>
      </c>
      <c r="G11" s="259">
        <f>Depreciation!F9</f>
        <v>380000000</v>
      </c>
      <c r="H11" s="229">
        <f t="shared" ref="H11:H19" si="4">D11+E11+F11+G11</f>
        <v>941290433.12</v>
      </c>
      <c r="I11" s="229"/>
      <c r="J11" s="229">
        <f>H11+I11</f>
        <v>941290433.12</v>
      </c>
      <c r="K11" s="225"/>
      <c r="L11" s="236">
        <f t="shared" si="0"/>
        <v>0.79719387755102034</v>
      </c>
      <c r="M11" s="229">
        <f t="shared" ref="M11:M18" si="5">L11*J11</f>
        <v>750390970.28061223</v>
      </c>
      <c r="N11" s="229">
        <f t="shared" ref="N11:N18" si="6">M11+N10</f>
        <v>-3295926211.8622446</v>
      </c>
      <c r="O11" s="237"/>
      <c r="P11" s="236">
        <f t="shared" si="1"/>
        <v>0.71693476181527405</v>
      </c>
      <c r="Q11" s="229">
        <f t="shared" si="2"/>
        <v>674843832.46788335</v>
      </c>
      <c r="R11" s="229">
        <f>Q11+R10</f>
        <v>-3394916773.1070271</v>
      </c>
      <c r="S11" s="238"/>
      <c r="T11" s="192">
        <f t="shared" ref="T11:T19" si="7">H11*L11</f>
        <v>750390970.28061223</v>
      </c>
      <c r="U11" s="192">
        <f t="shared" ref="U11:U19" si="8">-1*I11*L11</f>
        <v>0</v>
      </c>
      <c r="V11" s="192"/>
      <c r="W11" s="192"/>
      <c r="X11" s="192"/>
      <c r="Y11" s="374">
        <f t="shared" si="3"/>
        <v>2.4759631762948109</v>
      </c>
      <c r="Z11" s="745">
        <f t="shared" ref="Z11:Z19" si="9">Y11*H11</f>
        <v>2330600450.6037135</v>
      </c>
    </row>
    <row r="12" spans="1:34" ht="10.5" customHeight="1" x14ac:dyDescent="0.2">
      <c r="A12" s="768"/>
      <c r="B12" s="235">
        <v>3</v>
      </c>
      <c r="C12" s="235"/>
      <c r="D12" s="259">
        <f>IncomeStatement!E21</f>
        <v>907414076.15999985</v>
      </c>
      <c r="E12" s="368">
        <f>-1*IncomeStatement!E25</f>
        <v>-80065048.377599984</v>
      </c>
      <c r="F12" s="370">
        <f>-1*IncomeStatement!E23</f>
        <v>-179550000</v>
      </c>
      <c r="G12" s="259">
        <f>Depreciation!F10</f>
        <v>380000000</v>
      </c>
      <c r="H12" s="229">
        <f t="shared" si="4"/>
        <v>1027799027.7823999</v>
      </c>
      <c r="I12" s="229"/>
      <c r="J12" s="229">
        <f t="shared" ref="J12:J18" si="10">H12+I12</f>
        <v>1027799027.7823999</v>
      </c>
      <c r="K12" s="225"/>
      <c r="L12" s="236">
        <f t="shared" si="0"/>
        <v>0.71178024781341087</v>
      </c>
      <c r="M12" s="229">
        <f t="shared" si="5"/>
        <v>731567046.69733942</v>
      </c>
      <c r="N12" s="229">
        <f t="shared" si="6"/>
        <v>-2564359165.1649051</v>
      </c>
      <c r="O12" s="237"/>
      <c r="P12" s="236">
        <f t="shared" si="1"/>
        <v>0.60704300297011926</v>
      </c>
      <c r="Q12" s="229">
        <f t="shared" si="2"/>
        <v>623918208.27479708</v>
      </c>
      <c r="R12" s="229">
        <f t="shared" ref="R12:R19" si="11">Q12+R11</f>
        <v>-2770998564.8322301</v>
      </c>
      <c r="S12" s="238"/>
      <c r="T12" s="192">
        <f t="shared" si="7"/>
        <v>731567046.69733942</v>
      </c>
      <c r="U12" s="192">
        <f t="shared" si="8"/>
        <v>0</v>
      </c>
      <c r="V12" s="192"/>
      <c r="W12" s="192"/>
      <c r="X12" s="192"/>
      <c r="Y12" s="374">
        <f t="shared" si="3"/>
        <v>2.210681407406081</v>
      </c>
      <c r="Z12" s="745">
        <f t="shared" si="9"/>
        <v>2272136201.2685976</v>
      </c>
    </row>
    <row r="13" spans="1:34" ht="10.5" customHeight="1" x14ac:dyDescent="0.2">
      <c r="A13" s="768"/>
      <c r="B13" s="235">
        <v>4</v>
      </c>
      <c r="C13" s="235"/>
      <c r="D13" s="259">
        <f>IncomeStatement!F21</f>
        <v>933302357.68319988</v>
      </c>
      <c r="E13" s="368">
        <f>-1*IncomeStatement!F25</f>
        <v>-90812959.345151991</v>
      </c>
      <c r="F13" s="370">
        <f>-1*IncomeStatement!F23</f>
        <v>-107730000</v>
      </c>
      <c r="G13" s="259">
        <f>Depreciation!F11</f>
        <v>380000000</v>
      </c>
      <c r="H13" s="229">
        <f t="shared" si="4"/>
        <v>1114759398.338048</v>
      </c>
      <c r="I13" s="229"/>
      <c r="J13" s="229">
        <f t="shared" si="10"/>
        <v>1114759398.338048</v>
      </c>
      <c r="K13" s="237"/>
      <c r="L13" s="236">
        <f t="shared" si="0"/>
        <v>0.63551807840483121</v>
      </c>
      <c r="M13" s="229">
        <f t="shared" si="5"/>
        <v>708449750.71552205</v>
      </c>
      <c r="N13" s="229">
        <f t="shared" si="6"/>
        <v>-1855909414.449383</v>
      </c>
      <c r="O13" s="237"/>
      <c r="P13" s="236">
        <f t="shared" si="1"/>
        <v>0.51399545269912372</v>
      </c>
      <c r="Q13" s="229">
        <f t="shared" si="2"/>
        <v>572981261.59936774</v>
      </c>
      <c r="R13" s="229">
        <f t="shared" si="11"/>
        <v>-2198017303.2328625</v>
      </c>
      <c r="S13" s="238"/>
      <c r="T13" s="192">
        <f t="shared" si="7"/>
        <v>708449750.71552205</v>
      </c>
      <c r="U13" s="192">
        <f t="shared" si="8"/>
        <v>0</v>
      </c>
      <c r="V13" s="192"/>
      <c r="W13" s="192"/>
      <c r="X13" s="192"/>
      <c r="Y13" s="374">
        <f t="shared" si="3"/>
        <v>1.9738226851840008</v>
      </c>
      <c r="Z13" s="745">
        <f t="shared" si="9"/>
        <v>2200337388.9617071</v>
      </c>
    </row>
    <row r="14" spans="1:34" ht="10.5" customHeight="1" x14ac:dyDescent="0.2">
      <c r="A14" s="768"/>
      <c r="B14" s="235">
        <v>5</v>
      </c>
      <c r="C14" s="235"/>
      <c r="D14" s="259">
        <f>IncomeStatement!G21</f>
        <v>959708404.83686423</v>
      </c>
      <c r="E14" s="368">
        <f>-1*IncomeStatement!G25</f>
        <v>-101617824.53205507</v>
      </c>
      <c r="F14" s="370">
        <f>-1*IncomeStatement!G23</f>
        <v>-35910000</v>
      </c>
      <c r="G14" s="259">
        <f>Depreciation!F12</f>
        <v>380000000</v>
      </c>
      <c r="H14" s="229">
        <f t="shared" si="4"/>
        <v>1202180580.3048091</v>
      </c>
      <c r="I14" s="229"/>
      <c r="J14" s="229">
        <f t="shared" si="10"/>
        <v>1202180580.3048091</v>
      </c>
      <c r="K14" s="237"/>
      <c r="L14" s="236">
        <f t="shared" si="0"/>
        <v>0.56742685571859919</v>
      </c>
      <c r="M14" s="229">
        <f t="shared" si="5"/>
        <v>682149546.68831873</v>
      </c>
      <c r="N14" s="229">
        <f t="shared" si="6"/>
        <v>-1173759867.7610643</v>
      </c>
      <c r="O14" s="237"/>
      <c r="P14" s="236">
        <f t="shared" si="1"/>
        <v>0.43521023074601117</v>
      </c>
      <c r="Q14" s="229">
        <f t="shared" si="2"/>
        <v>523201287.75282955</v>
      </c>
      <c r="R14" s="229">
        <f t="shared" si="11"/>
        <v>-1674816015.4800329</v>
      </c>
      <c r="S14" s="238"/>
      <c r="T14" s="192">
        <f t="shared" si="7"/>
        <v>682149546.68831873</v>
      </c>
      <c r="U14" s="192">
        <f t="shared" si="8"/>
        <v>0</v>
      </c>
      <c r="V14" s="192"/>
      <c r="W14" s="192"/>
      <c r="X14" s="192"/>
      <c r="Y14" s="374">
        <f t="shared" si="3"/>
        <v>1.7623416832000005</v>
      </c>
      <c r="Z14" s="745">
        <f t="shared" si="9"/>
        <v>2118652947.4047306</v>
      </c>
      <c r="AH14" s="238"/>
    </row>
    <row r="15" spans="1:34" ht="10.5" customHeight="1" x14ac:dyDescent="0.2">
      <c r="A15" s="768"/>
      <c r="B15" s="235">
        <v>6</v>
      </c>
      <c r="C15" s="235"/>
      <c r="D15" s="259">
        <f>IncomeStatement!H21</f>
        <v>914642572.93360114</v>
      </c>
      <c r="E15" s="368">
        <f>-1*IncomeStatement!H25</f>
        <v>-100610683.02269612</v>
      </c>
      <c r="F15" s="370">
        <f>-1*IncomeStatement!H23</f>
        <v>0</v>
      </c>
      <c r="G15" s="259">
        <f>Depreciation!F13</f>
        <v>380000000</v>
      </c>
      <c r="H15" s="229">
        <f t="shared" si="4"/>
        <v>1194031889.9109049</v>
      </c>
      <c r="I15" s="229"/>
      <c r="J15" s="229">
        <f t="shared" si="10"/>
        <v>1194031889.9109049</v>
      </c>
      <c r="K15" s="237"/>
      <c r="L15" s="236">
        <f t="shared" si="0"/>
        <v>0.50663112117732068</v>
      </c>
      <c r="M15" s="229">
        <f t="shared" si="5"/>
        <v>604933715.10703683</v>
      </c>
      <c r="N15" s="229">
        <f t="shared" si="6"/>
        <v>-568826152.65402746</v>
      </c>
      <c r="O15" s="237"/>
      <c r="P15" s="236">
        <f t="shared" si="1"/>
        <v>0.36850120745498022</v>
      </c>
      <c r="Q15" s="229">
        <f t="shared" si="2"/>
        <v>440002193.17192048</v>
      </c>
      <c r="R15" s="229">
        <f t="shared" si="11"/>
        <v>-1234813822.3081124</v>
      </c>
      <c r="S15" s="238"/>
      <c r="T15" s="192">
        <f t="shared" si="7"/>
        <v>604933715.10703683</v>
      </c>
      <c r="U15" s="192">
        <f t="shared" si="8"/>
        <v>0</v>
      </c>
      <c r="V15" s="192"/>
      <c r="W15" s="192"/>
      <c r="X15" s="192"/>
      <c r="Y15" s="374">
        <f t="shared" si="3"/>
        <v>1.5735193600000004</v>
      </c>
      <c r="Z15" s="745">
        <f t="shared" si="9"/>
        <v>1878832295.232198</v>
      </c>
    </row>
    <row r="16" spans="1:34" ht="10.5" customHeight="1" x14ac:dyDescent="0.2">
      <c r="A16" s="768"/>
      <c r="B16" s="235">
        <v>7</v>
      </c>
      <c r="C16" s="235"/>
      <c r="D16" s="259">
        <f>IncomeStatement!I21</f>
        <v>940675424.39227307</v>
      </c>
      <c r="E16" s="368">
        <f>-1*IncomeStatement!I25</f>
        <v>-103474296.68315004</v>
      </c>
      <c r="F16" s="370">
        <f>-1*IncomeStatement!I23</f>
        <v>0</v>
      </c>
      <c r="G16" s="259">
        <f>Depreciation!F14</f>
        <v>380000000</v>
      </c>
      <c r="H16" s="229">
        <f t="shared" si="4"/>
        <v>1217201127.7091231</v>
      </c>
      <c r="I16" s="229"/>
      <c r="J16" s="229">
        <f t="shared" si="10"/>
        <v>1217201127.7091231</v>
      </c>
      <c r="K16" s="237"/>
      <c r="L16" s="236">
        <f t="shared" si="0"/>
        <v>0.45234921533689343</v>
      </c>
      <c r="M16" s="229">
        <f t="shared" si="5"/>
        <v>550599975.02640367</v>
      </c>
      <c r="N16" s="229">
        <f t="shared" si="6"/>
        <v>-18226177.627623796</v>
      </c>
      <c r="O16" s="237"/>
      <c r="P16" s="236">
        <f t="shared" si="1"/>
        <v>0.31201734311946194</v>
      </c>
      <c r="Q16" s="229">
        <f t="shared" si="2"/>
        <v>379787861.90981346</v>
      </c>
      <c r="R16" s="229">
        <f t="shared" si="11"/>
        <v>-855025960.39829898</v>
      </c>
      <c r="S16" s="238"/>
      <c r="T16" s="192">
        <f t="shared" si="7"/>
        <v>550599975.02640367</v>
      </c>
      <c r="U16" s="192">
        <f t="shared" si="8"/>
        <v>0</v>
      </c>
      <c r="V16" s="192"/>
      <c r="W16" s="192"/>
      <c r="X16" s="192"/>
      <c r="Y16" s="374">
        <f t="shared" si="3"/>
        <v>1.4049280000000004</v>
      </c>
      <c r="Z16" s="745">
        <f t="shared" si="9"/>
        <v>1710079945.9501235</v>
      </c>
    </row>
    <row r="17" spans="1:34" ht="10.5" customHeight="1" x14ac:dyDescent="0.2">
      <c r="A17" s="768"/>
      <c r="B17" s="235">
        <v>8</v>
      </c>
      <c r="C17" s="235"/>
      <c r="D17" s="259">
        <f>IncomeStatement!J21</f>
        <v>967228932.88011873</v>
      </c>
      <c r="E17" s="368">
        <f>-1*IncomeStatement!J25</f>
        <v>-106395182.61681306</v>
      </c>
      <c r="F17" s="370">
        <f>-1*IncomeStatement!J23</f>
        <v>0</v>
      </c>
      <c r="G17" s="259">
        <f>Depreciation!F15</f>
        <v>380000000</v>
      </c>
      <c r="H17" s="229">
        <f t="shared" si="4"/>
        <v>1240833750.2633057</v>
      </c>
      <c r="I17" s="229"/>
      <c r="J17" s="229">
        <f t="shared" si="10"/>
        <v>1240833750.2633057</v>
      </c>
      <c r="K17" s="237"/>
      <c r="L17" s="236">
        <f t="shared" si="0"/>
        <v>0.4038832279793691</v>
      </c>
      <c r="M17" s="229">
        <f t="shared" si="5"/>
        <v>501151940.44209021</v>
      </c>
      <c r="N17" s="229">
        <f t="shared" si="6"/>
        <v>482925762.81446642</v>
      </c>
      <c r="O17" s="237"/>
      <c r="P17" s="236">
        <f t="shared" si="1"/>
        <v>0.26419132539537715</v>
      </c>
      <c r="Q17" s="229">
        <f t="shared" si="2"/>
        <v>327817513.07737911</v>
      </c>
      <c r="R17" s="229">
        <f t="shared" si="11"/>
        <v>-527208447.32091987</v>
      </c>
      <c r="S17" s="238"/>
      <c r="T17" s="192">
        <f t="shared" si="7"/>
        <v>501151940.44209021</v>
      </c>
      <c r="U17" s="192">
        <f t="shared" si="8"/>
        <v>0</v>
      </c>
      <c r="V17" s="192"/>
      <c r="W17" s="192"/>
      <c r="X17" s="192"/>
      <c r="Y17" s="374">
        <f t="shared" si="3"/>
        <v>1.2544000000000002</v>
      </c>
      <c r="Z17" s="745">
        <f t="shared" si="9"/>
        <v>1556501856.3302908</v>
      </c>
      <c r="AH17" s="241"/>
    </row>
    <row r="18" spans="1:34" ht="10.5" customHeight="1" x14ac:dyDescent="0.2">
      <c r="A18" s="768"/>
      <c r="B18" s="235">
        <v>9</v>
      </c>
      <c r="C18" s="235"/>
      <c r="D18" s="259">
        <f>IncomeStatement!K21</f>
        <v>994313511.53772104</v>
      </c>
      <c r="E18" s="368">
        <f>-1*IncomeStatement!K25</f>
        <v>-109374486.26914932</v>
      </c>
      <c r="F18" s="370">
        <f>-1*IncomeStatement!K23</f>
        <v>0</v>
      </c>
      <c r="G18" s="259">
        <f>Depreciation!F16</f>
        <v>380000000</v>
      </c>
      <c r="H18" s="229">
        <f t="shared" si="4"/>
        <v>1264939025.2685719</v>
      </c>
      <c r="I18" s="229"/>
      <c r="J18" s="229">
        <f t="shared" si="10"/>
        <v>1264939025.2685719</v>
      </c>
      <c r="K18" s="237"/>
      <c r="L18" s="236">
        <f t="shared" si="0"/>
        <v>0.36061002498157957</v>
      </c>
      <c r="M18" s="229">
        <f t="shared" si="5"/>
        <v>456149693.50227463</v>
      </c>
      <c r="N18" s="229">
        <f t="shared" si="6"/>
        <v>939075456.31674099</v>
      </c>
      <c r="O18" s="237"/>
      <c r="P18" s="236">
        <f t="shared" si="1"/>
        <v>0.2236960795715861</v>
      </c>
      <c r="Q18" s="229">
        <f t="shared" si="2"/>
        <v>282961900.84968299</v>
      </c>
      <c r="R18" s="229">
        <f t="shared" si="11"/>
        <v>-244246546.47123688</v>
      </c>
      <c r="S18" s="238"/>
      <c r="T18" s="192">
        <f t="shared" si="7"/>
        <v>456149693.50227463</v>
      </c>
      <c r="U18" s="192">
        <f t="shared" si="8"/>
        <v>0</v>
      </c>
      <c r="V18" s="192"/>
      <c r="W18" s="192"/>
      <c r="X18" s="192"/>
      <c r="Y18" s="374">
        <f t="shared" si="3"/>
        <v>1.1200000000000001</v>
      </c>
      <c r="Z18" s="745">
        <f t="shared" si="9"/>
        <v>1416731708.3008006</v>
      </c>
    </row>
    <row r="19" spans="1:34" ht="10.5" customHeight="1" x14ac:dyDescent="0.2">
      <c r="A19" s="768"/>
      <c r="B19" s="235">
        <v>10</v>
      </c>
      <c r="C19" s="235"/>
      <c r="D19" s="259">
        <f>IncomeStatement!L21</f>
        <v>1021939781.7684753</v>
      </c>
      <c r="E19" s="368">
        <f>-1*IncomeStatement!L25</f>
        <v>-112413375.99453229</v>
      </c>
      <c r="F19" s="370">
        <f>-1*IncomeStatement!L23</f>
        <v>0</v>
      </c>
      <c r="G19" s="259">
        <f>Depreciation!F17</f>
        <v>380000000</v>
      </c>
      <c r="H19" s="229">
        <f t="shared" si="4"/>
        <v>1289526405.7739429</v>
      </c>
      <c r="I19" s="229"/>
      <c r="J19" s="229">
        <f>H19+I19</f>
        <v>1289526405.7739429</v>
      </c>
      <c r="K19" s="237"/>
      <c r="L19" s="236">
        <f t="shared" si="0"/>
        <v>0.32197323659069599</v>
      </c>
      <c r="M19" s="229">
        <f>L19*J19</f>
        <v>415192990.53620356</v>
      </c>
      <c r="N19" s="229">
        <f>M19+N18</f>
        <v>1354268446.8529446</v>
      </c>
      <c r="O19" s="237"/>
      <c r="P19" s="236">
        <f t="shared" si="1"/>
        <v>0.18940794494599628</v>
      </c>
      <c r="Q19" s="229">
        <f t="shared" si="2"/>
        <v>244246546.47123945</v>
      </c>
      <c r="R19" s="229">
        <f t="shared" si="11"/>
        <v>2.5629997253417969E-6</v>
      </c>
      <c r="S19" s="238"/>
      <c r="T19" s="192">
        <f t="shared" si="7"/>
        <v>415192990.53620356</v>
      </c>
      <c r="U19" s="192">
        <f t="shared" si="8"/>
        <v>0</v>
      </c>
      <c r="V19" s="192"/>
      <c r="W19" s="192"/>
      <c r="X19" s="192"/>
      <c r="Y19" s="374">
        <f t="shared" si="3"/>
        <v>1</v>
      </c>
      <c r="Z19" s="745">
        <f t="shared" si="9"/>
        <v>1289526405.7739429</v>
      </c>
    </row>
    <row r="20" spans="1:34" ht="10.5" customHeight="1" x14ac:dyDescent="0.25">
      <c r="A20" s="239"/>
      <c r="B20" s="239"/>
      <c r="C20" s="239"/>
      <c r="D20" s="239"/>
      <c r="E20" s="239"/>
      <c r="F20" s="239"/>
      <c r="G20" s="239" t="s">
        <v>654</v>
      </c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184"/>
      <c r="T20" s="240"/>
      <c r="U20" s="240"/>
      <c r="V20" s="240"/>
      <c r="W20" s="240"/>
      <c r="X20" s="240"/>
      <c r="Y20" s="240"/>
      <c r="Z20" s="240"/>
    </row>
    <row r="21" spans="1:34" ht="10.5" customHeight="1" x14ac:dyDescent="0.25">
      <c r="E21" s="187"/>
      <c r="F21" s="187"/>
      <c r="G21" s="187"/>
      <c r="J21" s="187"/>
    </row>
    <row r="22" spans="1:34" ht="10.5" customHeight="1" x14ac:dyDescent="0.25">
      <c r="E22" s="187"/>
      <c r="F22" s="187"/>
      <c r="G22" s="187"/>
      <c r="J22" s="187"/>
    </row>
    <row r="23" spans="1:34" ht="10.5" customHeight="1" x14ac:dyDescent="0.25">
      <c r="C23" s="180"/>
      <c r="D23" s="242" t="s">
        <v>181</v>
      </c>
      <c r="J23" s="373" t="s">
        <v>665</v>
      </c>
      <c r="Q23" s="195" t="s">
        <v>671</v>
      </c>
    </row>
    <row r="24" spans="1:34" ht="10.5" customHeight="1" x14ac:dyDescent="0.2">
      <c r="C24" s="180"/>
      <c r="D24" s="246" t="s">
        <v>679</v>
      </c>
      <c r="G24" s="247">
        <f>M6*100</f>
        <v>12</v>
      </c>
      <c r="H24" s="218" t="s">
        <v>62</v>
      </c>
      <c r="J24" s="187" t="s">
        <v>666</v>
      </c>
      <c r="N24" s="439">
        <f>-1*X9</f>
        <v>4500000000</v>
      </c>
      <c r="O24" s="180" t="s">
        <v>659</v>
      </c>
      <c r="Q24" s="180" t="s">
        <v>672</v>
      </c>
      <c r="W24" s="370">
        <f>B16</f>
        <v>7</v>
      </c>
      <c r="X24" s="180" t="s">
        <v>536</v>
      </c>
    </row>
    <row r="25" spans="1:34" ht="10.5" customHeight="1" x14ac:dyDescent="0.2">
      <c r="C25" s="180"/>
      <c r="D25" s="246" t="s">
        <v>268</v>
      </c>
      <c r="G25" s="250">
        <f>-1*I9</f>
        <v>4500000000</v>
      </c>
      <c r="H25" s="218" t="s">
        <v>655</v>
      </c>
      <c r="J25" s="187" t="s">
        <v>667</v>
      </c>
      <c r="N25" s="370">
        <f>SUM(Z10:Z19)</f>
        <v>18182469166.824265</v>
      </c>
      <c r="O25" s="180" t="s">
        <v>659</v>
      </c>
      <c r="Q25" s="180" t="s">
        <v>673</v>
      </c>
      <c r="W25" s="370">
        <f>N16</f>
        <v>-18226177.627623796</v>
      </c>
      <c r="X25" s="180" t="s">
        <v>659</v>
      </c>
    </row>
    <row r="26" spans="1:34" ht="10.5" customHeight="1" x14ac:dyDescent="0.2">
      <c r="C26" s="180"/>
      <c r="D26" s="241" t="s">
        <v>81</v>
      </c>
      <c r="G26" s="251">
        <f>NPV(11%,H10:H19)-G25</f>
        <v>1632753674.3524904</v>
      </c>
      <c r="H26" s="218" t="s">
        <v>655</v>
      </c>
      <c r="J26" s="187" t="s">
        <v>668</v>
      </c>
      <c r="N26" s="440">
        <f>M6*100</f>
        <v>12</v>
      </c>
      <c r="O26" s="180" t="s">
        <v>60</v>
      </c>
      <c r="Q26" s="180" t="s">
        <v>674</v>
      </c>
      <c r="W26" s="370">
        <f>M17</f>
        <v>501151940.44209021</v>
      </c>
      <c r="X26" s="180" t="s">
        <v>659</v>
      </c>
    </row>
    <row r="27" spans="1:34" ht="10.5" customHeight="1" x14ac:dyDescent="0.2">
      <c r="C27" s="180"/>
      <c r="D27" s="246" t="s">
        <v>179</v>
      </c>
      <c r="G27" s="252">
        <f>R6*100</f>
        <v>18.102796392921125</v>
      </c>
      <c r="H27" s="218" t="s">
        <v>60</v>
      </c>
      <c r="J27" s="187" t="s">
        <v>669</v>
      </c>
      <c r="N27" s="370">
        <f>Assumption!E21</f>
        <v>10</v>
      </c>
      <c r="O27" s="180" t="s">
        <v>536</v>
      </c>
      <c r="Q27" s="180" t="s">
        <v>675</v>
      </c>
      <c r="W27" s="385">
        <f>W24-(W25/W26)</f>
        <v>7.0363685664103102</v>
      </c>
      <c r="X27" s="180" t="s">
        <v>536</v>
      </c>
    </row>
    <row r="28" spans="1:34" ht="10.5" customHeight="1" x14ac:dyDescent="0.25">
      <c r="C28" s="180"/>
      <c r="D28" s="182" t="s">
        <v>680</v>
      </c>
      <c r="G28" s="369">
        <f>N28</f>
        <v>14.985753265244895</v>
      </c>
      <c r="H28" s="180" t="s">
        <v>60</v>
      </c>
      <c r="J28" s="187" t="s">
        <v>730</v>
      </c>
      <c r="N28" s="440">
        <f>100*((N25/N24)^(1/N27)-1)</f>
        <v>14.985753265244895</v>
      </c>
      <c r="O28" s="180" t="s">
        <v>60</v>
      </c>
    </row>
    <row r="29" spans="1:34" ht="10.5" customHeight="1" x14ac:dyDescent="0.2">
      <c r="C29" s="180"/>
      <c r="D29" s="246" t="s">
        <v>82</v>
      </c>
      <c r="G29" s="731">
        <f>N33</f>
        <v>1.3009485437450985</v>
      </c>
      <c r="H29" s="218"/>
      <c r="Q29" s="242" t="s">
        <v>264</v>
      </c>
    </row>
    <row r="30" spans="1:34" ht="10.5" customHeight="1" x14ac:dyDescent="0.25">
      <c r="C30" s="180"/>
      <c r="D30" s="246" t="s">
        <v>180</v>
      </c>
      <c r="G30" s="539">
        <f>W27-B9</f>
        <v>7.0363685664103102</v>
      </c>
      <c r="H30" s="241"/>
      <c r="J30" s="373" t="s">
        <v>676</v>
      </c>
      <c r="Q30" s="246" t="s">
        <v>735</v>
      </c>
      <c r="T30" s="440">
        <f>IncomeStatement!N34*100</f>
        <v>31.644096324780957</v>
      </c>
      <c r="U30" s="180" t="s">
        <v>60</v>
      </c>
    </row>
    <row r="31" spans="1:34" ht="10.5" customHeight="1" x14ac:dyDescent="0.25">
      <c r="E31" s="187"/>
      <c r="F31" s="187"/>
      <c r="G31" s="187"/>
      <c r="H31" s="182"/>
      <c r="J31" s="187" t="s">
        <v>677</v>
      </c>
      <c r="N31" s="370">
        <f>SUM(T10:T19)</f>
        <v>5854268446.8529434</v>
      </c>
      <c r="O31" s="180" t="s">
        <v>659</v>
      </c>
      <c r="Q31" s="246" t="s">
        <v>736</v>
      </c>
      <c r="T31" s="440">
        <f>IncomeStatement!N35*100</f>
        <v>19.028173803647871</v>
      </c>
      <c r="U31" s="180" t="s">
        <v>60</v>
      </c>
    </row>
    <row r="32" spans="1:34" ht="10.5" customHeight="1" x14ac:dyDescent="0.25">
      <c r="E32" s="187"/>
      <c r="F32" s="187"/>
      <c r="G32" s="187"/>
      <c r="J32" s="187" t="s">
        <v>678</v>
      </c>
      <c r="N32" s="370">
        <f>SUM(U9:U19)</f>
        <v>4500000000</v>
      </c>
      <c r="O32" s="180" t="s">
        <v>659</v>
      </c>
      <c r="Q32" s="246"/>
      <c r="S32" s="441"/>
      <c r="T32" s="246"/>
    </row>
    <row r="33" spans="1:24" ht="10.5" customHeight="1" x14ac:dyDescent="0.2">
      <c r="E33" s="187"/>
      <c r="F33" s="187"/>
      <c r="G33" s="658"/>
      <c r="J33" s="187" t="s">
        <v>82</v>
      </c>
      <c r="N33" s="730">
        <f>N31/N32</f>
        <v>1.3009485437450985</v>
      </c>
      <c r="Q33" s="242"/>
      <c r="T33" s="442"/>
      <c r="U33" s="202"/>
    </row>
    <row r="34" spans="1:24" ht="10.5" customHeight="1" x14ac:dyDescent="0.25">
      <c r="E34" s="187"/>
      <c r="F34" s="187"/>
      <c r="G34" s="187"/>
      <c r="R34" s="257"/>
      <c r="S34" s="246"/>
    </row>
    <row r="35" spans="1:24" ht="10.5" customHeight="1" x14ac:dyDescent="0.25">
      <c r="E35" s="187"/>
      <c r="F35" s="187"/>
      <c r="G35" s="187"/>
      <c r="J35" s="187"/>
      <c r="P35" s="246"/>
      <c r="R35" s="256"/>
      <c r="S35" s="216"/>
    </row>
    <row r="36" spans="1:24" ht="10.5" customHeight="1" x14ac:dyDescent="0.25">
      <c r="E36" s="187"/>
      <c r="F36" s="187"/>
      <c r="G36" s="187"/>
      <c r="J36" s="187"/>
      <c r="P36" s="246"/>
      <c r="R36" s="256"/>
      <c r="S36" s="216"/>
    </row>
    <row r="37" spans="1:24" ht="10.5" customHeight="1" x14ac:dyDescent="0.2">
      <c r="E37" s="187"/>
      <c r="F37" s="187"/>
      <c r="G37" s="187"/>
      <c r="J37" s="187"/>
      <c r="P37" s="246"/>
      <c r="R37" s="258"/>
      <c r="S37" s="202"/>
    </row>
    <row r="38" spans="1:24" ht="10.5" customHeight="1" x14ac:dyDescent="0.25">
      <c r="E38" s="187"/>
      <c r="F38" s="187"/>
      <c r="G38" s="187"/>
      <c r="J38" s="187"/>
    </row>
    <row r="39" spans="1:24" ht="10.5" customHeight="1" x14ac:dyDescent="0.25">
      <c r="E39" s="187"/>
      <c r="F39" s="187"/>
      <c r="G39" s="187"/>
      <c r="J39" s="187"/>
    </row>
    <row r="40" spans="1:24" ht="10.5" customHeight="1" x14ac:dyDescent="0.25">
      <c r="E40" s="187"/>
      <c r="F40" s="187"/>
      <c r="G40" s="187"/>
      <c r="J40" s="187"/>
    </row>
    <row r="41" spans="1:24" ht="10.5" customHeight="1" x14ac:dyDescent="0.25">
      <c r="E41" s="187"/>
      <c r="F41" s="187"/>
      <c r="G41" s="187"/>
      <c r="J41" s="187"/>
    </row>
    <row r="42" spans="1:24" ht="10.5" customHeight="1" x14ac:dyDescent="0.25">
      <c r="E42" s="187"/>
      <c r="F42" s="187"/>
      <c r="G42" s="187"/>
      <c r="J42" s="187"/>
    </row>
    <row r="43" spans="1:24" ht="10.5" customHeight="1" x14ac:dyDescent="0.25">
      <c r="E43" s="187"/>
      <c r="F43" s="187"/>
      <c r="G43" s="187"/>
      <c r="J43" s="187"/>
    </row>
    <row r="44" spans="1:24" ht="10.5" customHeight="1" x14ac:dyDescent="0.25">
      <c r="A44" s="367" t="s">
        <v>656</v>
      </c>
    </row>
    <row r="45" spans="1:24" ht="10.5" customHeight="1" x14ac:dyDescent="0.25">
      <c r="A45" s="180"/>
    </row>
    <row r="46" spans="1:24" ht="10.5" customHeight="1" x14ac:dyDescent="0.25">
      <c r="A46" s="180"/>
      <c r="P46" s="765"/>
      <c r="Q46" s="765"/>
      <c r="R46" s="765"/>
      <c r="S46" s="765"/>
      <c r="T46" s="375"/>
      <c r="U46" s="376"/>
      <c r="V46" s="376"/>
      <c r="W46" s="376"/>
      <c r="X46" s="376"/>
    </row>
    <row r="47" spans="1:24" ht="10.5" customHeight="1" x14ac:dyDescent="0.25">
      <c r="A47" s="180"/>
      <c r="P47" s="763"/>
      <c r="Q47" s="763"/>
      <c r="R47" s="763"/>
      <c r="S47" s="763"/>
      <c r="T47" s="226"/>
      <c r="U47" s="226"/>
      <c r="V47" s="377"/>
      <c r="W47" s="226"/>
      <c r="X47" s="226"/>
    </row>
    <row r="48" spans="1:24" ht="10.5" customHeight="1" x14ac:dyDescent="0.25">
      <c r="A48" s="180"/>
      <c r="P48" s="764"/>
      <c r="Q48" s="764"/>
      <c r="R48" s="764"/>
      <c r="S48" s="764"/>
      <c r="T48" s="226"/>
      <c r="U48" s="368"/>
      <c r="V48" s="377"/>
      <c r="W48" s="368"/>
      <c r="X48" s="368"/>
    </row>
    <row r="49" spans="1:24" ht="10.5" customHeight="1" x14ac:dyDescent="0.25">
      <c r="A49" s="180"/>
      <c r="P49" s="764"/>
      <c r="Q49" s="764"/>
      <c r="R49" s="764"/>
      <c r="S49" s="764"/>
      <c r="T49" s="226"/>
      <c r="U49" s="368"/>
      <c r="V49" s="377"/>
      <c r="W49" s="368"/>
      <c r="X49" s="368"/>
    </row>
    <row r="50" spans="1:24" ht="10.5" customHeight="1" x14ac:dyDescent="0.25">
      <c r="A50" s="180"/>
      <c r="P50" s="764"/>
      <c r="Q50" s="764"/>
      <c r="R50" s="764"/>
      <c r="S50" s="764"/>
      <c r="T50" s="226"/>
      <c r="U50" s="378"/>
      <c r="V50" s="379"/>
      <c r="W50" s="378"/>
      <c r="X50" s="380"/>
    </row>
    <row r="51" spans="1:24" ht="10.5" customHeight="1" x14ac:dyDescent="0.25">
      <c r="H51" s="241"/>
      <c r="P51" s="764"/>
      <c r="Q51" s="764"/>
      <c r="R51" s="764"/>
      <c r="S51" s="764"/>
      <c r="T51" s="226"/>
      <c r="U51" s="368"/>
      <c r="V51" s="377"/>
      <c r="W51" s="381"/>
      <c r="X51" s="381"/>
    </row>
    <row r="52" spans="1:24" ht="10.5" customHeight="1" x14ac:dyDescent="0.25">
      <c r="H52" s="241"/>
      <c r="P52" s="764"/>
      <c r="Q52" s="764"/>
      <c r="R52" s="764"/>
      <c r="S52" s="764"/>
      <c r="T52" s="226"/>
      <c r="U52" s="382"/>
      <c r="V52" s="383"/>
      <c r="W52" s="382"/>
      <c r="X52" s="384"/>
    </row>
    <row r="53" spans="1:24" ht="10.5" customHeight="1" x14ac:dyDescent="0.25">
      <c r="P53" s="764"/>
      <c r="Q53" s="764"/>
      <c r="R53" s="764"/>
      <c r="S53" s="764"/>
      <c r="T53" s="226"/>
      <c r="U53" s="226"/>
      <c r="V53" s="385"/>
      <c r="W53" s="226"/>
      <c r="X53" s="226"/>
    </row>
    <row r="54" spans="1:24" ht="10.5" customHeight="1" x14ac:dyDescent="0.25">
      <c r="A54" s="180"/>
      <c r="B54" s="180"/>
    </row>
    <row r="55" spans="1:24" ht="10.5" customHeight="1" x14ac:dyDescent="0.25">
      <c r="A55" s="180"/>
      <c r="B55" s="180"/>
      <c r="C55" s="246"/>
    </row>
    <row r="56" spans="1:24" ht="10.5" customHeight="1" x14ac:dyDescent="0.25">
      <c r="A56" s="180"/>
      <c r="B56" s="180"/>
      <c r="C56" s="246"/>
      <c r="L56" s="355" t="s">
        <v>163</v>
      </c>
      <c r="M56" s="244"/>
      <c r="N56" s="244"/>
      <c r="O56" s="358"/>
      <c r="P56" s="245"/>
      <c r="R56" s="355" t="s">
        <v>163</v>
      </c>
      <c r="S56" s="244"/>
      <c r="T56" s="243" t="s">
        <v>129</v>
      </c>
      <c r="U56" s="245"/>
      <c r="V56" s="248"/>
      <c r="W56" s="248"/>
      <c r="X56" s="248"/>
    </row>
    <row r="57" spans="1:24" ht="10.5" customHeight="1" x14ac:dyDescent="0.25">
      <c r="A57" s="180"/>
      <c r="B57" s="180"/>
      <c r="C57" s="246"/>
      <c r="L57" s="356" t="s">
        <v>624</v>
      </c>
      <c r="M57" s="248"/>
      <c r="N57" s="248"/>
      <c r="O57" s="360" t="s">
        <v>625</v>
      </c>
      <c r="P57" s="249"/>
      <c r="R57" s="356" t="s">
        <v>624</v>
      </c>
      <c r="S57" s="248"/>
      <c r="T57" s="359" t="s">
        <v>129</v>
      </c>
      <c r="U57" s="362" t="s">
        <v>625</v>
      </c>
      <c r="V57" s="360"/>
      <c r="W57" s="360"/>
      <c r="X57" s="360"/>
    </row>
    <row r="58" spans="1:24" ht="10.5" customHeight="1" x14ac:dyDescent="0.25">
      <c r="A58" s="180"/>
      <c r="B58" s="180"/>
      <c r="C58" s="246"/>
      <c r="L58" s="356" t="s">
        <v>285</v>
      </c>
      <c r="M58" s="248"/>
      <c r="N58" s="248"/>
      <c r="O58" s="360"/>
      <c r="P58" s="249"/>
      <c r="R58" s="356" t="s">
        <v>285</v>
      </c>
      <c r="S58" s="248"/>
      <c r="T58" s="361" t="s">
        <v>129</v>
      </c>
      <c r="U58" s="362"/>
      <c r="V58" s="360"/>
      <c r="W58" s="360"/>
      <c r="X58" s="360"/>
    </row>
    <row r="59" spans="1:24" ht="10.5" customHeight="1" x14ac:dyDescent="0.25">
      <c r="A59" s="180"/>
      <c r="B59" s="180"/>
      <c r="C59" s="246"/>
      <c r="L59" s="356" t="s">
        <v>149</v>
      </c>
      <c r="M59" s="248"/>
      <c r="N59" s="248"/>
      <c r="O59" s="360" t="s">
        <v>625</v>
      </c>
      <c r="P59" s="249"/>
      <c r="R59" s="356" t="s">
        <v>149</v>
      </c>
      <c r="S59" s="248"/>
      <c r="T59" s="359" t="s">
        <v>129</v>
      </c>
      <c r="U59" s="362" t="s">
        <v>625</v>
      </c>
      <c r="V59" s="360"/>
      <c r="W59" s="360"/>
      <c r="X59" s="360"/>
    </row>
    <row r="60" spans="1:24" ht="10.5" customHeight="1" x14ac:dyDescent="0.25">
      <c r="A60" s="180"/>
      <c r="B60" s="180"/>
      <c r="C60" s="216"/>
      <c r="L60" s="356" t="s">
        <v>630</v>
      </c>
      <c r="M60" s="248"/>
      <c r="N60" s="248"/>
      <c r="O60" s="360"/>
      <c r="P60" s="249"/>
      <c r="R60" s="356" t="s">
        <v>628</v>
      </c>
      <c r="S60" s="248"/>
      <c r="T60" s="361" t="s">
        <v>129</v>
      </c>
      <c r="U60" s="362"/>
      <c r="V60" s="360"/>
      <c r="W60" s="360"/>
      <c r="X60" s="360"/>
    </row>
    <row r="61" spans="1:24" ht="10.5" customHeight="1" x14ac:dyDescent="0.25">
      <c r="A61" s="180"/>
      <c r="B61" s="180"/>
      <c r="C61" s="216"/>
      <c r="L61" s="356" t="s">
        <v>358</v>
      </c>
      <c r="M61" s="248"/>
      <c r="N61" s="248"/>
      <c r="O61" s="360" t="s">
        <v>625</v>
      </c>
      <c r="P61" s="249"/>
      <c r="R61" s="356" t="s">
        <v>626</v>
      </c>
      <c r="S61" s="248"/>
      <c r="T61" s="359" t="s">
        <v>129</v>
      </c>
      <c r="U61" s="362" t="s">
        <v>625</v>
      </c>
      <c r="V61" s="360"/>
      <c r="W61" s="360"/>
      <c r="X61" s="360"/>
    </row>
    <row r="62" spans="1:24" ht="10.5" customHeight="1" x14ac:dyDescent="0.25">
      <c r="A62" s="180"/>
      <c r="B62" s="180"/>
      <c r="L62" s="356" t="s">
        <v>80</v>
      </c>
      <c r="M62" s="248"/>
      <c r="N62" s="248"/>
      <c r="O62" s="360"/>
      <c r="P62" s="249"/>
      <c r="R62" s="356" t="s">
        <v>627</v>
      </c>
      <c r="S62" s="248"/>
      <c r="T62" s="361" t="s">
        <v>129</v>
      </c>
      <c r="U62" s="362"/>
      <c r="V62" s="360"/>
      <c r="W62" s="360"/>
      <c r="X62" s="360"/>
    </row>
    <row r="63" spans="1:24" ht="10.5" customHeight="1" x14ac:dyDescent="0.25">
      <c r="L63" s="356" t="s">
        <v>629</v>
      </c>
      <c r="M63" s="248"/>
      <c r="N63" s="248"/>
      <c r="O63" s="360" t="s">
        <v>625</v>
      </c>
      <c r="P63" s="249"/>
      <c r="R63" s="356" t="s">
        <v>358</v>
      </c>
      <c r="S63" s="248"/>
      <c r="T63" s="359" t="s">
        <v>129</v>
      </c>
      <c r="U63" s="362" t="s">
        <v>625</v>
      </c>
      <c r="V63" s="360"/>
      <c r="W63" s="360"/>
      <c r="X63" s="360"/>
    </row>
    <row r="64" spans="1:24" ht="10.5" customHeight="1" x14ac:dyDescent="0.25">
      <c r="A64" s="180"/>
      <c r="L64" s="356" t="s">
        <v>171</v>
      </c>
      <c r="M64" s="248"/>
      <c r="N64" s="248"/>
      <c r="O64" s="360" t="s">
        <v>625</v>
      </c>
      <c r="P64" s="249"/>
      <c r="R64" s="356" t="s">
        <v>80</v>
      </c>
      <c r="S64" s="248"/>
      <c r="T64" s="361" t="s">
        <v>129</v>
      </c>
      <c r="U64" s="362"/>
      <c r="V64" s="360"/>
      <c r="W64" s="360"/>
      <c r="X64" s="360"/>
    </row>
    <row r="65" spans="12:24" ht="10.5" customHeight="1" x14ac:dyDescent="0.25">
      <c r="L65" s="353"/>
      <c r="M65" s="248"/>
      <c r="N65" s="248"/>
      <c r="O65" s="248"/>
      <c r="P65" s="249"/>
      <c r="R65" s="356" t="s">
        <v>629</v>
      </c>
      <c r="S65" s="248"/>
      <c r="T65" s="359" t="s">
        <v>129</v>
      </c>
      <c r="U65" s="362" t="s">
        <v>625</v>
      </c>
      <c r="V65" s="360"/>
      <c r="W65" s="360"/>
      <c r="X65" s="360"/>
    </row>
    <row r="66" spans="12:24" ht="10.5" customHeight="1" x14ac:dyDescent="0.25">
      <c r="L66" s="354"/>
      <c r="M66" s="254"/>
      <c r="N66" s="254"/>
      <c r="O66" s="254"/>
      <c r="P66" s="255"/>
      <c r="R66" s="357" t="s">
        <v>171</v>
      </c>
      <c r="S66" s="254"/>
      <c r="T66" s="253" t="s">
        <v>129</v>
      </c>
      <c r="U66" s="363" t="s">
        <v>625</v>
      </c>
      <c r="V66" s="360"/>
      <c r="W66" s="360"/>
      <c r="X66" s="360"/>
    </row>
    <row r="67" spans="12:24" ht="10.5" customHeight="1" x14ac:dyDescent="0.25">
      <c r="T67" s="352"/>
    </row>
    <row r="68" spans="12:24" ht="10.5" customHeight="1" x14ac:dyDescent="0.25">
      <c r="L68" s="355" t="s">
        <v>631</v>
      </c>
      <c r="M68" s="244"/>
      <c r="N68" s="244"/>
      <c r="O68" s="244"/>
      <c r="P68" s="245"/>
      <c r="R68" s="355" t="s">
        <v>631</v>
      </c>
      <c r="S68" s="244"/>
      <c r="T68" s="245"/>
    </row>
    <row r="69" spans="12:24" ht="10.5" customHeight="1" x14ac:dyDescent="0.25">
      <c r="L69" s="356"/>
      <c r="M69" s="248" t="s">
        <v>633</v>
      </c>
      <c r="N69" s="248"/>
      <c r="O69" s="248"/>
      <c r="P69" s="249"/>
      <c r="R69" s="356"/>
      <c r="S69" s="248"/>
      <c r="T69" s="249"/>
    </row>
    <row r="70" spans="12:24" ht="10.5" customHeight="1" x14ac:dyDescent="0.25">
      <c r="L70" s="356"/>
      <c r="M70" s="248" t="s">
        <v>634</v>
      </c>
      <c r="N70" s="248"/>
      <c r="O70" s="248"/>
      <c r="P70" s="249"/>
      <c r="R70" s="356"/>
      <c r="S70" s="248"/>
      <c r="T70" s="249"/>
    </row>
    <row r="71" spans="12:24" ht="10.5" customHeight="1" x14ac:dyDescent="0.25">
      <c r="L71" s="356"/>
      <c r="M71" s="248" t="s">
        <v>635</v>
      </c>
      <c r="N71" s="248"/>
      <c r="O71" s="248"/>
      <c r="P71" s="249"/>
      <c r="R71" s="356"/>
      <c r="S71" s="248"/>
      <c r="T71" s="249"/>
    </row>
    <row r="72" spans="12:24" ht="10.5" customHeight="1" x14ac:dyDescent="0.25">
      <c r="L72" s="356"/>
      <c r="M72" s="248" t="s">
        <v>504</v>
      </c>
      <c r="N72" s="248"/>
      <c r="O72" s="248"/>
      <c r="P72" s="249"/>
      <c r="R72" s="356"/>
      <c r="S72" s="248"/>
      <c r="T72" s="249"/>
    </row>
    <row r="73" spans="12:24" ht="10.5" customHeight="1" x14ac:dyDescent="0.25">
      <c r="L73" s="356" t="s">
        <v>636</v>
      </c>
      <c r="M73" s="248"/>
      <c r="N73" s="248"/>
      <c r="O73" s="248"/>
      <c r="P73" s="249"/>
      <c r="R73" s="357" t="s">
        <v>632</v>
      </c>
      <c r="S73" s="254"/>
      <c r="T73" s="255"/>
    </row>
    <row r="74" spans="12:24" ht="10.5" customHeight="1" x14ac:dyDescent="0.25">
      <c r="L74" s="353"/>
      <c r="M74" s="248" t="s">
        <v>633</v>
      </c>
      <c r="N74" s="248"/>
      <c r="O74" s="248"/>
      <c r="P74" s="249"/>
    </row>
    <row r="75" spans="12:24" ht="10.5" customHeight="1" x14ac:dyDescent="0.25">
      <c r="L75" s="354"/>
      <c r="M75" s="254" t="s">
        <v>635</v>
      </c>
      <c r="N75" s="254"/>
      <c r="O75" s="254"/>
      <c r="P75" s="255"/>
    </row>
  </sheetData>
  <mergeCells count="19">
    <mergeCell ref="A10:A19"/>
    <mergeCell ref="A6:B8"/>
    <mergeCell ref="J6:J7"/>
    <mergeCell ref="I6:I7"/>
    <mergeCell ref="D6:D7"/>
    <mergeCell ref="E6:E7"/>
    <mergeCell ref="G6:G7"/>
    <mergeCell ref="H6:H7"/>
    <mergeCell ref="W6:Z6"/>
    <mergeCell ref="P47:S47"/>
    <mergeCell ref="P53:S53"/>
    <mergeCell ref="P52:S52"/>
    <mergeCell ref="P51:S51"/>
    <mergeCell ref="P50:S50"/>
    <mergeCell ref="P49:S49"/>
    <mergeCell ref="P48:S48"/>
    <mergeCell ref="P46:S46"/>
    <mergeCell ref="T6:U6"/>
    <mergeCell ref="P6:Q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6"/>
  <sheetViews>
    <sheetView topLeftCell="H1" zoomScale="85" zoomScaleNormal="85" workbookViewId="0">
      <pane ySplit="4" topLeftCell="A50" activePane="bottomLeft" state="frozen"/>
      <selection pane="bottomLeft" activeCell="U34" sqref="U34"/>
    </sheetView>
  </sheetViews>
  <sheetFormatPr defaultColWidth="9" defaultRowHeight="11.25" x14ac:dyDescent="0.2"/>
  <cols>
    <col min="1" max="1" width="2.875" style="168" customWidth="1"/>
    <col min="2" max="2" width="18.25" style="168" customWidth="1"/>
    <col min="3" max="3" width="6.75" style="168" customWidth="1"/>
    <col min="4" max="7" width="7.625" style="168" customWidth="1"/>
    <col min="8" max="8" width="6.125" style="168" customWidth="1"/>
    <col min="9" max="9" width="8.25" style="168" bestFit="1" customWidth="1"/>
    <col min="10" max="10" width="19.25" style="168" bestFit="1" customWidth="1"/>
    <col min="11" max="11" width="14.375" style="168" bestFit="1" customWidth="1"/>
    <col min="12" max="12" width="8.625" style="168" customWidth="1"/>
    <col min="13" max="13" width="17.875" style="168" bestFit="1" customWidth="1"/>
    <col min="14" max="14" width="15" style="168" bestFit="1" customWidth="1"/>
    <col min="15" max="15" width="9.375" style="168" bestFit="1" customWidth="1"/>
    <col min="16" max="16" width="4.75" style="168" bestFit="1" customWidth="1"/>
    <col min="17" max="17" width="12.625" style="168" bestFit="1" customWidth="1"/>
    <col min="18" max="18" width="13.25" style="168" bestFit="1" customWidth="1"/>
    <col min="19" max="19" width="12.625" style="168" bestFit="1" customWidth="1"/>
    <col min="20" max="20" width="13.75" style="168" bestFit="1" customWidth="1"/>
    <col min="21" max="22" width="14.375" style="168" bestFit="1" customWidth="1"/>
    <col min="23" max="26" width="11.625" style="168" bestFit="1" customWidth="1"/>
    <col min="27" max="27" width="12.125" style="168" bestFit="1" customWidth="1"/>
    <col min="28" max="16384" width="9" style="168"/>
  </cols>
  <sheetData>
    <row r="1" spans="1:25" x14ac:dyDescent="0.2">
      <c r="A1" s="167" t="str">
        <f>ProjectValuation!A1</f>
        <v>Bisnis Truk Thermoking</v>
      </c>
    </row>
    <row r="2" spans="1:25" x14ac:dyDescent="0.2">
      <c r="A2" s="167" t="str">
        <f>[1]Assumption!A2</f>
        <v>Financial Pre-Feasibility Study</v>
      </c>
    </row>
    <row r="3" spans="1:25" x14ac:dyDescent="0.2">
      <c r="A3" s="169" t="s">
        <v>587</v>
      </c>
      <c r="F3" s="170"/>
    </row>
    <row r="4" spans="1:25" x14ac:dyDescent="0.2">
      <c r="F4" s="170"/>
    </row>
    <row r="6" spans="1:25" x14ac:dyDescent="0.2">
      <c r="A6" s="171" t="s">
        <v>525</v>
      </c>
      <c r="B6" s="176" t="s">
        <v>526</v>
      </c>
      <c r="C6" s="176"/>
      <c r="D6" s="176"/>
    </row>
    <row r="7" spans="1:25" ht="12" thickBot="1" x14ac:dyDescent="0.25">
      <c r="B7" s="176"/>
      <c r="C7" s="176"/>
      <c r="D7" s="176"/>
    </row>
    <row r="8" spans="1:25" ht="16.5" thickBot="1" x14ac:dyDescent="0.3">
      <c r="B8" s="293" t="s">
        <v>1155</v>
      </c>
      <c r="C8" s="168" t="s">
        <v>745</v>
      </c>
      <c r="D8" s="172">
        <v>160</v>
      </c>
      <c r="F8" s="173">
        <f>Assumption!E15/10^3</f>
        <v>160</v>
      </c>
      <c r="J8" s="777" t="s">
        <v>1214</v>
      </c>
      <c r="K8" s="777"/>
      <c r="L8" s="777"/>
      <c r="M8" s="777"/>
      <c r="N8" s="777"/>
      <c r="O8" s="784" t="s">
        <v>1215</v>
      </c>
      <c r="P8" s="785"/>
      <c r="Q8" s="785"/>
      <c r="R8" s="785"/>
      <c r="S8" s="785"/>
      <c r="T8" s="785"/>
      <c r="U8" s="785"/>
      <c r="V8" s="786"/>
    </row>
    <row r="9" spans="1:25" ht="16.5" thickBot="1" x14ac:dyDescent="0.3">
      <c r="B9" s="293" t="s">
        <v>737</v>
      </c>
      <c r="C9" s="168" t="s">
        <v>372</v>
      </c>
      <c r="D9" s="172">
        <v>1800</v>
      </c>
      <c r="F9" s="173">
        <f>F8/24</f>
        <v>6.666666666666667</v>
      </c>
      <c r="J9" s="660"/>
      <c r="K9" s="660"/>
      <c r="L9" s="660"/>
      <c r="M9" s="660"/>
      <c r="N9" s="660"/>
      <c r="O9" s="787" t="s">
        <v>1248</v>
      </c>
      <c r="P9" s="661" t="s">
        <v>1216</v>
      </c>
      <c r="Q9" s="662"/>
      <c r="R9" s="662">
        <v>1</v>
      </c>
      <c r="S9" s="662">
        <v>2</v>
      </c>
      <c r="T9" s="662">
        <v>3</v>
      </c>
      <c r="U9" s="662">
        <v>4</v>
      </c>
      <c r="V9" s="663">
        <v>5</v>
      </c>
      <c r="Y9" s="727"/>
    </row>
    <row r="10" spans="1:25" ht="16.5" thickBot="1" x14ac:dyDescent="0.3">
      <c r="B10" s="293" t="s">
        <v>743</v>
      </c>
      <c r="C10" s="168" t="s">
        <v>744</v>
      </c>
      <c r="D10" s="172">
        <v>350</v>
      </c>
      <c r="F10" s="173" t="e">
        <f>Assumption!#REF!</f>
        <v>#REF!</v>
      </c>
      <c r="J10" s="777" t="s">
        <v>1217</v>
      </c>
      <c r="K10" s="777"/>
      <c r="L10" s="660"/>
      <c r="M10" s="777" t="s">
        <v>1218</v>
      </c>
      <c r="N10" s="777"/>
      <c r="O10" s="788"/>
      <c r="P10" s="781" t="s">
        <v>1219</v>
      </c>
      <c r="Q10" s="664">
        <f>N19</f>
        <v>373577912.95999998</v>
      </c>
      <c r="R10" s="665">
        <v>48</v>
      </c>
      <c r="S10" s="666">
        <f>R10+48</f>
        <v>96</v>
      </c>
      <c r="T10" s="667">
        <f>R10+96</f>
        <v>144</v>
      </c>
      <c r="U10" s="667">
        <f>R10+T10</f>
        <v>192</v>
      </c>
      <c r="V10" s="668">
        <f>R10+192</f>
        <v>240</v>
      </c>
    </row>
    <row r="11" spans="1:25" ht="16.5" thickBot="1" x14ac:dyDescent="0.3">
      <c r="B11" s="293" t="s">
        <v>527</v>
      </c>
      <c r="D11" s="166"/>
      <c r="F11" s="173">
        <f>Assumption!E25/10^6</f>
        <v>3800</v>
      </c>
      <c r="J11" t="s">
        <v>1220</v>
      </c>
      <c r="K11" s="669">
        <v>96</v>
      </c>
      <c r="L11" s="660"/>
      <c r="M11" t="s">
        <v>717</v>
      </c>
      <c r="N11" s="2">
        <f>K11*K12</f>
        <v>3456000000</v>
      </c>
      <c r="O11" s="725">
        <v>2000</v>
      </c>
      <c r="P11" s="782"/>
      <c r="Q11" s="670">
        <f>Q13+1000000</f>
        <v>37000000</v>
      </c>
      <c r="R11" s="671">
        <f t="dataTable" ref="R11:V15" dt2D="1" dtr="1" r1="K11" r2="K12"/>
        <v>-79874768</v>
      </c>
      <c r="S11" s="672">
        <v>459017912.95999998</v>
      </c>
      <c r="T11" s="672">
        <v>989124369.44000006</v>
      </c>
      <c r="U11" s="672">
        <v>1519230825.9200001</v>
      </c>
      <c r="V11" s="673">
        <v>2049337282.4000001</v>
      </c>
    </row>
    <row r="12" spans="1:25" ht="16.5" thickBot="1" x14ac:dyDescent="0.3">
      <c r="B12" s="171" t="s">
        <v>528</v>
      </c>
      <c r="C12" s="168" t="s">
        <v>744</v>
      </c>
      <c r="D12" s="172">
        <v>652.9229397425097</v>
      </c>
      <c r="F12" s="174"/>
      <c r="J12" t="s">
        <v>1221</v>
      </c>
      <c r="K12" s="669">
        <v>36000000</v>
      </c>
      <c r="L12" s="674"/>
      <c r="M12" t="s">
        <v>624</v>
      </c>
      <c r="N12" s="2">
        <f>-K13</f>
        <v>-2360749536</v>
      </c>
      <c r="O12" s="725">
        <v>1900</v>
      </c>
      <c r="P12" s="782"/>
      <c r="Q12" s="670">
        <f>Q13+500000</f>
        <v>36500000</v>
      </c>
      <c r="R12" s="675">
        <v>-103874768</v>
      </c>
      <c r="S12" s="676">
        <v>416297912.95999998</v>
      </c>
      <c r="T12" s="676">
        <v>925044369.44000006</v>
      </c>
      <c r="U12" s="671">
        <v>1433790825.9200001</v>
      </c>
      <c r="V12" s="673">
        <v>1942537282.4000001</v>
      </c>
    </row>
    <row r="13" spans="1:25" ht="16.5" thickBot="1" x14ac:dyDescent="0.3">
      <c r="B13" s="171" t="s">
        <v>530</v>
      </c>
      <c r="C13" s="168" t="s">
        <v>60</v>
      </c>
      <c r="D13" s="178">
        <v>33.386054316043165</v>
      </c>
      <c r="F13" s="173">
        <f>ProjectValuation!G26/1000</f>
        <v>1632753.6743524903</v>
      </c>
      <c r="J13" t="s">
        <v>1222</v>
      </c>
      <c r="K13" s="669">
        <f>(K11*K15)+(K14*K11)</f>
        <v>2360749536</v>
      </c>
      <c r="L13" s="660"/>
      <c r="M13" s="677" t="s">
        <v>285</v>
      </c>
      <c r="N13" s="678">
        <f>SUM(N11:N12)</f>
        <v>1095250464</v>
      </c>
      <c r="O13" s="725">
        <v>1800</v>
      </c>
      <c r="P13" s="782"/>
      <c r="Q13" s="679">
        <v>36000000</v>
      </c>
      <c r="R13" s="680">
        <v>-127874768</v>
      </c>
      <c r="S13" s="728">
        <v>373577912.95999998</v>
      </c>
      <c r="T13" s="680">
        <v>860964369.44000006</v>
      </c>
      <c r="U13" s="671">
        <v>1348350825.9200001</v>
      </c>
      <c r="V13" s="673">
        <v>1835737282.4000001</v>
      </c>
    </row>
    <row r="14" spans="1:25" ht="16.5" thickBot="1" x14ac:dyDescent="0.3">
      <c r="B14" s="171" t="s">
        <v>682</v>
      </c>
      <c r="C14" s="168" t="s">
        <v>60</v>
      </c>
      <c r="D14" s="178">
        <v>19.524415094480506</v>
      </c>
      <c r="F14" s="175">
        <f>ProjectValuation!G27</f>
        <v>18.102796392921125</v>
      </c>
      <c r="I14" s="168">
        <v>7951041.666666667</v>
      </c>
      <c r="J14" t="s">
        <v>1223</v>
      </c>
      <c r="K14" s="669">
        <v>7951041</v>
      </c>
      <c r="L14" s="674"/>
      <c r="M14" t="s">
        <v>1224</v>
      </c>
      <c r="N14" s="2">
        <f>-K16</f>
        <v>-343000000</v>
      </c>
      <c r="O14" s="725">
        <v>1700</v>
      </c>
      <c r="P14" s="782"/>
      <c r="Q14" s="670">
        <f>Q13-500000</f>
        <v>35500000</v>
      </c>
      <c r="R14" s="681">
        <v>-151874768</v>
      </c>
      <c r="S14" s="682">
        <v>330857912.95999998</v>
      </c>
      <c r="T14" s="682">
        <v>796884369.44000006</v>
      </c>
      <c r="U14" s="671">
        <v>1262910825.9200001</v>
      </c>
      <c r="V14" s="673">
        <v>1728937282.4000001</v>
      </c>
    </row>
    <row r="15" spans="1:25" ht="16.5" thickBot="1" x14ac:dyDescent="0.3">
      <c r="B15" s="171" t="s">
        <v>531</v>
      </c>
      <c r="D15" s="178">
        <v>1.8256041996321564</v>
      </c>
      <c r="F15" s="175">
        <f>ProjectValuation!G28</f>
        <v>14.985753265244895</v>
      </c>
      <c r="J15" t="s">
        <v>1225</v>
      </c>
      <c r="K15" s="669">
        <v>16640100</v>
      </c>
      <c r="L15" s="660"/>
      <c r="M15" t="s">
        <v>1247</v>
      </c>
      <c r="N15" s="2">
        <f>-K17</f>
        <v>-332500000</v>
      </c>
      <c r="O15" s="726">
        <v>1600</v>
      </c>
      <c r="P15" s="783"/>
      <c r="Q15" s="683">
        <f>Q13-1000000</f>
        <v>35000000</v>
      </c>
      <c r="R15" s="684">
        <v>-175874768</v>
      </c>
      <c r="S15" s="685">
        <v>288137912.95999998</v>
      </c>
      <c r="T15" s="685">
        <v>732804369.44000006</v>
      </c>
      <c r="U15" s="685">
        <v>1177470825.9200001</v>
      </c>
      <c r="V15" s="686">
        <v>1622137282.4000001</v>
      </c>
    </row>
    <row r="16" spans="1:25" ht="15.75" x14ac:dyDescent="0.25">
      <c r="B16" s="171" t="s">
        <v>532</v>
      </c>
      <c r="C16" s="168" t="s">
        <v>52</v>
      </c>
      <c r="D16" s="178">
        <v>3.762327926071614</v>
      </c>
      <c r="F16" s="175">
        <f>ProjectValuation!G29</f>
        <v>1.3009485437450985</v>
      </c>
      <c r="J16" t="s">
        <v>1224</v>
      </c>
      <c r="K16" s="669">
        <v>343000000</v>
      </c>
      <c r="L16" s="660"/>
      <c r="M16" s="677" t="s">
        <v>716</v>
      </c>
      <c r="N16" s="678">
        <f>SUM(N13:N15)</f>
        <v>419750464</v>
      </c>
      <c r="O16" s="660"/>
      <c r="P16" s="689"/>
      <c r="Q16" s="670"/>
      <c r="R16" s="672"/>
      <c r="S16" s="672"/>
      <c r="T16" s="672"/>
      <c r="U16" s="672"/>
      <c r="V16" s="672"/>
    </row>
    <row r="17" spans="1:27" ht="15.75" x14ac:dyDescent="0.25">
      <c r="B17" s="171" t="s">
        <v>533</v>
      </c>
      <c r="C17" s="168" t="s">
        <v>60</v>
      </c>
      <c r="D17" s="178">
        <v>20.201080787834027</v>
      </c>
      <c r="F17" s="175">
        <f>ProjectValuation!G30</f>
        <v>7.0363685664103102</v>
      </c>
      <c r="J17" t="s">
        <v>1247</v>
      </c>
      <c r="K17" s="669">
        <v>332500000</v>
      </c>
      <c r="L17" s="660"/>
      <c r="N17" s="688"/>
      <c r="O17" s="660"/>
      <c r="P17" s="660"/>
      <c r="Q17" s="660"/>
      <c r="R17" s="660"/>
      <c r="S17" s="660"/>
      <c r="T17" s="660"/>
      <c r="U17" s="660"/>
      <c r="V17" s="660"/>
    </row>
    <row r="18" spans="1:27" ht="15.75" x14ac:dyDescent="0.25">
      <c r="B18" s="171" t="s">
        <v>534</v>
      </c>
      <c r="C18" s="168" t="s">
        <v>60</v>
      </c>
      <c r="D18" s="178">
        <v>5.7767430145105427</v>
      </c>
      <c r="F18" s="175">
        <f>ProjectValuation!T30</f>
        <v>31.644096324780957</v>
      </c>
      <c r="J18" t="s">
        <v>1227</v>
      </c>
      <c r="K18" s="691">
        <v>0.11</v>
      </c>
      <c r="L18" s="660"/>
      <c r="M18" t="s">
        <v>1226</v>
      </c>
      <c r="N18" s="690">
        <f>IF(N16&lt;=0,"0",-K18*N16)</f>
        <v>-46172551.039999999</v>
      </c>
      <c r="O18" s="660"/>
      <c r="P18" s="660"/>
      <c r="Q18" s="660"/>
      <c r="R18" s="660"/>
      <c r="S18" s="660"/>
      <c r="T18" s="660"/>
      <c r="U18" s="660"/>
      <c r="V18" s="660"/>
    </row>
    <row r="19" spans="1:27" ht="15.75" x14ac:dyDescent="0.25">
      <c r="B19" s="171"/>
      <c r="D19" s="617"/>
      <c r="F19" s="175">
        <f>ProjectValuation!T31</f>
        <v>19.028173803647871</v>
      </c>
      <c r="J19" s="770" t="s">
        <v>1229</v>
      </c>
      <c r="K19" s="770"/>
      <c r="L19" s="660"/>
      <c r="M19" s="692" t="s">
        <v>1228</v>
      </c>
      <c r="N19" s="693">
        <f>SUM(N16:N18)</f>
        <v>373577912.95999998</v>
      </c>
      <c r="O19" s="660"/>
    </row>
    <row r="20" spans="1:27" ht="15.75" x14ac:dyDescent="0.25">
      <c r="J20" t="s">
        <v>171</v>
      </c>
      <c r="K20" s="694">
        <v>40000000</v>
      </c>
      <c r="L20" s="660"/>
      <c r="M20" s="660"/>
      <c r="N20" s="660"/>
      <c r="O20" s="660"/>
    </row>
    <row r="21" spans="1:27" ht="15.75" x14ac:dyDescent="0.25">
      <c r="A21" s="171" t="s">
        <v>738</v>
      </c>
      <c r="B21" s="176" t="s">
        <v>683</v>
      </c>
      <c r="C21" s="176"/>
      <c r="D21" s="176"/>
      <c r="E21" s="176"/>
      <c r="F21" s="176"/>
      <c r="G21" s="176"/>
      <c r="J21" t="s">
        <v>1230</v>
      </c>
      <c r="K21" s="694">
        <v>24000</v>
      </c>
      <c r="M21" s="660"/>
      <c r="N21" s="660"/>
    </row>
    <row r="22" spans="1:27" ht="15.75" x14ac:dyDescent="0.25">
      <c r="B22" s="176"/>
      <c r="C22" s="176"/>
      <c r="D22" s="176"/>
      <c r="E22" s="176"/>
      <c r="F22" s="176"/>
      <c r="G22" s="176"/>
      <c r="J22" t="s">
        <v>1231</v>
      </c>
      <c r="K22" s="694">
        <v>39000</v>
      </c>
      <c r="M22" s="695">
        <f>1600*20000*48</f>
        <v>1536000000</v>
      </c>
    </row>
    <row r="23" spans="1:27" ht="15.75" x14ac:dyDescent="0.25">
      <c r="A23" s="388"/>
      <c r="B23" s="293" t="s">
        <v>751</v>
      </c>
      <c r="D23" s="462" t="s">
        <v>740</v>
      </c>
      <c r="E23" s="463" t="s">
        <v>739</v>
      </c>
      <c r="F23" s="464" t="s">
        <v>741</v>
      </c>
      <c r="G23" s="464" t="s">
        <v>742</v>
      </c>
      <c r="J23" s="660"/>
    </row>
    <row r="24" spans="1:27" ht="15.75" x14ac:dyDescent="0.25">
      <c r="A24" s="388"/>
      <c r="B24" s="293" t="s">
        <v>684</v>
      </c>
      <c r="C24" s="168" t="s">
        <v>60</v>
      </c>
      <c r="D24" s="451">
        <f>100*(D25-$E$25)/$E$25</f>
        <v>-20</v>
      </c>
      <c r="E24" s="453">
        <f>100*(E25-$E$25)/$E$25</f>
        <v>0</v>
      </c>
      <c r="F24" s="451">
        <f>100*(F25-$E$25)/$E$25</f>
        <v>20</v>
      </c>
      <c r="G24" s="451">
        <f>100*(G25-$E$25)/$E$25</f>
        <v>60</v>
      </c>
      <c r="J24" s="660"/>
    </row>
    <row r="25" spans="1:27" x14ac:dyDescent="0.2">
      <c r="B25" s="293" t="str">
        <f>B8</f>
        <v>Volume Pengiriman barang</v>
      </c>
      <c r="C25" s="168" t="s">
        <v>745</v>
      </c>
      <c r="D25" s="450">
        <v>96</v>
      </c>
      <c r="E25" s="454">
        <v>120</v>
      </c>
      <c r="F25" s="450">
        <v>144</v>
      </c>
      <c r="G25" s="450">
        <v>192</v>
      </c>
    </row>
    <row r="26" spans="1:27" x14ac:dyDescent="0.2">
      <c r="B26" s="293" t="s">
        <v>737</v>
      </c>
      <c r="C26" s="168" t="s">
        <v>372</v>
      </c>
      <c r="D26" s="450">
        <v>2500</v>
      </c>
      <c r="E26" s="454">
        <v>2500</v>
      </c>
      <c r="F26" s="450">
        <v>2500</v>
      </c>
      <c r="G26" s="450">
        <v>2500</v>
      </c>
      <c r="J26" s="695"/>
    </row>
    <row r="27" spans="1:27" ht="16.5" thickBot="1" x14ac:dyDescent="0.3">
      <c r="B27" s="293" t="str">
        <f>B10</f>
        <v>Working capital</v>
      </c>
      <c r="C27" s="168" t="str">
        <f>C10</f>
        <v>Rp, juta</v>
      </c>
      <c r="D27" s="450">
        <v>355</v>
      </c>
      <c r="E27" s="454">
        <v>400</v>
      </c>
      <c r="F27" s="450">
        <v>425</v>
      </c>
      <c r="G27" s="450">
        <v>470</v>
      </c>
      <c r="J27" s="660"/>
      <c r="O27" s="660"/>
    </row>
    <row r="28" spans="1:27" ht="15.75" x14ac:dyDescent="0.25">
      <c r="B28" s="293" t="s">
        <v>527</v>
      </c>
      <c r="D28" s="454"/>
      <c r="E28" s="454"/>
      <c r="F28" s="454"/>
      <c r="G28" s="454"/>
      <c r="J28" s="659" t="s">
        <v>1214</v>
      </c>
      <c r="K28" s="659"/>
      <c r="L28" s="659"/>
      <c r="O28" s="660"/>
      <c r="Q28" s="771" t="s">
        <v>1232</v>
      </c>
      <c r="R28" s="772"/>
      <c r="S28" s="772"/>
      <c r="T28" s="772"/>
      <c r="U28" s="772"/>
      <c r="V28" s="772"/>
      <c r="W28" s="772"/>
      <c r="X28" s="772"/>
      <c r="Y28" s="772"/>
      <c r="Z28" s="772"/>
      <c r="AA28" s="773"/>
    </row>
    <row r="29" spans="1:27" ht="16.5" thickBot="1" x14ac:dyDescent="0.3">
      <c r="B29" s="171" t="s">
        <v>528</v>
      </c>
      <c r="C29" s="168" t="s">
        <v>529</v>
      </c>
      <c r="D29" s="448">
        <v>-124.32726795329272</v>
      </c>
      <c r="E29" s="455">
        <v>652.9229397425097</v>
      </c>
      <c r="F29" s="448">
        <v>2470.5431020545398</v>
      </c>
      <c r="G29" s="448">
        <v>6110.2477123928875</v>
      </c>
      <c r="J29" s="660"/>
      <c r="K29" s="660"/>
      <c r="L29" s="660"/>
      <c r="M29" s="659"/>
      <c r="N29" s="659"/>
      <c r="O29" s="660"/>
      <c r="P29" s="660"/>
      <c r="Q29" s="774" t="s">
        <v>1233</v>
      </c>
      <c r="R29" s="775"/>
      <c r="S29" s="775"/>
      <c r="T29" s="775"/>
      <c r="U29" s="775"/>
      <c r="V29" s="775"/>
      <c r="W29" s="775"/>
      <c r="X29" s="775"/>
      <c r="Y29" s="775"/>
      <c r="Z29" s="775"/>
      <c r="AA29" s="776"/>
    </row>
    <row r="30" spans="1:27" ht="16.5" thickBot="1" x14ac:dyDescent="0.3">
      <c r="B30" s="171" t="s">
        <v>530</v>
      </c>
      <c r="C30" s="168" t="s">
        <v>60</v>
      </c>
      <c r="D30" s="449">
        <v>6.6794199999999995</v>
      </c>
      <c r="E30" s="456">
        <v>33.386054316043165</v>
      </c>
      <c r="F30" s="449">
        <v>81.045155939801461</v>
      </c>
      <c r="G30" s="449">
        <v>164.70379853612468</v>
      </c>
      <c r="J30" s="777" t="s">
        <v>1217</v>
      </c>
      <c r="K30" s="777"/>
      <c r="L30" s="660"/>
      <c r="M30" s="660"/>
      <c r="N30" s="660"/>
      <c r="O30" s="660"/>
      <c r="P30" s="660"/>
      <c r="Q30" s="778" t="s">
        <v>1234</v>
      </c>
      <c r="R30" s="696">
        <f>N40</f>
        <v>62538618.070277788</v>
      </c>
      <c r="S30" s="697">
        <f>AA30-40000</f>
        <v>40000</v>
      </c>
      <c r="T30" s="698">
        <f>AA30-35000</f>
        <v>45000</v>
      </c>
      <c r="U30" s="698">
        <f>AA30-30000</f>
        <v>50000</v>
      </c>
      <c r="V30" s="698">
        <f>AA30-25000</f>
        <v>55000</v>
      </c>
      <c r="W30" s="698">
        <f>AA30-20000</f>
        <v>60000</v>
      </c>
      <c r="X30" s="698">
        <f>AA30-15000</f>
        <v>65000</v>
      </c>
      <c r="Y30" s="698">
        <f>AA30-10000</f>
        <v>70000</v>
      </c>
      <c r="Z30" s="698">
        <f>AA30-5000</f>
        <v>75000</v>
      </c>
      <c r="AA30" s="699">
        <v>80000</v>
      </c>
    </row>
    <row r="31" spans="1:27" ht="15.75" x14ac:dyDescent="0.25">
      <c r="B31" s="171" t="s">
        <v>682</v>
      </c>
      <c r="C31" s="168" t="s">
        <v>60</v>
      </c>
      <c r="D31" s="449">
        <v>9.5927276770319878</v>
      </c>
      <c r="E31" s="456">
        <v>19.524415094480506</v>
      </c>
      <c r="F31" s="449">
        <v>29.206703434198687</v>
      </c>
      <c r="G31" s="449">
        <v>37.937059203268021</v>
      </c>
      <c r="J31" t="s">
        <v>1220</v>
      </c>
      <c r="K31" s="669">
        <v>80000</v>
      </c>
      <c r="L31" s="660"/>
      <c r="M31" s="777" t="s">
        <v>1218</v>
      </c>
      <c r="N31" s="777"/>
      <c r="O31" s="660"/>
      <c r="P31" s="660"/>
      <c r="Q31" s="779"/>
      <c r="R31" s="700">
        <f>R33+200</f>
        <v>2000</v>
      </c>
      <c r="S31" s="701">
        <f t="dataTable" ref="S31:AA36" dt2D="1" dtr="1" r1="K31" r2="K32"/>
        <v>-882807.66666666418</v>
      </c>
      <c r="T31" s="702">
        <v>9033618.070277784</v>
      </c>
      <c r="U31" s="702">
        <v>18941951.403611116</v>
      </c>
      <c r="V31" s="702">
        <v>28850284.736944452</v>
      </c>
      <c r="W31" s="702">
        <v>38758618.070277788</v>
      </c>
      <c r="X31" s="702">
        <v>48666951.403611124</v>
      </c>
      <c r="Y31" s="702">
        <v>58575284.736944452</v>
      </c>
      <c r="Z31" s="702">
        <v>68483618.07027778</v>
      </c>
      <c r="AA31" s="703">
        <v>78391951.403611124</v>
      </c>
    </row>
    <row r="32" spans="1:27" ht="16.5" thickBot="1" x14ac:dyDescent="0.3">
      <c r="B32" s="171" t="s">
        <v>531</v>
      </c>
      <c r="D32" s="449">
        <v>0.70304452002768847</v>
      </c>
      <c r="E32" s="456">
        <v>1.8256041996321564</v>
      </c>
      <c r="F32" s="449">
        <v>4.3005028008634048</v>
      </c>
      <c r="G32" s="449">
        <v>8.8282437823284248</v>
      </c>
      <c r="J32" t="s">
        <v>1221</v>
      </c>
      <c r="K32" s="669">
        <v>1800</v>
      </c>
      <c r="L32" s="674"/>
      <c r="M32" t="s">
        <v>717</v>
      </c>
      <c r="N32" s="2">
        <f>K31*K32</f>
        <v>144000000</v>
      </c>
      <c r="O32" s="660"/>
      <c r="P32" s="660"/>
      <c r="Q32" s="779"/>
      <c r="R32" s="704">
        <f>R33+100</f>
        <v>1900</v>
      </c>
      <c r="S32" s="671">
        <v>-4882807.6666666642</v>
      </c>
      <c r="T32" s="672">
        <v>4574868.0702777803</v>
      </c>
      <c r="U32" s="672">
        <v>13987784.73694445</v>
      </c>
      <c r="V32" s="672">
        <v>23400701.403611116</v>
      </c>
      <c r="W32" s="672">
        <v>32813618.070277784</v>
      </c>
      <c r="X32" s="672">
        <v>42226534.736944452</v>
      </c>
      <c r="Y32" s="672">
        <v>51639451.403611124</v>
      </c>
      <c r="Z32" s="672">
        <v>61052368.070277788</v>
      </c>
      <c r="AA32" s="673">
        <v>70465284.736944452</v>
      </c>
    </row>
    <row r="33" spans="2:27" ht="16.5" thickBot="1" x14ac:dyDescent="0.3">
      <c r="B33" s="171" t="s">
        <v>532</v>
      </c>
      <c r="C33" s="168" t="s">
        <v>52</v>
      </c>
      <c r="D33" s="449" t="s">
        <v>757</v>
      </c>
      <c r="E33" s="456">
        <v>3.762327926071614</v>
      </c>
      <c r="F33" s="449">
        <v>1.4550597221127681</v>
      </c>
      <c r="G33" s="449">
        <v>0.68879919359795871</v>
      </c>
      <c r="J33" t="s">
        <v>1222</v>
      </c>
      <c r="K33" s="669">
        <f>K34+K35</f>
        <v>24591141</v>
      </c>
      <c r="L33" s="660"/>
      <c r="M33" t="s">
        <v>624</v>
      </c>
      <c r="N33" s="2">
        <f>-K33</f>
        <v>-24591141</v>
      </c>
      <c r="O33" s="660"/>
      <c r="P33" s="660"/>
      <c r="Q33" s="779"/>
      <c r="R33" s="705">
        <v>1800</v>
      </c>
      <c r="S33" s="671">
        <v>-8882807.6666666642</v>
      </c>
      <c r="T33" s="724">
        <v>116118.07027778024</v>
      </c>
      <c r="U33" s="672">
        <v>9033618.070277784</v>
      </c>
      <c r="V33" s="672">
        <v>17951118.070277784</v>
      </c>
      <c r="W33" s="672">
        <v>26868618.070277784</v>
      </c>
      <c r="X33" s="672">
        <v>35786118.070277788</v>
      </c>
      <c r="Y33" s="672">
        <v>44703618.070277788</v>
      </c>
      <c r="Z33" s="672">
        <v>53621118.070277788</v>
      </c>
      <c r="AA33" s="706">
        <v>62538618.070277788</v>
      </c>
    </row>
    <row r="34" spans="2:27" ht="15.75" x14ac:dyDescent="0.25">
      <c r="B34" s="171" t="s">
        <v>533</v>
      </c>
      <c r="C34" s="168" t="s">
        <v>60</v>
      </c>
      <c r="D34" s="449">
        <v>18.542890984792528</v>
      </c>
      <c r="E34" s="456">
        <v>20.201080787834027</v>
      </c>
      <c r="F34" s="449">
        <v>26.900900656528361</v>
      </c>
      <c r="G34" s="449">
        <v>35.27567549239626</v>
      </c>
      <c r="J34" t="s">
        <v>1223</v>
      </c>
      <c r="K34" s="669">
        <v>7951041</v>
      </c>
      <c r="L34" s="674"/>
      <c r="M34" s="677" t="s">
        <v>285</v>
      </c>
      <c r="N34" s="678">
        <f>SUM(N32:N33)</f>
        <v>119408859</v>
      </c>
      <c r="O34" s="660"/>
      <c r="P34" s="660"/>
      <c r="Q34" s="779"/>
      <c r="R34" s="704">
        <f>R33-100</f>
        <v>1700</v>
      </c>
      <c r="S34" s="671">
        <v>-12882807.666666664</v>
      </c>
      <c r="T34" s="672">
        <v>-4382807.6666666642</v>
      </c>
      <c r="U34" s="672">
        <v>4079451.4036111138</v>
      </c>
      <c r="V34" s="672">
        <v>12501534.73694445</v>
      </c>
      <c r="W34" s="672">
        <v>20923618.070277784</v>
      </c>
      <c r="X34" s="672">
        <v>29345701.403611116</v>
      </c>
      <c r="Y34" s="672">
        <v>37767784.736944452</v>
      </c>
      <c r="Z34" s="672">
        <v>46189868.070277788</v>
      </c>
      <c r="AA34" s="673">
        <v>54611951.403611124</v>
      </c>
    </row>
    <row r="35" spans="2:27" ht="15.75" x14ac:dyDescent="0.25">
      <c r="B35" s="171" t="s">
        <v>534</v>
      </c>
      <c r="C35" s="168" t="s">
        <v>60</v>
      </c>
      <c r="D35" s="449">
        <v>1.9883299681381739</v>
      </c>
      <c r="E35" s="456">
        <v>5.7767430145105427</v>
      </c>
      <c r="F35" s="449">
        <v>12.665952512092121</v>
      </c>
      <c r="G35" s="449">
        <v>21.277464384069088</v>
      </c>
      <c r="J35" t="s">
        <v>1225</v>
      </c>
      <c r="K35" s="669">
        <v>16640100</v>
      </c>
      <c r="L35" s="660"/>
      <c r="M35" t="s">
        <v>1224</v>
      </c>
      <c r="N35" s="2">
        <f>-K37</f>
        <v>-28583333.333333332</v>
      </c>
      <c r="O35" s="707"/>
      <c r="P35" s="660"/>
      <c r="Q35" s="779"/>
      <c r="R35" s="704">
        <f>R33-200</f>
        <v>1600</v>
      </c>
      <c r="S35" s="671">
        <v>-16882807.666666664</v>
      </c>
      <c r="T35" s="672">
        <v>-8882807.6666666642</v>
      </c>
      <c r="U35" s="672">
        <v>-882807.66666666418</v>
      </c>
      <c r="V35" s="672">
        <v>7051951.403611117</v>
      </c>
      <c r="W35" s="672">
        <v>14978618.070277784</v>
      </c>
      <c r="X35" s="672">
        <v>22905284.736944452</v>
      </c>
      <c r="Y35" s="672">
        <v>30831951.403611116</v>
      </c>
      <c r="Z35" s="672">
        <v>38758618.070277788</v>
      </c>
      <c r="AA35" s="673">
        <v>46685284.736944452</v>
      </c>
    </row>
    <row r="36" spans="2:27" ht="16.5" thickBot="1" x14ac:dyDescent="0.3">
      <c r="B36" s="452"/>
      <c r="C36" s="452"/>
      <c r="D36" s="452"/>
      <c r="E36" s="452"/>
      <c r="F36" s="452"/>
      <c r="G36" s="452"/>
      <c r="J36" t="s">
        <v>1247</v>
      </c>
      <c r="K36" s="669">
        <f>K17/12</f>
        <v>27708333.333333332</v>
      </c>
      <c r="L36" s="660"/>
      <c r="M36" t="s">
        <v>1247</v>
      </c>
      <c r="N36" s="2">
        <f>-K36</f>
        <v>-27708333.333333332</v>
      </c>
      <c r="O36" s="707"/>
      <c r="P36" s="660"/>
      <c r="Q36" s="780"/>
      <c r="R36" s="708">
        <f>R33-300</f>
        <v>1500</v>
      </c>
      <c r="S36" s="684">
        <v>-20882807.666666664</v>
      </c>
      <c r="T36" s="685">
        <v>-13382807.666666664</v>
      </c>
      <c r="U36" s="685">
        <v>-5882807.6666666642</v>
      </c>
      <c r="V36" s="685">
        <v>1602368.0702777803</v>
      </c>
      <c r="W36" s="685">
        <v>9033618.070277784</v>
      </c>
      <c r="X36" s="685">
        <v>16464868.070277784</v>
      </c>
      <c r="Y36" s="685">
        <v>23896118.070277784</v>
      </c>
      <c r="Z36" s="685">
        <v>31327368.070277784</v>
      </c>
      <c r="AA36" s="686">
        <v>38758618.070277788</v>
      </c>
    </row>
    <row r="37" spans="2:27" ht="15.75" x14ac:dyDescent="0.25">
      <c r="J37" t="s">
        <v>1224</v>
      </c>
      <c r="K37" s="669">
        <f>343000000/12</f>
        <v>28583333.333333332</v>
      </c>
      <c r="L37" s="660"/>
      <c r="M37" s="677" t="s">
        <v>716</v>
      </c>
      <c r="N37" s="678">
        <f>SUM(N34:N36)</f>
        <v>63117192.333333343</v>
      </c>
      <c r="O37" s="707"/>
    </row>
    <row r="38" spans="2:27" ht="15.75" x14ac:dyDescent="0.25">
      <c r="J38" t="s">
        <v>1227</v>
      </c>
      <c r="K38" s="691">
        <f>11%/12</f>
        <v>9.1666666666666667E-3</v>
      </c>
      <c r="L38" s="660"/>
      <c r="M38" s="687"/>
      <c r="N38" s="688"/>
      <c r="O38" s="660"/>
    </row>
    <row r="39" spans="2:27" ht="15.75" x14ac:dyDescent="0.25">
      <c r="J39" s="770" t="s">
        <v>1229</v>
      </c>
      <c r="K39" s="770"/>
      <c r="L39" s="660"/>
      <c r="M39" t="s">
        <v>1226</v>
      </c>
      <c r="N39" s="709">
        <f>IF(N37&lt;=0,"0",-K38*N37)</f>
        <v>-578574.26305555564</v>
      </c>
      <c r="O39" s="660"/>
    </row>
    <row r="40" spans="2:27" ht="15.75" x14ac:dyDescent="0.25">
      <c r="J40" t="s">
        <v>171</v>
      </c>
      <c r="K40" s="694">
        <v>40000000</v>
      </c>
      <c r="L40" s="660"/>
      <c r="M40" s="692" t="s">
        <v>1228</v>
      </c>
      <c r="N40" s="693">
        <f>SUM(N37:N39)</f>
        <v>62538618.070277788</v>
      </c>
      <c r="O40" s="707"/>
    </row>
    <row r="41" spans="2:27" ht="15.75" x14ac:dyDescent="0.25">
      <c r="J41" t="s">
        <v>1230</v>
      </c>
      <c r="K41" s="694">
        <v>24000</v>
      </c>
      <c r="M41" s="660"/>
      <c r="N41" s="674"/>
      <c r="O41" s="707"/>
      <c r="T41" s="710"/>
    </row>
    <row r="42" spans="2:27" ht="15.75" x14ac:dyDescent="0.25">
      <c r="J42" t="s">
        <v>1231</v>
      </c>
      <c r="K42" s="694">
        <v>39000</v>
      </c>
      <c r="M42" s="660"/>
      <c r="N42" s="660"/>
      <c r="O42" s="707"/>
    </row>
    <row r="43" spans="2:27" ht="15.75" x14ac:dyDescent="0.25">
      <c r="J43"/>
      <c r="M43" s="695">
        <f>1600*20000*48</f>
        <v>1536000000</v>
      </c>
      <c r="O43" s="660"/>
      <c r="V43" s="202"/>
    </row>
    <row r="46" spans="2:27" ht="15.75" x14ac:dyDescent="0.25">
      <c r="J46" s="659" t="s">
        <v>1235</v>
      </c>
      <c r="K46" s="659"/>
      <c r="L46" s="659"/>
    </row>
    <row r="47" spans="2:27" ht="15.75" x14ac:dyDescent="0.25">
      <c r="J47" s="711" t="s">
        <v>1236</v>
      </c>
      <c r="K47" s="712">
        <v>44562</v>
      </c>
      <c r="L47" s="712">
        <v>44593</v>
      </c>
    </row>
    <row r="48" spans="2:27" ht="15.75" x14ac:dyDescent="0.25">
      <c r="J48" t="s">
        <v>1237</v>
      </c>
      <c r="K48" s="2">
        <f>CHOOSE(K55,K57,K58,K59)</f>
        <v>616000000</v>
      </c>
      <c r="L48" s="2"/>
      <c r="M48" s="659"/>
    </row>
    <row r="49" spans="10:13" ht="15.75" x14ac:dyDescent="0.25">
      <c r="J49" t="s">
        <v>1238</v>
      </c>
      <c r="K49" s="2">
        <f>CHOOSE(K55,K62,K63,K64)</f>
        <v>-569792000</v>
      </c>
      <c r="L49" s="2"/>
      <c r="M49" s="712">
        <v>44621</v>
      </c>
    </row>
    <row r="50" spans="10:13" ht="15.75" x14ac:dyDescent="0.25">
      <c r="J50" t="s">
        <v>1224</v>
      </c>
      <c r="K50" s="669">
        <v>-5000000</v>
      </c>
      <c r="L50" s="202"/>
      <c r="M50" s="2"/>
    </row>
    <row r="51" spans="10:13" ht="15.75" x14ac:dyDescent="0.25">
      <c r="J51" t="s">
        <v>1239</v>
      </c>
      <c r="K51" s="11">
        <f>SUM(K48:K50)</f>
        <v>41208000</v>
      </c>
      <c r="L51" s="202"/>
      <c r="M51" s="2"/>
    </row>
    <row r="52" spans="10:13" ht="15.75" x14ac:dyDescent="0.25">
      <c r="J52" t="s">
        <v>1240</v>
      </c>
      <c r="K52" s="11">
        <f>K51*-22%</f>
        <v>-9065760</v>
      </c>
      <c r="L52" s="202"/>
      <c r="M52" s="202"/>
    </row>
    <row r="53" spans="10:13" ht="15.75" x14ac:dyDescent="0.25">
      <c r="J53" s="692" t="s">
        <v>1228</v>
      </c>
      <c r="K53" s="693">
        <f>SUM(K51:K52)</f>
        <v>32142240</v>
      </c>
      <c r="L53" s="693"/>
      <c r="M53" s="202"/>
    </row>
    <row r="54" spans="10:13" ht="15.75" x14ac:dyDescent="0.25">
      <c r="J54"/>
      <c r="K54"/>
      <c r="L54"/>
      <c r="M54" s="202"/>
    </row>
    <row r="55" spans="10:13" ht="18.75" x14ac:dyDescent="0.3">
      <c r="J55" s="713" t="s">
        <v>1241</v>
      </c>
      <c r="K55" s="714">
        <v>1</v>
      </c>
      <c r="L55" s="202"/>
      <c r="M55" s="693"/>
    </row>
    <row r="56" spans="10:13" ht="15.75" x14ac:dyDescent="0.25">
      <c r="J56" s="715" t="s">
        <v>1242</v>
      </c>
      <c r="K56" s="716"/>
      <c r="L56" s="716"/>
      <c r="M56"/>
    </row>
    <row r="57" spans="10:13" ht="15.75" x14ac:dyDescent="0.25">
      <c r="J57" s="717" t="s">
        <v>1243</v>
      </c>
      <c r="K57" s="718">
        <v>616000000</v>
      </c>
      <c r="L57" s="718">
        <v>125000</v>
      </c>
      <c r="M57" s="202"/>
    </row>
    <row r="58" spans="10:13" ht="15.75" x14ac:dyDescent="0.25">
      <c r="J58" s="717" t="s">
        <v>1244</v>
      </c>
      <c r="K58" s="718">
        <v>462000000</v>
      </c>
      <c r="L58" s="718">
        <v>37500</v>
      </c>
      <c r="M58" s="716"/>
    </row>
    <row r="59" spans="10:13" ht="15.75" x14ac:dyDescent="0.25">
      <c r="J59" s="717" t="s">
        <v>1245</v>
      </c>
      <c r="K59" s="718">
        <v>308000000</v>
      </c>
      <c r="L59" s="718">
        <v>13000</v>
      </c>
      <c r="M59" s="718">
        <v>250000</v>
      </c>
    </row>
    <row r="60" spans="10:13" ht="15.75" x14ac:dyDescent="0.25">
      <c r="J60" s="719"/>
      <c r="K60" s="720"/>
      <c r="L60" s="720"/>
      <c r="M60" s="718">
        <v>50000</v>
      </c>
    </row>
    <row r="61" spans="10:13" ht="15.75" x14ac:dyDescent="0.25">
      <c r="J61" s="715" t="s">
        <v>1246</v>
      </c>
      <c r="K61" s="720"/>
      <c r="L61" s="720"/>
      <c r="M61" s="718">
        <v>13250</v>
      </c>
    </row>
    <row r="62" spans="10:13" ht="15.75" x14ac:dyDescent="0.25">
      <c r="J62" s="717" t="s">
        <v>1243</v>
      </c>
      <c r="K62" s="721">
        <v>-569792000</v>
      </c>
      <c r="L62" s="718">
        <v>-12500</v>
      </c>
      <c r="M62" s="720"/>
    </row>
    <row r="63" spans="10:13" ht="15.75" x14ac:dyDescent="0.25">
      <c r="J63" s="717" t="s">
        <v>1244</v>
      </c>
      <c r="K63" s="721">
        <v>-427344000</v>
      </c>
      <c r="L63" s="718">
        <v>-25000</v>
      </c>
      <c r="M63" s="720"/>
    </row>
    <row r="64" spans="10:13" ht="15.75" x14ac:dyDescent="0.25">
      <c r="J64" s="717" t="s">
        <v>1245</v>
      </c>
      <c r="K64" s="721">
        <v>-284896000</v>
      </c>
      <c r="L64" s="718">
        <v>-30000</v>
      </c>
      <c r="M64" s="718">
        <v>-25000</v>
      </c>
    </row>
    <row r="65" spans="13:13" ht="15.75" x14ac:dyDescent="0.25">
      <c r="M65" s="718">
        <v>-37500</v>
      </c>
    </row>
    <row r="66" spans="13:13" ht="15.75" x14ac:dyDescent="0.25">
      <c r="M66" s="718">
        <v>-45000</v>
      </c>
    </row>
  </sheetData>
  <mergeCells count="13">
    <mergeCell ref="J19:K19"/>
    <mergeCell ref="J8:N8"/>
    <mergeCell ref="J10:K10"/>
    <mergeCell ref="M10:N10"/>
    <mergeCell ref="P10:P15"/>
    <mergeCell ref="O8:V8"/>
    <mergeCell ref="O9:O10"/>
    <mergeCell ref="J39:K39"/>
    <mergeCell ref="Q28:AA28"/>
    <mergeCell ref="Q29:AA29"/>
    <mergeCell ref="J30:K30"/>
    <mergeCell ref="M31:N31"/>
    <mergeCell ref="Q30:Q36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V42"/>
  <sheetViews>
    <sheetView showGridLines="0" zoomScaleNormal="100" workbookViewId="0">
      <pane xSplit="2" ySplit="7" topLeftCell="H8" activePane="bottomRight" state="frozen"/>
      <selection pane="topRight" activeCell="B1" sqref="B1"/>
      <selection pane="bottomLeft" activeCell="A8" sqref="A8"/>
      <selection pane="bottomRight" activeCell="R27" sqref="R27"/>
    </sheetView>
  </sheetViews>
  <sheetFormatPr defaultColWidth="9" defaultRowHeight="11.25" x14ac:dyDescent="0.2"/>
  <cols>
    <col min="1" max="1" width="2.25" style="202" customWidth="1"/>
    <col min="2" max="2" width="21.875" style="202" customWidth="1"/>
    <col min="3" max="12" width="9.75" style="202" bestFit="1" customWidth="1"/>
    <col min="13" max="13" width="2.75" style="202" customWidth="1"/>
    <col min="14" max="14" width="10.5" style="202" bestFit="1" customWidth="1"/>
    <col min="15" max="15" width="4.125" style="202" customWidth="1"/>
    <col min="16" max="16" width="3.25" style="274" customWidth="1"/>
    <col min="17" max="16384" width="9" style="202"/>
  </cols>
  <sheetData>
    <row r="1" spans="1:22" x14ac:dyDescent="0.2">
      <c r="A1" s="201" t="str">
        <f>ProjectValuation!A1</f>
        <v>Bisnis Truk Thermoking</v>
      </c>
      <c r="K1" s="268"/>
    </row>
    <row r="2" spans="1:22" x14ac:dyDescent="0.2">
      <c r="A2" s="201" t="str">
        <f>ProjectValuation!A2</f>
        <v>Financial Pre-Feasibility Study</v>
      </c>
      <c r="K2" s="224"/>
    </row>
    <row r="3" spans="1:22" x14ac:dyDescent="0.2">
      <c r="A3" s="203" t="s">
        <v>541</v>
      </c>
      <c r="K3" s="268"/>
    </row>
    <row r="4" spans="1:22" x14ac:dyDescent="0.2">
      <c r="K4" s="213"/>
    </row>
    <row r="5" spans="1:22" x14ac:dyDescent="0.2">
      <c r="I5" s="204"/>
      <c r="K5" s="268"/>
    </row>
    <row r="6" spans="1:22" x14ac:dyDescent="0.2">
      <c r="A6" s="202" t="s">
        <v>652</v>
      </c>
      <c r="K6" s="271"/>
    </row>
    <row r="7" spans="1:22" ht="20.100000000000001" customHeight="1" x14ac:dyDescent="0.2">
      <c r="A7" s="185" t="s">
        <v>536</v>
      </c>
      <c r="B7" s="185"/>
      <c r="C7" s="186">
        <v>1</v>
      </c>
      <c r="D7" s="186">
        <f>C7+1</f>
        <v>2</v>
      </c>
      <c r="E7" s="186">
        <f t="shared" ref="E7:L7" si="0">D7+1</f>
        <v>3</v>
      </c>
      <c r="F7" s="186">
        <f t="shared" si="0"/>
        <v>4</v>
      </c>
      <c r="G7" s="186">
        <f t="shared" si="0"/>
        <v>5</v>
      </c>
      <c r="H7" s="186">
        <f t="shared" si="0"/>
        <v>6</v>
      </c>
      <c r="I7" s="186">
        <f t="shared" si="0"/>
        <v>7</v>
      </c>
      <c r="J7" s="186">
        <f t="shared" si="0"/>
        <v>8</v>
      </c>
      <c r="K7" s="186">
        <f t="shared" si="0"/>
        <v>9</v>
      </c>
      <c r="L7" s="186">
        <f t="shared" si="0"/>
        <v>10</v>
      </c>
      <c r="M7" s="206"/>
      <c r="N7" s="207" t="s">
        <v>74</v>
      </c>
    </row>
    <row r="8" spans="1:22" x14ac:dyDescent="0.2">
      <c r="A8" s="274" t="s">
        <v>700</v>
      </c>
      <c r="C8" s="323">
        <f>Revenue!H8</f>
        <v>3456000000</v>
      </c>
      <c r="D8" s="323">
        <f>Revenue!H9</f>
        <v>3525120000</v>
      </c>
      <c r="E8" s="323">
        <f>Revenue!H10</f>
        <v>3595622400</v>
      </c>
      <c r="F8" s="323">
        <f>Revenue!H11</f>
        <v>3667534848</v>
      </c>
      <c r="G8" s="323">
        <f>Revenue!H12</f>
        <v>3740885544.96</v>
      </c>
      <c r="H8" s="323">
        <f>Revenue!H13</f>
        <v>3815703255.8592</v>
      </c>
      <c r="I8" s="323">
        <f>Revenue!H14</f>
        <v>3892017320.9763842</v>
      </c>
      <c r="J8" s="323">
        <f>Revenue!H15</f>
        <v>3969857667.3959117</v>
      </c>
      <c r="K8" s="323">
        <f>Revenue!H16</f>
        <v>4049254820.7438302</v>
      </c>
      <c r="L8" s="323">
        <f>Revenue!H17</f>
        <v>4130239917.1587067</v>
      </c>
      <c r="M8" s="208"/>
      <c r="N8" s="520">
        <f>SUM(C8:L8)</f>
        <v>37842235775.094032</v>
      </c>
      <c r="P8" s="274" t="s">
        <v>163</v>
      </c>
    </row>
    <row r="9" spans="1:22" x14ac:dyDescent="0.2">
      <c r="A9" s="274" t="s">
        <v>766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208"/>
      <c r="N9" s="205"/>
      <c r="P9" s="274" t="s">
        <v>708</v>
      </c>
    </row>
    <row r="10" spans="1:22" x14ac:dyDescent="0.2">
      <c r="B10" s="413" t="s">
        <v>763</v>
      </c>
      <c r="C10" s="156">
        <f>'Variable Cost'!S7</f>
        <v>1597449600</v>
      </c>
      <c r="D10" s="156">
        <f>'Variable Cost'!S8</f>
        <v>1629398592</v>
      </c>
      <c r="E10" s="156">
        <f>'Variable Cost'!S9</f>
        <v>1661986563.8399999</v>
      </c>
      <c r="F10" s="156">
        <f>'Variable Cost'!S10</f>
        <v>1695226295.1168003</v>
      </c>
      <c r="G10" s="156">
        <f>'Variable Cost'!S11</f>
        <v>1729130821.019136</v>
      </c>
      <c r="H10" s="156">
        <f>'Variable Cost'!S12</f>
        <v>1763713437.4395189</v>
      </c>
      <c r="I10" s="156">
        <f>'Variable Cost'!S13</f>
        <v>1798987706.1883094</v>
      </c>
      <c r="J10" s="156">
        <f>'Variable Cost'!S14</f>
        <v>1834967460.3120754</v>
      </c>
      <c r="K10" s="156">
        <f>'Variable Cost'!S15</f>
        <v>1871666809.5183172</v>
      </c>
      <c r="L10" s="156">
        <f>'Variable Cost'!S16</f>
        <v>1909100145.7086835</v>
      </c>
      <c r="M10" s="208"/>
      <c r="N10" s="205">
        <f>SUM(C10:L10)</f>
        <v>17491627431.142838</v>
      </c>
      <c r="O10" s="202">
        <f>N10/($N$12+$N$20)</f>
        <v>0.60621516476108428</v>
      </c>
      <c r="Q10" s="202" t="s">
        <v>763</v>
      </c>
    </row>
    <row r="11" spans="1:22" x14ac:dyDescent="0.2">
      <c r="B11" s="414" t="s">
        <v>767</v>
      </c>
      <c r="C11" s="156">
        <f>'OVH Expenses'!W7</f>
        <v>1091400000</v>
      </c>
      <c r="D11" s="156">
        <f>'OVH Expenses'!W8</f>
        <v>738288000</v>
      </c>
      <c r="E11" s="156">
        <f>'OVH Expenses'!W9</f>
        <v>745313760</v>
      </c>
      <c r="F11" s="156">
        <f>'OVH Expenses'!W10</f>
        <v>752480035.20000005</v>
      </c>
      <c r="G11" s="156">
        <f>'OVH Expenses'!W11</f>
        <v>759789635.90400004</v>
      </c>
      <c r="H11" s="156">
        <f>'OVH Expenses'!W12</f>
        <v>839245428.62208009</v>
      </c>
      <c r="I11" s="156">
        <f>'OVH Expenses'!W13</f>
        <v>848290337.19452167</v>
      </c>
      <c r="J11" s="156">
        <f>'OVH Expenses'!W14</f>
        <v>857516143.93841195</v>
      </c>
      <c r="K11" s="156">
        <f>'OVH Expenses'!W15</f>
        <v>866926466.81718028</v>
      </c>
      <c r="L11" s="156">
        <f>'OVH Expenses'!W16</f>
        <v>876524996.15352392</v>
      </c>
      <c r="M11" s="208"/>
      <c r="N11" s="205">
        <f>SUM(C11:L11)</f>
        <v>8375774803.8297176</v>
      </c>
      <c r="O11" s="202">
        <f>N11/($N$12+$N$20)</f>
        <v>0.29028297811015197</v>
      </c>
      <c r="Q11" s="202" t="s">
        <v>767</v>
      </c>
    </row>
    <row r="12" spans="1:22" x14ac:dyDescent="0.2">
      <c r="C12" s="156">
        <f>SUM(C10:C11)</f>
        <v>2688849600</v>
      </c>
      <c r="D12" s="156">
        <f t="shared" ref="D12:L12" si="1">SUM(D10:D11)</f>
        <v>2367686592</v>
      </c>
      <c r="E12" s="156">
        <f t="shared" si="1"/>
        <v>2407300323.8400002</v>
      </c>
      <c r="F12" s="156">
        <f t="shared" si="1"/>
        <v>2447706330.3168001</v>
      </c>
      <c r="G12" s="156">
        <f t="shared" si="1"/>
        <v>2488920456.9231358</v>
      </c>
      <c r="H12" s="156">
        <f t="shared" si="1"/>
        <v>2602958866.0615988</v>
      </c>
      <c r="I12" s="156">
        <f t="shared" si="1"/>
        <v>2647278043.3828311</v>
      </c>
      <c r="J12" s="156">
        <f t="shared" si="1"/>
        <v>2692483604.2504873</v>
      </c>
      <c r="K12" s="156">
        <f t="shared" si="1"/>
        <v>2738593276.3354974</v>
      </c>
      <c r="L12" s="156">
        <f t="shared" si="1"/>
        <v>2785625141.8622074</v>
      </c>
      <c r="M12" s="208"/>
      <c r="N12" s="205">
        <f>SUM(C12:L12)</f>
        <v>25867402234.972557</v>
      </c>
    </row>
    <row r="13" spans="1:22" x14ac:dyDescent="0.2">
      <c r="A13" s="274" t="s">
        <v>711</v>
      </c>
      <c r="C13" s="323">
        <f t="shared" ref="C13:L13" si="2">C8-C12</f>
        <v>767150400</v>
      </c>
      <c r="D13" s="323">
        <f t="shared" si="2"/>
        <v>1157433408</v>
      </c>
      <c r="E13" s="323">
        <f t="shared" si="2"/>
        <v>1188322076.1599998</v>
      </c>
      <c r="F13" s="323">
        <f t="shared" si="2"/>
        <v>1219828517.6831999</v>
      </c>
      <c r="G13" s="323">
        <f t="shared" si="2"/>
        <v>1251965088.0368643</v>
      </c>
      <c r="H13" s="323">
        <f t="shared" si="2"/>
        <v>1212744389.7976012</v>
      </c>
      <c r="I13" s="323">
        <f t="shared" si="2"/>
        <v>1244739277.5935531</v>
      </c>
      <c r="J13" s="323">
        <f t="shared" si="2"/>
        <v>1277374063.1454244</v>
      </c>
      <c r="K13" s="323">
        <f t="shared" si="2"/>
        <v>1310661544.4083328</v>
      </c>
      <c r="L13" s="323">
        <f t="shared" si="2"/>
        <v>1344614775.2964993</v>
      </c>
      <c r="M13" s="208"/>
      <c r="N13" s="520">
        <f>SUM(C13:L13)</f>
        <v>11974833540.121475</v>
      </c>
      <c r="P13" s="274" t="s">
        <v>285</v>
      </c>
    </row>
    <row r="14" spans="1:22" x14ac:dyDescent="0.2">
      <c r="A14" s="274" t="s">
        <v>714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208"/>
      <c r="N14" s="205"/>
      <c r="P14" s="274" t="s">
        <v>713</v>
      </c>
      <c r="V14" s="218"/>
    </row>
    <row r="15" spans="1:22" x14ac:dyDescent="0.2">
      <c r="B15" s="268" t="s">
        <v>698</v>
      </c>
      <c r="C15" s="205">
        <f>'SG&amp;A'!H7</f>
        <v>221000000</v>
      </c>
      <c r="D15" s="205">
        <f>'SG&amp;A'!H8</f>
        <v>225420000</v>
      </c>
      <c r="E15" s="205">
        <f>'SG&amp;A'!H9</f>
        <v>229928400</v>
      </c>
      <c r="F15" s="205">
        <f>'SG&amp;A'!H10</f>
        <v>234526968</v>
      </c>
      <c r="G15" s="205">
        <f>'SG&amp;A'!H11</f>
        <v>239217507.36000001</v>
      </c>
      <c r="H15" s="205">
        <f>'SG&amp;A'!H12</f>
        <v>244001857.50720003</v>
      </c>
      <c r="I15" s="205">
        <f>'SG&amp;A'!H13</f>
        <v>248881894.65734404</v>
      </c>
      <c r="J15" s="205">
        <f>'SG&amp;A'!H14</f>
        <v>253859532.55049092</v>
      </c>
      <c r="K15" s="205">
        <f>'SG&amp;A'!H15</f>
        <v>258936723.20150074</v>
      </c>
      <c r="L15" s="205">
        <f>'SG&amp;A'!H16</f>
        <v>264115457.66553077</v>
      </c>
      <c r="M15" s="208"/>
      <c r="N15" s="205">
        <f t="shared" ref="N15:N21" si="3">SUM(C15:L15)</f>
        <v>2419888340.9420667</v>
      </c>
      <c r="O15" s="202">
        <f>N15/($N$12+$N$20)</f>
        <v>8.3867153875902975E-2</v>
      </c>
      <c r="Q15" s="202" t="s">
        <v>748</v>
      </c>
      <c r="V15" s="218"/>
    </row>
    <row r="16" spans="1:22" x14ac:dyDescent="0.2">
      <c r="B16" s="224" t="s">
        <v>773</v>
      </c>
      <c r="C16" s="205">
        <f>'SG&amp;A'!I7</f>
        <v>25000000</v>
      </c>
      <c r="D16" s="205">
        <f>'SG&amp;A'!I8</f>
        <v>25500000</v>
      </c>
      <c r="E16" s="205">
        <f>'SG&amp;A'!I9</f>
        <v>26010000</v>
      </c>
      <c r="F16" s="205">
        <f>'SG&amp;A'!I10</f>
        <v>26530200</v>
      </c>
      <c r="G16" s="205">
        <f>'SG&amp;A'!I11</f>
        <v>27060804</v>
      </c>
      <c r="H16" s="205">
        <f>'SG&amp;A'!I12</f>
        <v>27602020.080000002</v>
      </c>
      <c r="I16" s="205">
        <f>'SG&amp;A'!I13</f>
        <v>28154060.481600001</v>
      </c>
      <c r="J16" s="205">
        <f>'SG&amp;A'!I14</f>
        <v>28717141.691232003</v>
      </c>
      <c r="K16" s="205">
        <f>'SG&amp;A'!I15</f>
        <v>29291484.525056645</v>
      </c>
      <c r="L16" s="205">
        <f>'SG&amp;A'!I16</f>
        <v>29877314.21555778</v>
      </c>
      <c r="M16" s="208"/>
      <c r="N16" s="205">
        <f t="shared" si="3"/>
        <v>273743024.99344641</v>
      </c>
      <c r="O16" s="202">
        <f>N16/($N$12+$N$20)</f>
        <v>9.4872346013464889E-3</v>
      </c>
      <c r="Q16" s="202" t="s">
        <v>1005</v>
      </c>
    </row>
    <row r="17" spans="1:21" x14ac:dyDescent="0.2">
      <c r="B17" s="268" t="s">
        <v>774</v>
      </c>
      <c r="C17" s="205">
        <f>'SG&amp;A'!J7</f>
        <v>12000000</v>
      </c>
      <c r="D17" s="205">
        <f>'SG&amp;A'!J8</f>
        <v>12240000</v>
      </c>
      <c r="E17" s="205">
        <f>'SG&amp;A'!J9</f>
        <v>12484800</v>
      </c>
      <c r="F17" s="205">
        <f>'SG&amp;A'!J10</f>
        <v>12734496</v>
      </c>
      <c r="G17" s="205">
        <f>'SG&amp;A'!J11</f>
        <v>12989185.92</v>
      </c>
      <c r="H17" s="205">
        <f>'SG&amp;A'!J12</f>
        <v>13248969.6384</v>
      </c>
      <c r="I17" s="205">
        <f>'SG&amp;A'!J13</f>
        <v>13513949.031167999</v>
      </c>
      <c r="J17" s="205">
        <f>'SG&amp;A'!J14</f>
        <v>13784228.01179136</v>
      </c>
      <c r="K17" s="205">
        <f>'SG&amp;A'!J15</f>
        <v>14059912.572027188</v>
      </c>
      <c r="L17" s="205">
        <f>'SG&amp;A'!J16</f>
        <v>14341110.823467731</v>
      </c>
      <c r="M17" s="208"/>
      <c r="N17" s="205">
        <f t="shared" si="3"/>
        <v>131396651.99685429</v>
      </c>
      <c r="O17" s="202">
        <f>N17/($N$12+$N$20)</f>
        <v>4.5538726086463152E-3</v>
      </c>
      <c r="Q17" s="202" t="s">
        <v>337</v>
      </c>
    </row>
    <row r="18" spans="1:21" x14ac:dyDescent="0.2">
      <c r="B18" s="469" t="s">
        <v>778</v>
      </c>
      <c r="C18" s="205">
        <f>'SG&amp;A'!K7</f>
        <v>12000000</v>
      </c>
      <c r="D18" s="205">
        <f>'SG&amp;A'!K8</f>
        <v>12240000</v>
      </c>
      <c r="E18" s="205">
        <f>'SG&amp;A'!K9</f>
        <v>12484800</v>
      </c>
      <c r="F18" s="205">
        <f>'SG&amp;A'!K10</f>
        <v>12734496</v>
      </c>
      <c r="G18" s="205">
        <f>'SG&amp;A'!K11</f>
        <v>12989185.92</v>
      </c>
      <c r="H18" s="205">
        <f>'SG&amp;A'!K12</f>
        <v>13248969.6384</v>
      </c>
      <c r="I18" s="205">
        <f>'SG&amp;A'!K13</f>
        <v>13513949.031167999</v>
      </c>
      <c r="J18" s="205">
        <f>'SG&amp;A'!K14</f>
        <v>13784228.01179136</v>
      </c>
      <c r="K18" s="205">
        <f>'SG&amp;A'!K15</f>
        <v>14059912.572027188</v>
      </c>
      <c r="L18" s="205">
        <f>'SG&amp;A'!K16</f>
        <v>14341110.823467731</v>
      </c>
      <c r="M18" s="208"/>
      <c r="N18" s="205">
        <f t="shared" si="3"/>
        <v>131396651.99685429</v>
      </c>
      <c r="O18" s="202">
        <f>N18/($N$12+$N$20)</f>
        <v>4.5538726086463152E-3</v>
      </c>
      <c r="Q18" s="202" t="s">
        <v>1006</v>
      </c>
    </row>
    <row r="19" spans="1:21" x14ac:dyDescent="0.2">
      <c r="B19" s="469" t="str">
        <f>'SG&amp;A'!L6</f>
        <v>Adm Leasing</v>
      </c>
      <c r="C19" s="205">
        <f>'SG&amp;A'!L7</f>
        <v>30000000</v>
      </c>
      <c r="D19" s="205"/>
      <c r="E19" s="205"/>
      <c r="F19" s="205"/>
      <c r="G19" s="205"/>
      <c r="H19" s="205"/>
      <c r="I19" s="205"/>
      <c r="J19" s="205"/>
      <c r="K19" s="205"/>
      <c r="L19" s="205"/>
      <c r="M19" s="208"/>
      <c r="N19" s="205"/>
    </row>
    <row r="20" spans="1:21" x14ac:dyDescent="0.2">
      <c r="C20" s="205">
        <f>SUM(C15:C19)</f>
        <v>300000000</v>
      </c>
      <c r="D20" s="205">
        <f t="shared" ref="D20:L20" si="4">SUM(D15:D19)</f>
        <v>275400000</v>
      </c>
      <c r="E20" s="205">
        <f t="shared" si="4"/>
        <v>280908000</v>
      </c>
      <c r="F20" s="205">
        <f t="shared" si="4"/>
        <v>286526160</v>
      </c>
      <c r="G20" s="205">
        <f t="shared" si="4"/>
        <v>292256683.20000005</v>
      </c>
      <c r="H20" s="205">
        <f t="shared" si="4"/>
        <v>298101816.86400008</v>
      </c>
      <c r="I20" s="205">
        <f t="shared" si="4"/>
        <v>304063853.20128</v>
      </c>
      <c r="J20" s="205">
        <f t="shared" si="4"/>
        <v>310145130.26530564</v>
      </c>
      <c r="K20" s="205">
        <f t="shared" si="4"/>
        <v>316348032.87061179</v>
      </c>
      <c r="L20" s="205">
        <f t="shared" si="4"/>
        <v>322674993.52802402</v>
      </c>
      <c r="M20" s="208"/>
      <c r="N20" s="205">
        <f t="shared" si="3"/>
        <v>2986424669.9292216</v>
      </c>
    </row>
    <row r="21" spans="1:21" x14ac:dyDescent="0.2">
      <c r="A21" s="274" t="s">
        <v>538</v>
      </c>
      <c r="C21" s="323">
        <f t="shared" ref="C21:L21" si="5">C13-C20</f>
        <v>467150400</v>
      </c>
      <c r="D21" s="323">
        <f t="shared" si="5"/>
        <v>882033408</v>
      </c>
      <c r="E21" s="323">
        <f t="shared" si="5"/>
        <v>907414076.15999985</v>
      </c>
      <c r="F21" s="323">
        <f t="shared" si="5"/>
        <v>933302357.68319988</v>
      </c>
      <c r="G21" s="323">
        <f t="shared" si="5"/>
        <v>959708404.83686423</v>
      </c>
      <c r="H21" s="323">
        <f t="shared" si="5"/>
        <v>914642572.93360114</v>
      </c>
      <c r="I21" s="323">
        <f t="shared" si="5"/>
        <v>940675424.39227307</v>
      </c>
      <c r="J21" s="323">
        <f t="shared" si="5"/>
        <v>967228932.88011873</v>
      </c>
      <c r="K21" s="323">
        <f t="shared" si="5"/>
        <v>994313511.53772104</v>
      </c>
      <c r="L21" s="323">
        <f t="shared" si="5"/>
        <v>1021939781.7684753</v>
      </c>
      <c r="M21" s="208"/>
      <c r="N21" s="520">
        <f t="shared" si="3"/>
        <v>8988408870.1922531</v>
      </c>
      <c r="P21" s="274" t="s">
        <v>715</v>
      </c>
    </row>
    <row r="22" spans="1:21" x14ac:dyDescent="0.2">
      <c r="A22" s="274"/>
      <c r="C22" s="323"/>
      <c r="D22" s="323"/>
      <c r="E22" s="323"/>
      <c r="F22" s="323"/>
      <c r="G22" s="323"/>
      <c r="H22" s="323"/>
      <c r="I22" s="323"/>
      <c r="J22" s="323"/>
      <c r="K22" s="323"/>
      <c r="L22" s="323"/>
      <c r="M22" s="208"/>
      <c r="N22" s="520"/>
    </row>
    <row r="23" spans="1:21" x14ac:dyDescent="0.2">
      <c r="B23" s="202" t="s">
        <v>701</v>
      </c>
      <c r="C23" s="156">
        <f>LoanInterest!L8</f>
        <v>323190000</v>
      </c>
      <c r="D23" s="156">
        <f>LoanInterest!L9</f>
        <v>251370000.00000003</v>
      </c>
      <c r="E23" s="156">
        <f>LoanInterest!L10</f>
        <v>179550000</v>
      </c>
      <c r="F23" s="156">
        <f>LoanInterest!L11</f>
        <v>107730000</v>
      </c>
      <c r="G23" s="156">
        <f>LoanInterest!L12</f>
        <v>35910000</v>
      </c>
      <c r="H23" s="156">
        <f>LoanInterest!L13</f>
        <v>0</v>
      </c>
      <c r="I23" s="156">
        <f>LoanInterest!L14</f>
        <v>0</v>
      </c>
      <c r="J23" s="156">
        <f>LoanInterest!L15</f>
        <v>0</v>
      </c>
      <c r="K23" s="156">
        <f>LoanInterest!L16</f>
        <v>0</v>
      </c>
      <c r="L23" s="156">
        <f>LoanInterest!L17</f>
        <v>0</v>
      </c>
      <c r="M23" s="208"/>
      <c r="N23" s="205"/>
      <c r="Q23" s="202" t="s">
        <v>749</v>
      </c>
    </row>
    <row r="24" spans="1:21" x14ac:dyDescent="0.2">
      <c r="A24" s="274" t="s">
        <v>539</v>
      </c>
      <c r="C24" s="323">
        <f t="shared" ref="C24:L24" si="6">C21+C22-C23</f>
        <v>143960400</v>
      </c>
      <c r="D24" s="323">
        <f t="shared" si="6"/>
        <v>630663408</v>
      </c>
      <c r="E24" s="323">
        <f t="shared" si="6"/>
        <v>727864076.15999985</v>
      </c>
      <c r="F24" s="323">
        <f t="shared" si="6"/>
        <v>825572357.68319988</v>
      </c>
      <c r="G24" s="323">
        <f t="shared" si="6"/>
        <v>923798404.83686423</v>
      </c>
      <c r="H24" s="323">
        <f t="shared" si="6"/>
        <v>914642572.93360114</v>
      </c>
      <c r="I24" s="323">
        <f t="shared" si="6"/>
        <v>940675424.39227307</v>
      </c>
      <c r="J24" s="323">
        <f t="shared" si="6"/>
        <v>967228932.88011873</v>
      </c>
      <c r="K24" s="323">
        <f t="shared" si="6"/>
        <v>994313511.53772104</v>
      </c>
      <c r="L24" s="323">
        <f t="shared" si="6"/>
        <v>1021939781.7684753</v>
      </c>
      <c r="M24" s="208"/>
      <c r="N24" s="520">
        <f>SUM(C24:L24)</f>
        <v>8090658870.1922531</v>
      </c>
      <c r="P24" s="274" t="s">
        <v>716</v>
      </c>
    </row>
    <row r="25" spans="1:21" x14ac:dyDescent="0.2">
      <c r="B25" s="202" t="s">
        <v>712</v>
      </c>
      <c r="C25" s="156">
        <f>C24*Assumption!$E$36%</f>
        <v>15835644</v>
      </c>
      <c r="D25" s="156">
        <f>D24*Assumption!$E$36%</f>
        <v>69372974.879999995</v>
      </c>
      <c r="E25" s="156">
        <f>E24*Assumption!$E$36%</f>
        <v>80065048.377599984</v>
      </c>
      <c r="F25" s="156">
        <f>F24*Assumption!$E$36%</f>
        <v>90812959.345151991</v>
      </c>
      <c r="G25" s="156">
        <f>G24*Assumption!$E$36%</f>
        <v>101617824.53205507</v>
      </c>
      <c r="H25" s="156">
        <f>H24*Assumption!$E$36%</f>
        <v>100610683.02269612</v>
      </c>
      <c r="I25" s="156">
        <f>I24*Assumption!$E$36%</f>
        <v>103474296.68315004</v>
      </c>
      <c r="J25" s="156">
        <f>J24*Assumption!$E$36%</f>
        <v>106395182.61681306</v>
      </c>
      <c r="K25" s="156">
        <f>K24*Assumption!$E$36%</f>
        <v>109374486.26914932</v>
      </c>
      <c r="L25" s="156">
        <f>L24*Assumption!$E$36%</f>
        <v>112413375.99453229</v>
      </c>
      <c r="M25" s="208"/>
      <c r="N25" s="205">
        <f>SUM(C25:L25)</f>
        <v>889972475.72114778</v>
      </c>
      <c r="Q25" s="202" t="s">
        <v>750</v>
      </c>
    </row>
    <row r="26" spans="1:21" x14ac:dyDescent="0.2">
      <c r="A26" s="274" t="s">
        <v>540</v>
      </c>
      <c r="C26" s="323">
        <f>C24-C25</f>
        <v>128124756</v>
      </c>
      <c r="D26" s="323">
        <f t="shared" ref="D26:L26" si="7">D24-D25</f>
        <v>561290433.12</v>
      </c>
      <c r="E26" s="323">
        <f t="shared" si="7"/>
        <v>647799027.78239989</v>
      </c>
      <c r="F26" s="323">
        <f t="shared" si="7"/>
        <v>734759398.33804786</v>
      </c>
      <c r="G26" s="323">
        <f>G24-G25</f>
        <v>822180580.30480921</v>
      </c>
      <c r="H26" s="323">
        <f t="shared" si="7"/>
        <v>814031889.910905</v>
      </c>
      <c r="I26" s="323">
        <f t="shared" si="7"/>
        <v>837201127.70912302</v>
      </c>
      <c r="J26" s="323">
        <f t="shared" si="7"/>
        <v>860833750.26330566</v>
      </c>
      <c r="K26" s="323">
        <f t="shared" si="7"/>
        <v>884939025.26857173</v>
      </c>
      <c r="L26" s="323">
        <f t="shared" si="7"/>
        <v>909526405.77394295</v>
      </c>
      <c r="M26" s="208"/>
      <c r="N26" s="520">
        <f>SUM(C26:L26)</f>
        <v>7200686394.4711056</v>
      </c>
      <c r="P26" s="274" t="s">
        <v>171</v>
      </c>
      <c r="R26" s="156">
        <f>AVERAGE(C26:L26)</f>
        <v>720068639.44711053</v>
      </c>
      <c r="U26" s="211"/>
    </row>
    <row r="27" spans="1:21" x14ac:dyDescent="0.2">
      <c r="A27" s="209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</row>
    <row r="28" spans="1:21" x14ac:dyDescent="0.2">
      <c r="A28" s="274" t="s">
        <v>707</v>
      </c>
    </row>
    <row r="29" spans="1:21" x14ac:dyDescent="0.2">
      <c r="A29" s="202" t="s">
        <v>706</v>
      </c>
      <c r="C29" s="205"/>
      <c r="F29" s="205"/>
      <c r="G29" s="205"/>
      <c r="H29" s="205"/>
      <c r="I29" s="205"/>
      <c r="J29" s="205"/>
      <c r="K29" s="205"/>
      <c r="L29" s="205"/>
      <c r="M29" s="208"/>
      <c r="N29" s="205"/>
    </row>
    <row r="30" spans="1:21" x14ac:dyDescent="0.2">
      <c r="B30" s="202" t="s">
        <v>717</v>
      </c>
      <c r="C30" s="205">
        <f t="shared" ref="C30:L30" si="8">C8</f>
        <v>3456000000</v>
      </c>
      <c r="D30" s="205">
        <f t="shared" si="8"/>
        <v>3525120000</v>
      </c>
      <c r="E30" s="205">
        <f t="shared" si="8"/>
        <v>3595622400</v>
      </c>
      <c r="F30" s="205">
        <f t="shared" si="8"/>
        <v>3667534848</v>
      </c>
      <c r="G30" s="205">
        <f t="shared" si="8"/>
        <v>3740885544.96</v>
      </c>
      <c r="H30" s="205">
        <f t="shared" si="8"/>
        <v>3815703255.8592</v>
      </c>
      <c r="I30" s="205">
        <f t="shared" si="8"/>
        <v>3892017320.9763842</v>
      </c>
      <c r="J30" s="205">
        <f t="shared" si="8"/>
        <v>3969857667.3959117</v>
      </c>
      <c r="K30" s="205">
        <f t="shared" si="8"/>
        <v>4049254820.7438302</v>
      </c>
      <c r="L30" s="205">
        <f t="shared" si="8"/>
        <v>4130239917.1587067</v>
      </c>
      <c r="M30" s="208"/>
      <c r="N30" s="205">
        <f>N8</f>
        <v>37842235775.094032</v>
      </c>
    </row>
    <row r="31" spans="1:21" x14ac:dyDescent="0.2">
      <c r="B31" s="202" t="s">
        <v>708</v>
      </c>
      <c r="C31" s="205">
        <f t="shared" ref="C31:L31" si="9">C12</f>
        <v>2688849600</v>
      </c>
      <c r="D31" s="205">
        <f t="shared" si="9"/>
        <v>2367686592</v>
      </c>
      <c r="E31" s="205">
        <f t="shared" si="9"/>
        <v>2407300323.8400002</v>
      </c>
      <c r="F31" s="205">
        <f t="shared" si="9"/>
        <v>2447706330.3168001</v>
      </c>
      <c r="G31" s="205">
        <f t="shared" si="9"/>
        <v>2488920456.9231358</v>
      </c>
      <c r="H31" s="205">
        <f t="shared" si="9"/>
        <v>2602958866.0615988</v>
      </c>
      <c r="I31" s="205">
        <f t="shared" si="9"/>
        <v>2647278043.3828311</v>
      </c>
      <c r="J31" s="205">
        <f t="shared" si="9"/>
        <v>2692483604.2504873</v>
      </c>
      <c r="K31" s="205">
        <f t="shared" si="9"/>
        <v>2738593276.3354974</v>
      </c>
      <c r="L31" s="205">
        <f t="shared" si="9"/>
        <v>2785625141.8622074</v>
      </c>
      <c r="M31" s="208"/>
      <c r="N31" s="205">
        <f>N12</f>
        <v>25867402234.972557</v>
      </c>
    </row>
    <row r="32" spans="1:21" x14ac:dyDescent="0.2">
      <c r="B32" s="202" t="s">
        <v>171</v>
      </c>
      <c r="C32" s="205">
        <f>C26</f>
        <v>128124756</v>
      </c>
      <c r="D32" s="205">
        <f t="shared" ref="D32:L32" si="10">D26</f>
        <v>561290433.12</v>
      </c>
      <c r="E32" s="205">
        <f t="shared" si="10"/>
        <v>647799027.78239989</v>
      </c>
      <c r="F32" s="205">
        <f t="shared" si="10"/>
        <v>734759398.33804786</v>
      </c>
      <c r="G32" s="205">
        <f t="shared" si="10"/>
        <v>822180580.30480921</v>
      </c>
      <c r="H32" s="205">
        <f t="shared" si="10"/>
        <v>814031889.910905</v>
      </c>
      <c r="I32" s="205">
        <f t="shared" si="10"/>
        <v>837201127.70912302</v>
      </c>
      <c r="J32" s="205">
        <f t="shared" si="10"/>
        <v>860833750.26330566</v>
      </c>
      <c r="K32" s="205">
        <f t="shared" si="10"/>
        <v>884939025.26857173</v>
      </c>
      <c r="L32" s="205">
        <f t="shared" si="10"/>
        <v>909526405.77394295</v>
      </c>
      <c r="M32" s="208"/>
      <c r="N32" s="205">
        <f t="shared" ref="N32" si="11">N26</f>
        <v>7200686394.4711056</v>
      </c>
    </row>
    <row r="33" spans="1:14" x14ac:dyDescent="0.2">
      <c r="A33" s="202" t="s">
        <v>689</v>
      </c>
      <c r="C33" s="205"/>
      <c r="F33" s="205"/>
      <c r="G33" s="205"/>
      <c r="H33" s="205"/>
      <c r="I33" s="205"/>
      <c r="J33" s="205"/>
      <c r="K33" s="205"/>
      <c r="L33" s="205"/>
      <c r="M33" s="208"/>
      <c r="N33" s="205"/>
    </row>
    <row r="34" spans="1:14" x14ac:dyDescent="0.2">
      <c r="B34" s="202" t="s">
        <v>703</v>
      </c>
      <c r="C34" s="415">
        <f>(C30-C31)/C30</f>
        <v>0.22197638888888888</v>
      </c>
      <c r="D34" s="415">
        <f t="shared" ref="D34:L34" si="12">(D30-D31)/D30</f>
        <v>0.3283387254901961</v>
      </c>
      <c r="E34" s="415">
        <f t="shared" si="12"/>
        <v>0.33049134307317696</v>
      </c>
      <c r="F34" s="415">
        <f t="shared" si="12"/>
        <v>0.3326017524682563</v>
      </c>
      <c r="G34" s="415">
        <f t="shared" si="12"/>
        <v>0.33467078128696159</v>
      </c>
      <c r="H34" s="415">
        <f t="shared" si="12"/>
        <v>0.31782984904168649</v>
      </c>
      <c r="I34" s="415">
        <f t="shared" si="12"/>
        <v>0.31981853494970758</v>
      </c>
      <c r="J34" s="415">
        <f t="shared" si="12"/>
        <v>0.32176822701639507</v>
      </c>
      <c r="K34" s="415">
        <f t="shared" si="12"/>
        <v>0.3236796898268729</v>
      </c>
      <c r="L34" s="415">
        <f t="shared" si="12"/>
        <v>0.32555367297440019</v>
      </c>
      <c r="M34" s="208"/>
      <c r="N34" s="415">
        <f t="shared" ref="N34" si="13">(N30-N31)/N30</f>
        <v>0.31644096324780957</v>
      </c>
    </row>
    <row r="35" spans="1:14" x14ac:dyDescent="0.2">
      <c r="B35" s="202" t="s">
        <v>702</v>
      </c>
      <c r="C35" s="415">
        <f>C32/C30</f>
        <v>3.7073135416666667E-2</v>
      </c>
      <c r="D35" s="415">
        <f t="shared" ref="D35:L35" si="14">D32/D30</f>
        <v>0.15922590808823531</v>
      </c>
      <c r="E35" s="415">
        <f t="shared" si="14"/>
        <v>0.18016325289952578</v>
      </c>
      <c r="F35" s="415">
        <f t="shared" si="14"/>
        <v>0.20034149061698237</v>
      </c>
      <c r="G35" s="415">
        <f t="shared" si="14"/>
        <v>0.2197823404173678</v>
      </c>
      <c r="H35" s="415">
        <f t="shared" si="14"/>
        <v>0.21333731564710096</v>
      </c>
      <c r="I35" s="415">
        <f t="shared" si="14"/>
        <v>0.21510724610523976</v>
      </c>
      <c r="J35" s="415">
        <f t="shared" si="14"/>
        <v>0.21684247204459162</v>
      </c>
      <c r="K35" s="415">
        <f t="shared" si="14"/>
        <v>0.21854367394591689</v>
      </c>
      <c r="L35" s="415">
        <f t="shared" si="14"/>
        <v>0.22021151894721613</v>
      </c>
      <c r="M35" s="208"/>
      <c r="N35" s="415">
        <f t="shared" ref="N35" si="15">N32/N30</f>
        <v>0.19028173803647871</v>
      </c>
    </row>
    <row r="36" spans="1:14" x14ac:dyDescent="0.2">
      <c r="A36" s="202" t="s">
        <v>537</v>
      </c>
      <c r="C36" s="415"/>
      <c r="D36" s="415"/>
      <c r="E36" s="415"/>
      <c r="F36" s="415"/>
      <c r="G36" s="415"/>
      <c r="H36" s="415"/>
      <c r="I36" s="415"/>
      <c r="J36" s="415"/>
      <c r="K36" s="415"/>
      <c r="L36" s="415"/>
    </row>
    <row r="37" spans="1:14" x14ac:dyDescent="0.2">
      <c r="A37" s="202" t="s">
        <v>704</v>
      </c>
      <c r="C37" s="415"/>
      <c r="D37" s="415"/>
      <c r="E37" s="415"/>
      <c r="F37" s="415"/>
      <c r="G37" s="415"/>
      <c r="H37" s="415"/>
      <c r="I37" s="415"/>
      <c r="J37" s="415"/>
      <c r="K37" s="415"/>
      <c r="L37" s="415"/>
    </row>
    <row r="38" spans="1:14" x14ac:dyDescent="0.2">
      <c r="A38" s="202" t="s">
        <v>705</v>
      </c>
      <c r="C38" s="415"/>
      <c r="D38" s="415"/>
      <c r="E38" s="415"/>
      <c r="F38" s="415"/>
      <c r="G38" s="415"/>
      <c r="H38" s="415"/>
      <c r="I38" s="415"/>
      <c r="J38" s="415"/>
      <c r="K38" s="415"/>
      <c r="L38" s="415"/>
    </row>
    <row r="39" spans="1:14" x14ac:dyDescent="0.2">
      <c r="A39" s="210" t="s">
        <v>710</v>
      </c>
      <c r="C39" s="415"/>
      <c r="D39" s="415"/>
      <c r="E39" s="415"/>
      <c r="F39" s="415"/>
      <c r="G39" s="415"/>
      <c r="H39" s="415"/>
      <c r="I39" s="415"/>
      <c r="J39" s="415"/>
      <c r="K39" s="415"/>
      <c r="L39" s="415"/>
    </row>
    <row r="40" spans="1:14" x14ac:dyDescent="0.2">
      <c r="C40" s="415"/>
      <c r="D40" s="415"/>
      <c r="E40" s="415"/>
      <c r="F40" s="415"/>
      <c r="G40" s="415"/>
      <c r="H40" s="415"/>
      <c r="I40" s="415"/>
      <c r="J40" s="415"/>
      <c r="K40" s="415"/>
      <c r="L40" s="415"/>
    </row>
    <row r="41" spans="1:14" x14ac:dyDescent="0.2">
      <c r="C41" s="415"/>
      <c r="D41" s="415"/>
      <c r="E41" s="415"/>
      <c r="F41" s="415"/>
      <c r="G41" s="415"/>
      <c r="H41" s="415"/>
      <c r="I41" s="415"/>
      <c r="J41" s="415"/>
      <c r="K41" s="415"/>
      <c r="L41" s="415"/>
    </row>
    <row r="42" spans="1:14" x14ac:dyDescent="0.2">
      <c r="D42" s="204"/>
    </row>
  </sheetData>
  <pageMargins left="0.7" right="0.7" top="0.75" bottom="0.75" header="0.3" footer="0.3"/>
  <pageSetup paperSize="9" orientation="portrait" r:id="rId1"/>
  <ignoredErrors>
    <ignoredError sqref="D25:L25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68"/>
  <sheetViews>
    <sheetView showGridLines="0" zoomScale="120" zoomScaleNormal="12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C30" sqref="C30"/>
    </sheetView>
  </sheetViews>
  <sheetFormatPr defaultColWidth="9" defaultRowHeight="11.25" x14ac:dyDescent="0.25"/>
  <cols>
    <col min="1" max="1" width="28.875" style="180" bestFit="1" customWidth="1"/>
    <col min="2" max="12" width="11.625" style="180" bestFit="1" customWidth="1"/>
    <col min="13" max="17" width="7.875" style="180" bestFit="1" customWidth="1"/>
    <col min="18" max="16384" width="9" style="180"/>
  </cols>
  <sheetData>
    <row r="1" spans="1:18" x14ac:dyDescent="0.25">
      <c r="A1" s="179" t="str">
        <f>ProjectValuation!A1</f>
        <v>Bisnis Truk Thermoking</v>
      </c>
      <c r="M1" s="183"/>
    </row>
    <row r="2" spans="1:18" x14ac:dyDescent="0.25">
      <c r="A2" s="179" t="str">
        <f>ProjectValuation!A2</f>
        <v>Financial Pre-Feasibility Study</v>
      </c>
      <c r="M2" s="183"/>
    </row>
    <row r="3" spans="1:18" x14ac:dyDescent="0.25">
      <c r="A3" s="181" t="s">
        <v>542</v>
      </c>
      <c r="M3" s="183"/>
      <c r="R3" s="183"/>
    </row>
    <row r="4" spans="1:18" x14ac:dyDescent="0.25">
      <c r="A4" s="182"/>
      <c r="M4" s="183"/>
      <c r="R4" s="183"/>
    </row>
    <row r="5" spans="1:18" x14ac:dyDescent="0.25">
      <c r="A5" s="182"/>
      <c r="D5" s="183"/>
      <c r="M5" s="183"/>
      <c r="R5" s="183"/>
    </row>
    <row r="6" spans="1:18" x14ac:dyDescent="0.25">
      <c r="A6" s="200" t="s">
        <v>543</v>
      </c>
      <c r="M6" s="183"/>
      <c r="R6" s="183"/>
    </row>
    <row r="7" spans="1:18" x14ac:dyDescent="0.25">
      <c r="A7" s="180" t="s">
        <v>652</v>
      </c>
      <c r="M7" s="183"/>
    </row>
    <row r="8" spans="1:18" ht="20.100000000000001" customHeight="1" x14ac:dyDescent="0.25">
      <c r="A8" s="185" t="s">
        <v>536</v>
      </c>
      <c r="B8" s="186">
        <v>0</v>
      </c>
      <c r="C8" s="186">
        <v>1</v>
      </c>
      <c r="D8" s="186">
        <f>C8+1</f>
        <v>2</v>
      </c>
      <c r="E8" s="186">
        <f t="shared" ref="E8:L8" si="0">D8+1</f>
        <v>3</v>
      </c>
      <c r="F8" s="186">
        <f t="shared" si="0"/>
        <v>4</v>
      </c>
      <c r="G8" s="186">
        <f t="shared" si="0"/>
        <v>5</v>
      </c>
      <c r="H8" s="186">
        <f t="shared" si="0"/>
        <v>6</v>
      </c>
      <c r="I8" s="186">
        <f t="shared" si="0"/>
        <v>7</v>
      </c>
      <c r="J8" s="186">
        <f t="shared" si="0"/>
        <v>8</v>
      </c>
      <c r="K8" s="186">
        <f t="shared" si="0"/>
        <v>9</v>
      </c>
      <c r="L8" s="186">
        <f t="shared" si="0"/>
        <v>10</v>
      </c>
    </row>
    <row r="9" spans="1:18" x14ac:dyDescent="0.25">
      <c r="A9" s="180" t="s">
        <v>544</v>
      </c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</row>
    <row r="10" spans="1:18" x14ac:dyDescent="0.25">
      <c r="A10" s="188" t="s">
        <v>545</v>
      </c>
      <c r="B10" s="187"/>
      <c r="C10" s="183">
        <f>IncomeStatement!C8</f>
        <v>3456000000</v>
      </c>
      <c r="D10" s="183">
        <f>IncomeStatement!D8</f>
        <v>3525120000</v>
      </c>
      <c r="E10" s="183">
        <f>IncomeStatement!E8</f>
        <v>3595622400</v>
      </c>
      <c r="F10" s="183">
        <f>IncomeStatement!F8</f>
        <v>3667534848</v>
      </c>
      <c r="G10" s="183">
        <f>IncomeStatement!G8</f>
        <v>3740885544.96</v>
      </c>
      <c r="H10" s="183">
        <f>IncomeStatement!H8</f>
        <v>3815703255.8592</v>
      </c>
      <c r="I10" s="183">
        <f>IncomeStatement!I8</f>
        <v>3892017320.9763842</v>
      </c>
      <c r="J10" s="183">
        <f>IncomeStatement!J8</f>
        <v>3969857667.3959117</v>
      </c>
      <c r="K10" s="183">
        <f>IncomeStatement!K8</f>
        <v>4049254820.7438302</v>
      </c>
      <c r="L10" s="183">
        <f>IncomeStatement!L8</f>
        <v>4130239917.1587067</v>
      </c>
    </row>
    <row r="11" spans="1:18" x14ac:dyDescent="0.25">
      <c r="A11" s="188" t="s">
        <v>546</v>
      </c>
      <c r="B11" s="187"/>
      <c r="C11" s="183">
        <f>Depreciation!F8</f>
        <v>380000000</v>
      </c>
      <c r="D11" s="183">
        <f>Depreciation!F9</f>
        <v>380000000</v>
      </c>
      <c r="E11" s="183">
        <f>Depreciation!F10</f>
        <v>380000000</v>
      </c>
      <c r="F11" s="183">
        <f>Depreciation!F11</f>
        <v>380000000</v>
      </c>
      <c r="G11" s="183">
        <f>Depreciation!F12</f>
        <v>380000000</v>
      </c>
      <c r="H11" s="183">
        <f>Depreciation!F13</f>
        <v>380000000</v>
      </c>
      <c r="I11" s="183">
        <f>Depreciation!F14</f>
        <v>380000000</v>
      </c>
      <c r="J11" s="183">
        <f>Depreciation!F15</f>
        <v>380000000</v>
      </c>
      <c r="K11" s="183">
        <f>Depreciation!F16</f>
        <v>380000000</v>
      </c>
      <c r="L11" s="183">
        <f>Depreciation!F17</f>
        <v>380000000</v>
      </c>
    </row>
    <row r="12" spans="1:18" x14ac:dyDescent="0.25">
      <c r="A12" s="188" t="s">
        <v>547</v>
      </c>
      <c r="B12" s="187"/>
      <c r="C12" s="183"/>
      <c r="D12" s="183"/>
      <c r="E12" s="183"/>
      <c r="F12" s="183"/>
      <c r="G12" s="192"/>
      <c r="H12" s="192"/>
      <c r="I12" s="192"/>
      <c r="J12" s="192"/>
      <c r="K12" s="192"/>
      <c r="L12" s="192"/>
    </row>
    <row r="13" spans="1:18" x14ac:dyDescent="0.25">
      <c r="A13" s="188" t="s">
        <v>746</v>
      </c>
      <c r="B13" s="187"/>
      <c r="C13" s="183">
        <f>-1*IncomeStatement!C12</f>
        <v>-2688849600</v>
      </c>
      <c r="D13" s="183">
        <f>-1*IncomeStatement!D12</f>
        <v>-2367686592</v>
      </c>
      <c r="E13" s="183">
        <f>-1*IncomeStatement!E12</f>
        <v>-2407300323.8400002</v>
      </c>
      <c r="F13" s="183">
        <f>-1*IncomeStatement!F12</f>
        <v>-2447706330.3168001</v>
      </c>
      <c r="G13" s="183">
        <f>-1*IncomeStatement!G12</f>
        <v>-2488920456.9231358</v>
      </c>
      <c r="H13" s="183">
        <f>-1*IncomeStatement!H12</f>
        <v>-2602958866.0615988</v>
      </c>
      <c r="I13" s="183">
        <f>-1*IncomeStatement!I12</f>
        <v>-2647278043.3828311</v>
      </c>
      <c r="J13" s="183">
        <f>-1*IncomeStatement!J12</f>
        <v>-2692483604.2504873</v>
      </c>
      <c r="K13" s="183">
        <f>-1*IncomeStatement!K12</f>
        <v>-2738593276.3354974</v>
      </c>
      <c r="L13" s="183">
        <f>-1*IncomeStatement!L12</f>
        <v>-2785625141.8622074</v>
      </c>
    </row>
    <row r="14" spans="1:18" x14ac:dyDescent="0.25">
      <c r="A14" s="189" t="s">
        <v>747</v>
      </c>
      <c r="B14" s="187"/>
      <c r="C14" s="183">
        <f>-1*IncomeStatement!C20</f>
        <v>-300000000</v>
      </c>
      <c r="D14" s="183">
        <f>-1*IncomeStatement!D20</f>
        <v>-275400000</v>
      </c>
      <c r="E14" s="183">
        <f>-1*IncomeStatement!E20</f>
        <v>-280908000</v>
      </c>
      <c r="F14" s="183">
        <f>-1*IncomeStatement!F20</f>
        <v>-286526160</v>
      </c>
      <c r="G14" s="183">
        <f>-1*IncomeStatement!G20</f>
        <v>-292256683.20000005</v>
      </c>
      <c r="H14" s="183">
        <f>-1*IncomeStatement!H20</f>
        <v>-298101816.86400008</v>
      </c>
      <c r="I14" s="183">
        <f>-1*IncomeStatement!I20</f>
        <v>-304063853.20128</v>
      </c>
      <c r="J14" s="183">
        <f>-1*IncomeStatement!J20</f>
        <v>-310145130.26530564</v>
      </c>
      <c r="K14" s="183">
        <f>-1*IncomeStatement!K20</f>
        <v>-316348032.87061179</v>
      </c>
      <c r="L14" s="183">
        <f>-1*IncomeStatement!L20</f>
        <v>-322674993.52802402</v>
      </c>
    </row>
    <row r="15" spans="1:18" x14ac:dyDescent="0.25">
      <c r="A15" s="189" t="s">
        <v>548</v>
      </c>
      <c r="B15" s="192"/>
      <c r="C15" s="191">
        <f>-1*IncomeStatement!C25</f>
        <v>-15835644</v>
      </c>
      <c r="D15" s="191">
        <f>-1*IncomeStatement!D25</f>
        <v>-69372974.879999995</v>
      </c>
      <c r="E15" s="191">
        <f>-1*IncomeStatement!E25</f>
        <v>-80065048.377599984</v>
      </c>
      <c r="F15" s="191">
        <f>-1*IncomeStatement!F25</f>
        <v>-90812959.345151991</v>
      </c>
      <c r="G15" s="191">
        <f>-1*IncomeStatement!G25</f>
        <v>-101617824.53205507</v>
      </c>
      <c r="H15" s="191">
        <f>-1*IncomeStatement!H25</f>
        <v>-100610683.02269612</v>
      </c>
      <c r="I15" s="191">
        <f>-1*IncomeStatement!I25</f>
        <v>-103474296.68315004</v>
      </c>
      <c r="J15" s="191">
        <f>-1*IncomeStatement!J25</f>
        <v>-106395182.61681306</v>
      </c>
      <c r="K15" s="191">
        <f>-1*IncomeStatement!K25</f>
        <v>-109374486.26914932</v>
      </c>
      <c r="L15" s="191">
        <f>-1*IncomeStatement!L25</f>
        <v>-112413375.99453229</v>
      </c>
    </row>
    <row r="16" spans="1:18" x14ac:dyDescent="0.25">
      <c r="A16" s="190" t="s">
        <v>549</v>
      </c>
      <c r="B16" s="187"/>
      <c r="C16" s="183">
        <f t="shared" ref="C16:L16" si="1">SUM(C10:C15)</f>
        <v>831314756</v>
      </c>
      <c r="D16" s="183">
        <f t="shared" si="1"/>
        <v>1192660433.1199999</v>
      </c>
      <c r="E16" s="183">
        <f t="shared" si="1"/>
        <v>1207349027.7823999</v>
      </c>
      <c r="F16" s="183">
        <f t="shared" si="1"/>
        <v>1222489398.338048</v>
      </c>
      <c r="G16" s="183">
        <f t="shared" si="1"/>
        <v>1238090580.3048091</v>
      </c>
      <c r="H16" s="183">
        <f t="shared" si="1"/>
        <v>1194031889.9109051</v>
      </c>
      <c r="I16" s="183">
        <f t="shared" si="1"/>
        <v>1217201127.7091229</v>
      </c>
      <c r="J16" s="183">
        <f t="shared" si="1"/>
        <v>1240833750.2633061</v>
      </c>
      <c r="K16" s="183">
        <f t="shared" si="1"/>
        <v>1264939025.2685714</v>
      </c>
      <c r="L16" s="183">
        <f t="shared" si="1"/>
        <v>1289526405.7739429</v>
      </c>
    </row>
    <row r="17" spans="1:12" x14ac:dyDescent="0.25"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</row>
    <row r="18" spans="1:12" x14ac:dyDescent="0.25">
      <c r="A18" s="180" t="s">
        <v>550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</row>
    <row r="19" spans="1:12" x14ac:dyDescent="0.25">
      <c r="A19" s="180" t="s">
        <v>551</v>
      </c>
      <c r="B19" s="192">
        <f>CapitalInvestment!C7</f>
        <v>3800000000</v>
      </c>
      <c r="C19" s="192"/>
      <c r="D19" s="192"/>
      <c r="E19" s="192"/>
      <c r="F19" s="192"/>
      <c r="G19" s="192"/>
      <c r="H19" s="192"/>
      <c r="I19" s="192"/>
      <c r="J19" s="192"/>
      <c r="K19" s="192"/>
      <c r="L19" s="192"/>
    </row>
    <row r="20" spans="1:12" x14ac:dyDescent="0.25">
      <c r="A20" s="180" t="s">
        <v>552</v>
      </c>
      <c r="B20" s="197">
        <f>CapitalInvestment!C8</f>
        <v>700000000</v>
      </c>
      <c r="C20" s="197"/>
      <c r="D20" s="197"/>
      <c r="E20" s="197"/>
      <c r="F20" s="197"/>
      <c r="G20" s="197"/>
      <c r="H20" s="197"/>
      <c r="I20" s="197"/>
      <c r="J20" s="197"/>
      <c r="K20" s="197"/>
      <c r="L20" s="197"/>
    </row>
    <row r="21" spans="1:12" x14ac:dyDescent="0.25">
      <c r="A21" s="190" t="s">
        <v>553</v>
      </c>
      <c r="B21" s="192">
        <f>SUM(B19:B20)</f>
        <v>4500000000</v>
      </c>
      <c r="C21" s="192">
        <f>SUM(C19:C20)</f>
        <v>0</v>
      </c>
      <c r="D21" s="192">
        <f t="shared" ref="D21:L21" si="2">SUM(D19:D20)</f>
        <v>0</v>
      </c>
      <c r="E21" s="192">
        <f t="shared" si="2"/>
        <v>0</v>
      </c>
      <c r="F21" s="192">
        <f t="shared" si="2"/>
        <v>0</v>
      </c>
      <c r="G21" s="192">
        <f t="shared" si="2"/>
        <v>0</v>
      </c>
      <c r="H21" s="192">
        <f t="shared" si="2"/>
        <v>0</v>
      </c>
      <c r="I21" s="192">
        <f t="shared" si="2"/>
        <v>0</v>
      </c>
      <c r="J21" s="192">
        <f t="shared" si="2"/>
        <v>0</v>
      </c>
      <c r="K21" s="192">
        <f t="shared" si="2"/>
        <v>0</v>
      </c>
      <c r="L21" s="192">
        <f t="shared" si="2"/>
        <v>0</v>
      </c>
    </row>
    <row r="22" spans="1:12" x14ac:dyDescent="0.25"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</row>
    <row r="23" spans="1:12" x14ac:dyDescent="0.25">
      <c r="A23" s="180" t="s">
        <v>554</v>
      </c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</row>
    <row r="24" spans="1:12" x14ac:dyDescent="0.25">
      <c r="A24" s="180" t="s">
        <v>555</v>
      </c>
      <c r="B24" s="183">
        <f>-1*B19</f>
        <v>-3800000000</v>
      </c>
      <c r="C24" s="183"/>
      <c r="D24" s="183"/>
      <c r="E24" s="183"/>
      <c r="F24" s="183"/>
      <c r="G24" s="183"/>
      <c r="H24" s="183"/>
      <c r="I24" s="183"/>
      <c r="J24" s="183"/>
      <c r="K24" s="183"/>
      <c r="L24" s="183"/>
    </row>
    <row r="25" spans="1:12" x14ac:dyDescent="0.25">
      <c r="A25" s="180" t="s">
        <v>556</v>
      </c>
      <c r="B25" s="183">
        <v>0</v>
      </c>
      <c r="C25" s="183">
        <f>-1*LoanInterest!J8</f>
        <v>-532000000</v>
      </c>
      <c r="D25" s="183">
        <f>-1*LoanInterest!J9</f>
        <v>-532000000</v>
      </c>
      <c r="E25" s="183">
        <f>-1*LoanInterest!J10</f>
        <v>-532000000</v>
      </c>
      <c r="F25" s="183">
        <f>-1*LoanInterest!J11</f>
        <v>-532000000</v>
      </c>
      <c r="G25" s="183">
        <f>-1*LoanInterest!J12</f>
        <v>-532000000</v>
      </c>
      <c r="H25" s="183">
        <f>-1*LoanInterest!J14/10^3</f>
        <v>0</v>
      </c>
      <c r="I25" s="183">
        <f>-1*LoanInterest!J15/10^3</f>
        <v>0</v>
      </c>
      <c r="J25" s="183">
        <f>-1*LoanInterest!J16/10^3</f>
        <v>0</v>
      </c>
      <c r="K25" s="183">
        <f>-1*LoanInterest!J17/10^3</f>
        <v>0</v>
      </c>
      <c r="L25" s="183">
        <f>-1*LoanInterest!J18/10^3</f>
        <v>0</v>
      </c>
    </row>
    <row r="26" spans="1:12" x14ac:dyDescent="0.25">
      <c r="A26" s="180" t="s">
        <v>557</v>
      </c>
      <c r="B26" s="183">
        <v>0</v>
      </c>
      <c r="C26" s="183">
        <f>-1*LoanInterest!L8</f>
        <v>-323190000</v>
      </c>
      <c r="D26" s="183">
        <f>-1*LoanInterest!L9</f>
        <v>-251370000.00000003</v>
      </c>
      <c r="E26" s="183">
        <f>-1*LoanInterest!L10</f>
        <v>-179550000</v>
      </c>
      <c r="F26" s="183">
        <f>-1*LoanInterest!L11</f>
        <v>-107730000</v>
      </c>
      <c r="G26" s="183">
        <f>-1*LoanInterest!L12</f>
        <v>-35910000</v>
      </c>
      <c r="H26" s="183">
        <f>-1*LoanInterest!L13</f>
        <v>0</v>
      </c>
      <c r="I26" s="183">
        <f>-1*LoanInterest!L14</f>
        <v>0</v>
      </c>
      <c r="J26" s="183">
        <f>-1*LoanInterest!L15</f>
        <v>0</v>
      </c>
      <c r="K26" s="183">
        <f>-1*LoanInterest!L16</f>
        <v>0</v>
      </c>
      <c r="L26" s="183">
        <f>-1*LoanInterest!L17</f>
        <v>0</v>
      </c>
    </row>
    <row r="27" spans="1:12" x14ac:dyDescent="0.25">
      <c r="A27" s="180" t="s">
        <v>1252</v>
      </c>
      <c r="B27" s="191">
        <v>0</v>
      </c>
      <c r="C27" s="191">
        <f>-1*Dividen!L9</f>
        <v>-64062378</v>
      </c>
      <c r="D27" s="191">
        <f>-1*Dividen!L10</f>
        <v>-280645216.56</v>
      </c>
      <c r="E27" s="191">
        <f>-1*Dividen!L11</f>
        <v>-453459319.44767988</v>
      </c>
      <c r="F27" s="191">
        <f>-1*Dividen!L12</f>
        <v>-734759398.33804786</v>
      </c>
      <c r="G27" s="191">
        <f>-1*Dividen!L13</f>
        <v>-822180580.30480921</v>
      </c>
      <c r="H27" s="191">
        <f>-1*Dividen!L14</f>
        <v>-814031889.910905</v>
      </c>
      <c r="I27" s="191">
        <f>-1*Dividen!L15</f>
        <v>-837201127.70912302</v>
      </c>
      <c r="J27" s="191">
        <f>-1*Dividen!L16</f>
        <v>-860833750.26330566</v>
      </c>
      <c r="K27" s="191">
        <f>-1*Dividen!L17</f>
        <v>-884939025.26857173</v>
      </c>
      <c r="L27" s="191">
        <f>-1*Dividen!L18</f>
        <v>-909526405.77394295</v>
      </c>
    </row>
    <row r="28" spans="1:12" x14ac:dyDescent="0.25">
      <c r="A28" s="190" t="s">
        <v>558</v>
      </c>
      <c r="B28" s="183">
        <f>SUM(B24:B27)</f>
        <v>-3800000000</v>
      </c>
      <c r="C28" s="183">
        <f>SUM(C24:C27)</f>
        <v>-919252378</v>
      </c>
      <c r="D28" s="183">
        <f t="shared" ref="D28:L28" si="3">SUM(D24:D27)</f>
        <v>-1064015216.5599999</v>
      </c>
      <c r="E28" s="183">
        <f t="shared" si="3"/>
        <v>-1165009319.44768</v>
      </c>
      <c r="F28" s="183">
        <f t="shared" si="3"/>
        <v>-1374489398.338048</v>
      </c>
      <c r="G28" s="183">
        <f t="shared" si="3"/>
        <v>-1390090580.3048091</v>
      </c>
      <c r="H28" s="183">
        <f t="shared" si="3"/>
        <v>-814031889.910905</v>
      </c>
      <c r="I28" s="183">
        <f t="shared" si="3"/>
        <v>-837201127.70912302</v>
      </c>
      <c r="J28" s="183">
        <f t="shared" si="3"/>
        <v>-860833750.26330566</v>
      </c>
      <c r="K28" s="183">
        <f t="shared" si="3"/>
        <v>-884939025.26857173</v>
      </c>
      <c r="L28" s="183">
        <f t="shared" si="3"/>
        <v>-909526405.77394295</v>
      </c>
    </row>
    <row r="29" spans="1:12" x14ac:dyDescent="0.25"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</row>
    <row r="30" spans="1:12" x14ac:dyDescent="0.25">
      <c r="A30" s="180" t="s">
        <v>559</v>
      </c>
      <c r="B30" s="183">
        <f t="shared" ref="B30:L30" si="4">B16+B21+B28</f>
        <v>700000000</v>
      </c>
      <c r="C30" s="183">
        <f t="shared" si="4"/>
        <v>-87937622</v>
      </c>
      <c r="D30" s="183">
        <f t="shared" si="4"/>
        <v>128645216.55999994</v>
      </c>
      <c r="E30" s="183">
        <f t="shared" si="4"/>
        <v>42339708.334719896</v>
      </c>
      <c r="F30" s="183">
        <f t="shared" si="4"/>
        <v>-152000000</v>
      </c>
      <c r="G30" s="183">
        <f t="shared" si="4"/>
        <v>-152000000</v>
      </c>
      <c r="H30" s="183">
        <f t="shared" si="4"/>
        <v>380000000.00000012</v>
      </c>
      <c r="I30" s="183">
        <f t="shared" si="4"/>
        <v>379999999.99999988</v>
      </c>
      <c r="J30" s="183">
        <f t="shared" si="4"/>
        <v>380000000.00000048</v>
      </c>
      <c r="K30" s="183">
        <f t="shared" si="4"/>
        <v>379999999.99999964</v>
      </c>
      <c r="L30" s="183">
        <f t="shared" si="4"/>
        <v>380000000</v>
      </c>
    </row>
    <row r="31" spans="1:12" x14ac:dyDescent="0.25">
      <c r="A31" s="180" t="s">
        <v>560</v>
      </c>
      <c r="B31" s="183">
        <v>0</v>
      </c>
      <c r="C31" s="183">
        <f>B32</f>
        <v>700000000</v>
      </c>
      <c r="D31" s="183">
        <f t="shared" ref="D31:L31" si="5">C32</f>
        <v>612062378</v>
      </c>
      <c r="E31" s="183">
        <f t="shared" si="5"/>
        <v>740707594.55999994</v>
      </c>
      <c r="F31" s="183">
        <f t="shared" si="5"/>
        <v>783047302.89471984</v>
      </c>
      <c r="G31" s="183">
        <f t="shared" si="5"/>
        <v>631047302.89471984</v>
      </c>
      <c r="H31" s="183">
        <f t="shared" si="5"/>
        <v>479047302.89471984</v>
      </c>
      <c r="I31" s="183">
        <f t="shared" si="5"/>
        <v>859047302.89471996</v>
      </c>
      <c r="J31" s="183">
        <f t="shared" si="5"/>
        <v>1239047302.8947198</v>
      </c>
      <c r="K31" s="183">
        <f t="shared" si="5"/>
        <v>1619047302.8947203</v>
      </c>
      <c r="L31" s="183">
        <f t="shared" si="5"/>
        <v>1999047302.8947201</v>
      </c>
    </row>
    <row r="32" spans="1:12" x14ac:dyDescent="0.25">
      <c r="A32" s="180" t="s">
        <v>561</v>
      </c>
      <c r="B32" s="183">
        <f>B30+B31</f>
        <v>700000000</v>
      </c>
      <c r="C32" s="183">
        <f>C30+C31</f>
        <v>612062378</v>
      </c>
      <c r="D32" s="183">
        <f t="shared" ref="D32:L32" si="6">D30+D31</f>
        <v>740707594.55999994</v>
      </c>
      <c r="E32" s="183">
        <f t="shared" si="6"/>
        <v>783047302.89471984</v>
      </c>
      <c r="F32" s="183">
        <f t="shared" si="6"/>
        <v>631047302.89471984</v>
      </c>
      <c r="G32" s="183">
        <f t="shared" si="6"/>
        <v>479047302.89471984</v>
      </c>
      <c r="H32" s="183">
        <f t="shared" si="6"/>
        <v>859047302.89471996</v>
      </c>
      <c r="I32" s="183">
        <f t="shared" si="6"/>
        <v>1239047302.8947198</v>
      </c>
      <c r="J32" s="183">
        <f t="shared" si="6"/>
        <v>1619047302.8947203</v>
      </c>
      <c r="K32" s="183">
        <f t="shared" si="6"/>
        <v>1999047302.8947201</v>
      </c>
      <c r="L32" s="183">
        <f t="shared" si="6"/>
        <v>2379047302.8947201</v>
      </c>
    </row>
    <row r="33" spans="1:12" s="183" customFormat="1" x14ac:dyDescent="0.25">
      <c r="A33" s="193"/>
      <c r="B33" s="194"/>
      <c r="C33" s="193"/>
      <c r="D33" s="194"/>
      <c r="E33" s="194"/>
      <c r="F33" s="193"/>
      <c r="G33" s="194"/>
      <c r="H33" s="194"/>
      <c r="I33" s="194"/>
      <c r="J33" s="194"/>
      <c r="K33" s="194"/>
      <c r="L33" s="194"/>
    </row>
    <row r="35" spans="1:12" x14ac:dyDescent="0.25">
      <c r="A35" s="180" t="s">
        <v>1253</v>
      </c>
      <c r="B35" s="183"/>
      <c r="C35" s="183">
        <f>C16+C25+C26+C31</f>
        <v>676124756</v>
      </c>
      <c r="D35" s="183">
        <f>D16+D25+D26+D31</f>
        <v>1021352811.1199999</v>
      </c>
      <c r="E35" s="183">
        <f>E16+E25+E26+E31</f>
        <v>1236506622.3423998</v>
      </c>
      <c r="F35" s="183">
        <f t="shared" ref="F35:L35" si="7">F16+F25+F26+F31</f>
        <v>1365806701.2327678</v>
      </c>
      <c r="G35" s="183">
        <f t="shared" si="7"/>
        <v>1301227883.1995289</v>
      </c>
      <c r="H35" s="183">
        <f t="shared" si="7"/>
        <v>1673079192.805625</v>
      </c>
      <c r="I35" s="183">
        <f t="shared" si="7"/>
        <v>2076248430.6038427</v>
      </c>
      <c r="J35" s="183">
        <f t="shared" si="7"/>
        <v>2479881053.1580257</v>
      </c>
      <c r="K35" s="183">
        <f t="shared" si="7"/>
        <v>2883986328.1632919</v>
      </c>
      <c r="L35" s="183">
        <f t="shared" si="7"/>
        <v>3288573708.668663</v>
      </c>
    </row>
    <row r="36" spans="1:12" x14ac:dyDescent="0.25">
      <c r="D36" s="192"/>
      <c r="E36" s="192"/>
      <c r="F36" s="192"/>
      <c r="G36" s="192"/>
      <c r="H36" s="192"/>
    </row>
    <row r="37" spans="1:12" x14ac:dyDescent="0.25">
      <c r="B37" s="196"/>
      <c r="D37" s="192"/>
      <c r="E37" s="192"/>
      <c r="F37" s="192"/>
      <c r="G37" s="192"/>
      <c r="H37" s="192"/>
    </row>
    <row r="38" spans="1:12" x14ac:dyDescent="0.25">
      <c r="D38" s="192"/>
      <c r="E38" s="192"/>
      <c r="F38" s="192"/>
      <c r="G38" s="192"/>
      <c r="H38" s="192"/>
    </row>
    <row r="39" spans="1:12" x14ac:dyDescent="0.25">
      <c r="D39" s="192"/>
      <c r="E39" s="192"/>
      <c r="F39" s="192"/>
      <c r="G39" s="192"/>
      <c r="H39" s="192"/>
    </row>
    <row r="40" spans="1:12" x14ac:dyDescent="0.25">
      <c r="D40" s="192"/>
      <c r="E40" s="192"/>
      <c r="F40" s="192"/>
      <c r="G40" s="192"/>
      <c r="H40" s="192"/>
    </row>
    <row r="41" spans="1:12" x14ac:dyDescent="0.25">
      <c r="D41" s="192"/>
      <c r="E41" s="192"/>
      <c r="F41" s="192"/>
      <c r="G41" s="192"/>
      <c r="H41" s="192"/>
    </row>
    <row r="42" spans="1:12" x14ac:dyDescent="0.25">
      <c r="D42" s="192"/>
      <c r="E42" s="192"/>
      <c r="F42" s="192"/>
      <c r="G42" s="192"/>
      <c r="H42" s="192"/>
    </row>
    <row r="43" spans="1:12" x14ac:dyDescent="0.25">
      <c r="D43" s="192"/>
      <c r="E43" s="192"/>
      <c r="F43" s="192"/>
      <c r="G43" s="192"/>
      <c r="H43" s="192"/>
    </row>
    <row r="44" spans="1:12" x14ac:dyDescent="0.25">
      <c r="D44" s="192"/>
      <c r="E44" s="192"/>
      <c r="F44" s="192"/>
      <c r="G44" s="192"/>
      <c r="H44" s="192"/>
    </row>
    <row r="60" spans="1:6" x14ac:dyDescent="0.25">
      <c r="F60" s="192"/>
    </row>
    <row r="61" spans="1:6" x14ac:dyDescent="0.25">
      <c r="F61" s="192"/>
    </row>
    <row r="62" spans="1:6" x14ac:dyDescent="0.25">
      <c r="A62" s="196"/>
      <c r="C62" s="192"/>
      <c r="D62" s="192"/>
      <c r="E62" s="192"/>
      <c r="F62" s="192"/>
    </row>
    <row r="63" spans="1:6" x14ac:dyDescent="0.25">
      <c r="A63" s="196"/>
      <c r="C63" s="192"/>
      <c r="D63" s="192"/>
      <c r="E63" s="192"/>
    </row>
    <row r="64" spans="1:6" x14ac:dyDescent="0.25">
      <c r="C64" s="192"/>
    </row>
    <row r="68" spans="3:3" x14ac:dyDescent="0.25">
      <c r="C68" s="192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D407-F527-46AF-84D7-65A0DC1B95BB}">
  <sheetPr>
    <tabColor theme="9" tint="0.39997558519241921"/>
  </sheetPr>
  <dimension ref="A1:W50"/>
  <sheetViews>
    <sheetView showGridLines="0" zoomScaleNormal="100" workbookViewId="0">
      <pane ySplit="6" topLeftCell="A7" activePane="bottomLeft" state="frozen"/>
      <selection pane="bottomLeft" activeCell="M20" sqref="M20:N21"/>
    </sheetView>
  </sheetViews>
  <sheetFormatPr defaultColWidth="9.125" defaultRowHeight="11.25" x14ac:dyDescent="0.25"/>
  <cols>
    <col min="1" max="1" width="2.75" style="292" customWidth="1"/>
    <col min="2" max="2" width="17.25" style="292" customWidth="1"/>
    <col min="3" max="3" width="8.125" style="292" bestFit="1" customWidth="1"/>
    <col min="4" max="4" width="14.25" style="292" customWidth="1"/>
    <col min="5" max="5" width="4.625" style="271" customWidth="1"/>
    <col min="6" max="6" width="3.625" style="292" customWidth="1"/>
    <col min="7" max="7" width="15.625" style="292" bestFit="1" customWidth="1"/>
    <col min="8" max="8" width="16.125" style="457" customWidth="1"/>
    <col min="9" max="9" width="13" style="298" customWidth="1"/>
    <col min="10" max="10" width="12.5" style="292" customWidth="1"/>
    <col min="11" max="11" width="2.75" style="292" customWidth="1"/>
    <col min="12" max="12" width="5.625" style="292" customWidth="1"/>
    <col min="13" max="13" width="9.125" style="292"/>
    <col min="14" max="14" width="9.375" style="292" bestFit="1" customWidth="1"/>
    <col min="15" max="16" width="9.125" style="292" bestFit="1" customWidth="1"/>
    <col min="17" max="17" width="9.25" style="292" customWidth="1"/>
    <col min="18" max="18" width="9.375" style="292" bestFit="1" customWidth="1"/>
    <col min="19" max="19" width="10.375" style="292" customWidth="1"/>
    <col min="20" max="21" width="9.375" style="292" bestFit="1" customWidth="1"/>
    <col min="22" max="22" width="9.375" style="292" customWidth="1"/>
    <col min="23" max="23" width="15.125" style="292" bestFit="1" customWidth="1"/>
    <col min="24" max="24" width="9.125" style="292"/>
    <col min="25" max="25" width="13.125" style="292" bestFit="1" customWidth="1"/>
    <col min="26" max="16384" width="9.125" style="292"/>
  </cols>
  <sheetData>
    <row r="1" spans="1:23" x14ac:dyDescent="0.2">
      <c r="A1" s="576" t="str">
        <f>Assumption!A1</f>
        <v>Bisnis Truk Thermoking</v>
      </c>
    </row>
    <row r="2" spans="1:23" x14ac:dyDescent="0.2">
      <c r="A2" s="293" t="str">
        <f>[2]Assumption!A2</f>
        <v>Financial Pre-Feasibility Study</v>
      </c>
    </row>
    <row r="3" spans="1:23" x14ac:dyDescent="0.25">
      <c r="A3" s="294" t="s">
        <v>763</v>
      </c>
    </row>
    <row r="5" spans="1:23" x14ac:dyDescent="0.25">
      <c r="M5" s="307" t="s">
        <v>1013</v>
      </c>
      <c r="W5" s="311" t="s">
        <v>602</v>
      </c>
    </row>
    <row r="6" spans="1:23" ht="22.15" customHeight="1" x14ac:dyDescent="0.25">
      <c r="A6" s="263" t="s">
        <v>562</v>
      </c>
      <c r="B6" s="281"/>
      <c r="C6" s="281"/>
      <c r="D6" s="281"/>
      <c r="F6" s="263" t="s">
        <v>1008</v>
      </c>
      <c r="G6" s="281"/>
      <c r="H6" s="530"/>
      <c r="I6" s="529"/>
      <c r="J6" s="281"/>
      <c r="K6" s="281"/>
      <c r="M6" s="232" t="s">
        <v>1012</v>
      </c>
      <c r="N6" s="389" t="str">
        <f>G7</f>
        <v>Solar BTJ -JKT</v>
      </c>
      <c r="O6" s="389" t="str">
        <f>G15</f>
        <v>Solar JKT -MDN - BTJ</v>
      </c>
      <c r="P6" s="389" t="str">
        <f>G22</f>
        <v>Gaji Driver</v>
      </c>
      <c r="Q6" s="389" t="str">
        <f>G26</f>
        <v>Penyebrangan</v>
      </c>
      <c r="R6" s="389" t="str">
        <f>G30</f>
        <v xml:space="preserve">Biaya Tol </v>
      </c>
      <c r="S6" s="232" t="s">
        <v>524</v>
      </c>
    </row>
    <row r="7" spans="1:23" x14ac:dyDescent="0.25">
      <c r="A7" s="224" t="s">
        <v>150</v>
      </c>
      <c r="B7" s="578" t="str">
        <f>Assumption!A14</f>
        <v>Volume Pengiriman</v>
      </c>
      <c r="C7" s="521">
        <f>Assumption!E14</f>
        <v>20000</v>
      </c>
      <c r="D7" s="292" t="str">
        <f>Assumption!F14</f>
        <v>Kg/trip</v>
      </c>
      <c r="F7" s="292" t="s">
        <v>150</v>
      </c>
      <c r="G7" s="292" t="s">
        <v>1113</v>
      </c>
      <c r="H7" s="457" t="s">
        <v>1117</v>
      </c>
      <c r="I7" s="298">
        <f>Assumption!C53</f>
        <v>2493</v>
      </c>
      <c r="J7" s="292" t="s">
        <v>1088</v>
      </c>
      <c r="M7" s="297">
        <v>1</v>
      </c>
      <c r="N7" s="299">
        <f>I14</f>
        <v>406857600</v>
      </c>
      <c r="O7" s="299">
        <f>I21</f>
        <v>410448000</v>
      </c>
      <c r="P7" s="299">
        <f>I25</f>
        <v>480000000</v>
      </c>
      <c r="Q7" s="299">
        <f>I29</f>
        <v>196800000</v>
      </c>
      <c r="R7" s="299">
        <f>I33</f>
        <v>103344000</v>
      </c>
      <c r="S7" s="299">
        <f>SUM(N7:R7)</f>
        <v>1597449600</v>
      </c>
      <c r="T7" s="641">
        <f>S7/2</f>
        <v>798724800</v>
      </c>
      <c r="U7" s="641">
        <f>T7/12</f>
        <v>66560400</v>
      </c>
      <c r="V7" s="641">
        <f>U7/4</f>
        <v>16640100</v>
      </c>
    </row>
    <row r="8" spans="1:23" x14ac:dyDescent="0.25">
      <c r="A8" s="292" t="s">
        <v>151</v>
      </c>
      <c r="B8" s="292" t="s">
        <v>1205</v>
      </c>
      <c r="C8" s="292">
        <f>Assumption!E8</f>
        <v>12</v>
      </c>
      <c r="D8" s="292" t="s">
        <v>565</v>
      </c>
      <c r="E8" s="315"/>
      <c r="F8" s="296"/>
      <c r="G8" s="296"/>
      <c r="H8" s="457" t="s">
        <v>1118</v>
      </c>
      <c r="I8" s="579" t="str">
        <f>Assumption!C54</f>
        <v xml:space="preserve"> 1:2</v>
      </c>
      <c r="J8" s="292" t="s">
        <v>1201</v>
      </c>
      <c r="K8" s="299"/>
      <c r="L8" s="299"/>
      <c r="M8" s="297">
        <f>M7+1</f>
        <v>2</v>
      </c>
      <c r="N8" s="300">
        <f>N7*(1+$O$22)</f>
        <v>414994752</v>
      </c>
      <c r="O8" s="300">
        <f t="shared" ref="O8:O16" si="0">O7*(1+$O$23)</f>
        <v>418656960</v>
      </c>
      <c r="P8" s="300">
        <f t="shared" ref="P8:P16" si="1">P7*(1+$O$24)</f>
        <v>489600000</v>
      </c>
      <c r="Q8" s="300">
        <f t="shared" ref="Q8:Q16" si="2">Q7*(1+$O$25)</f>
        <v>200736000</v>
      </c>
      <c r="R8" s="300">
        <f t="shared" ref="R8:R16" si="3">R7*(1+$O$26)</f>
        <v>105410880</v>
      </c>
      <c r="S8" s="299">
        <f t="shared" ref="S8:S16" si="4">SUM(N8:R8)</f>
        <v>1629398592</v>
      </c>
    </row>
    <row r="9" spans="1:23" x14ac:dyDescent="0.25">
      <c r="A9" s="224" t="s">
        <v>152</v>
      </c>
      <c r="B9" s="580" t="str">
        <f>Assumption!A11</f>
        <v>Jumlah trip</v>
      </c>
      <c r="C9" s="657">
        <v>4</v>
      </c>
      <c r="D9" s="292" t="str">
        <f>Assumption!F11</f>
        <v>trip/bulan</v>
      </c>
      <c r="E9" s="522"/>
      <c r="F9" s="406"/>
      <c r="G9" s="406"/>
      <c r="H9" s="478" t="s">
        <v>1119</v>
      </c>
      <c r="I9" s="298">
        <f>Assumption!C55</f>
        <v>1246.5</v>
      </c>
      <c r="J9" s="295" t="s">
        <v>1127</v>
      </c>
      <c r="K9" s="299"/>
      <c r="L9" s="299"/>
      <c r="M9" s="297">
        <f t="shared" ref="M9:M16" si="5">M8+1</f>
        <v>3</v>
      </c>
      <c r="N9" s="300">
        <f>N8*(1+$O$22)</f>
        <v>423294647.04000002</v>
      </c>
      <c r="O9" s="300">
        <f t="shared" si="0"/>
        <v>427030099.19999999</v>
      </c>
      <c r="P9" s="300">
        <f t="shared" si="1"/>
        <v>499392000</v>
      </c>
      <c r="Q9" s="300">
        <f t="shared" si="2"/>
        <v>204750720</v>
      </c>
      <c r="R9" s="300">
        <f t="shared" si="3"/>
        <v>107519097.60000001</v>
      </c>
      <c r="S9" s="299">
        <f t="shared" si="4"/>
        <v>1661986563.8399999</v>
      </c>
    </row>
    <row r="10" spans="1:23" x14ac:dyDescent="0.2">
      <c r="B10" s="210" t="s">
        <v>1206</v>
      </c>
      <c r="C10" s="581">
        <f>Assumption!E12</f>
        <v>2</v>
      </c>
      <c r="D10" s="292" t="str">
        <f>Assumption!F12</f>
        <v>trip/bulan</v>
      </c>
      <c r="E10" s="523"/>
      <c r="F10" s="407"/>
      <c r="G10" s="407"/>
      <c r="H10" s="478" t="s">
        <v>1120</v>
      </c>
      <c r="I10" s="298">
        <f>Assumption!C52</f>
        <v>6800</v>
      </c>
      <c r="J10" s="295" t="s">
        <v>1009</v>
      </c>
      <c r="K10" s="299"/>
      <c r="L10" s="299"/>
      <c r="M10" s="297">
        <f t="shared" si="5"/>
        <v>4</v>
      </c>
      <c r="N10" s="300">
        <f>N9*(1+$O$22)</f>
        <v>431760539.98080003</v>
      </c>
      <c r="O10" s="300">
        <f t="shared" si="0"/>
        <v>435570701.18400002</v>
      </c>
      <c r="P10" s="300">
        <f t="shared" si="1"/>
        <v>509379840</v>
      </c>
      <c r="Q10" s="300">
        <f t="shared" si="2"/>
        <v>208845734.40000001</v>
      </c>
      <c r="R10" s="300">
        <f t="shared" si="3"/>
        <v>109669479.55200002</v>
      </c>
      <c r="S10" s="299">
        <f t="shared" si="4"/>
        <v>1695226295.1168003</v>
      </c>
    </row>
    <row r="11" spans="1:23" x14ac:dyDescent="0.2">
      <c r="B11" s="210" t="s">
        <v>1207</v>
      </c>
      <c r="C11" s="292">
        <f>Assumption!E13</f>
        <v>2</v>
      </c>
      <c r="D11" s="292" t="str">
        <f>Assumption!F13</f>
        <v>trip/bulan</v>
      </c>
      <c r="E11" s="522"/>
      <c r="F11" s="406"/>
      <c r="G11" s="406"/>
      <c r="H11" s="478" t="s">
        <v>1011</v>
      </c>
      <c r="I11" s="298">
        <f>I9*I10</f>
        <v>8476200</v>
      </c>
      <c r="J11" s="295" t="s">
        <v>1203</v>
      </c>
      <c r="K11" s="299"/>
      <c r="L11" s="299"/>
      <c r="M11" s="297">
        <f t="shared" si="5"/>
        <v>5</v>
      </c>
      <c r="N11" s="300">
        <f>N10*(1+$O$22)</f>
        <v>440395750.78041601</v>
      </c>
      <c r="O11" s="300">
        <f t="shared" si="0"/>
        <v>444282115.20768005</v>
      </c>
      <c r="P11" s="300">
        <f t="shared" si="1"/>
        <v>519567436.80000001</v>
      </c>
      <c r="Q11" s="300">
        <f t="shared" si="2"/>
        <v>213022649.088</v>
      </c>
      <c r="R11" s="300">
        <f t="shared" si="3"/>
        <v>111862869.14304002</v>
      </c>
      <c r="S11" s="299">
        <f t="shared" si="4"/>
        <v>1729130821.019136</v>
      </c>
    </row>
    <row r="12" spans="1:23" x14ac:dyDescent="0.25">
      <c r="A12" s="224" t="s">
        <v>153</v>
      </c>
      <c r="B12" s="292" t="str">
        <f>Assumption!A9</f>
        <v>Waktu Perjalanan</v>
      </c>
      <c r="C12" s="581">
        <f>Assumption!E9</f>
        <v>5</v>
      </c>
      <c r="D12" s="298" t="str">
        <f>Assumption!F9</f>
        <v>hari/trip BTJ - JKT</v>
      </c>
      <c r="H12" s="478"/>
      <c r="I12" s="298">
        <f>(I11*C10)</f>
        <v>16952400</v>
      </c>
      <c r="J12" s="295" t="s">
        <v>1204</v>
      </c>
      <c r="K12" s="299"/>
      <c r="L12" s="299"/>
      <c r="M12" s="297">
        <f t="shared" si="5"/>
        <v>6</v>
      </c>
      <c r="N12" s="300">
        <f>N11*(1+$O$22)</f>
        <v>449203665.79602432</v>
      </c>
      <c r="O12" s="300">
        <f t="shared" si="0"/>
        <v>453167757.51183367</v>
      </c>
      <c r="P12" s="300">
        <f t="shared" si="1"/>
        <v>529958785.53600001</v>
      </c>
      <c r="Q12" s="300">
        <f t="shared" si="2"/>
        <v>217283102.06975999</v>
      </c>
      <c r="R12" s="300">
        <f t="shared" si="3"/>
        <v>114100126.52590083</v>
      </c>
      <c r="S12" s="299">
        <f t="shared" si="4"/>
        <v>1763713437.4395189</v>
      </c>
    </row>
    <row r="13" spans="1:23" x14ac:dyDescent="0.25">
      <c r="A13" s="224" t="s">
        <v>154</v>
      </c>
      <c r="B13" s="292" t="str">
        <f>B12</f>
        <v>Waktu Perjalanan</v>
      </c>
      <c r="C13" s="526">
        <f>Assumption!E10</f>
        <v>7</v>
      </c>
      <c r="D13" s="298" t="str">
        <f>Assumption!F10</f>
        <v>hari/trip JKT - MDN - BTJ</v>
      </c>
      <c r="E13" s="522"/>
      <c r="H13" s="478"/>
      <c r="I13" s="298">
        <f>I12*C8</f>
        <v>203428800</v>
      </c>
      <c r="J13" s="295" t="s">
        <v>1202</v>
      </c>
      <c r="K13" s="306"/>
      <c r="L13" s="306"/>
      <c r="M13" s="297">
        <f t="shared" si="5"/>
        <v>7</v>
      </c>
      <c r="N13" s="300">
        <f t="shared" ref="N13:N16" si="6">N12*(1+$O$22)</f>
        <v>458187739.11194479</v>
      </c>
      <c r="O13" s="300">
        <f t="shared" si="0"/>
        <v>462231112.66207033</v>
      </c>
      <c r="P13" s="300">
        <f t="shared" si="1"/>
        <v>540557961.24672008</v>
      </c>
      <c r="Q13" s="300">
        <f t="shared" si="2"/>
        <v>221628764.11115521</v>
      </c>
      <c r="R13" s="300">
        <f t="shared" si="3"/>
        <v>116382129.05641885</v>
      </c>
      <c r="S13" s="299">
        <f t="shared" si="4"/>
        <v>1798987706.1883094</v>
      </c>
    </row>
    <row r="14" spans="1:23" x14ac:dyDescent="0.25">
      <c r="A14" s="224" t="s">
        <v>155</v>
      </c>
      <c r="B14" s="292" t="s">
        <v>1209</v>
      </c>
      <c r="C14" s="526">
        <f>Assumption!E7</f>
        <v>2</v>
      </c>
      <c r="D14" s="410" t="s">
        <v>1130</v>
      </c>
      <c r="E14" s="522"/>
      <c r="F14" s="655"/>
      <c r="G14" s="655"/>
      <c r="H14" s="525" t="s">
        <v>23</v>
      </c>
      <c r="I14" s="527">
        <f>I13*C14</f>
        <v>406857600</v>
      </c>
      <c r="J14" s="528" t="s">
        <v>605</v>
      </c>
      <c r="K14" s="306"/>
      <c r="L14" s="306"/>
      <c r="M14" s="297">
        <f t="shared" si="5"/>
        <v>8</v>
      </c>
      <c r="N14" s="300">
        <f t="shared" si="6"/>
        <v>467351493.8941837</v>
      </c>
      <c r="O14" s="300">
        <f t="shared" si="0"/>
        <v>471475734.91531175</v>
      </c>
      <c r="P14" s="300">
        <f t="shared" si="1"/>
        <v>551369120.47165453</v>
      </c>
      <c r="Q14" s="300">
        <f t="shared" si="2"/>
        <v>226061339.39337832</v>
      </c>
      <c r="R14" s="300">
        <f t="shared" si="3"/>
        <v>118709771.63754722</v>
      </c>
      <c r="S14" s="299">
        <f t="shared" si="4"/>
        <v>1834967460.3120754</v>
      </c>
    </row>
    <row r="15" spans="1:23" x14ac:dyDescent="0.25">
      <c r="A15" s="292" t="s">
        <v>1208</v>
      </c>
      <c r="B15" s="296" t="s">
        <v>1014</v>
      </c>
      <c r="C15" s="296"/>
      <c r="E15" s="522"/>
      <c r="F15" s="292" t="s">
        <v>151</v>
      </c>
      <c r="G15" s="292" t="s">
        <v>1114</v>
      </c>
      <c r="H15" s="457" t="s">
        <v>1121</v>
      </c>
      <c r="I15" s="298">
        <f>Assumption!C57+Assumption!C58</f>
        <v>2515</v>
      </c>
      <c r="J15" s="292" t="s">
        <v>1088</v>
      </c>
      <c r="K15" s="306"/>
      <c r="L15" s="306"/>
      <c r="M15" s="297">
        <f t="shared" si="5"/>
        <v>9</v>
      </c>
      <c r="N15" s="300">
        <f t="shared" si="6"/>
        <v>476698523.77206737</v>
      </c>
      <c r="O15" s="300">
        <f t="shared" si="0"/>
        <v>480905249.61361802</v>
      </c>
      <c r="P15" s="300">
        <f t="shared" si="1"/>
        <v>562396502.88108766</v>
      </c>
      <c r="Q15" s="300">
        <f t="shared" si="2"/>
        <v>230582566.18124589</v>
      </c>
      <c r="R15" s="300">
        <f t="shared" si="3"/>
        <v>121083967.07029817</v>
      </c>
      <c r="S15" s="299">
        <f t="shared" si="4"/>
        <v>1871666809.5183172</v>
      </c>
    </row>
    <row r="16" spans="1:23" x14ac:dyDescent="0.25">
      <c r="B16" s="268" t="s">
        <v>1015</v>
      </c>
      <c r="C16" s="473"/>
      <c r="E16" s="268"/>
      <c r="H16" s="457" t="s">
        <v>1118</v>
      </c>
      <c r="I16" s="579" t="str">
        <f>Assumption!C54</f>
        <v xml:space="preserve"> 1:2</v>
      </c>
      <c r="J16" s="292" t="s">
        <v>1201</v>
      </c>
      <c r="K16" s="306"/>
      <c r="L16" s="306"/>
      <c r="M16" s="297">
        <f t="shared" si="5"/>
        <v>10</v>
      </c>
      <c r="N16" s="300">
        <f t="shared" si="6"/>
        <v>486232494.2475087</v>
      </c>
      <c r="O16" s="300">
        <f t="shared" si="0"/>
        <v>490523354.60589039</v>
      </c>
      <c r="P16" s="300">
        <f t="shared" si="1"/>
        <v>573644432.93870938</v>
      </c>
      <c r="Q16" s="300">
        <f t="shared" si="2"/>
        <v>235194217.5048708</v>
      </c>
      <c r="R16" s="300">
        <f t="shared" si="3"/>
        <v>123505646.41170414</v>
      </c>
      <c r="S16" s="299">
        <f t="shared" si="4"/>
        <v>1909100145.7086835</v>
      </c>
    </row>
    <row r="17" spans="1:19" x14ac:dyDescent="0.25">
      <c r="F17" s="296"/>
      <c r="G17" s="296"/>
      <c r="H17" s="478" t="s">
        <v>1119</v>
      </c>
      <c r="I17" s="298">
        <f>Assumption!C59</f>
        <v>1257.5</v>
      </c>
      <c r="J17" s="295" t="s">
        <v>1127</v>
      </c>
      <c r="L17" s="298"/>
      <c r="M17" s="284"/>
      <c r="N17" s="284"/>
      <c r="O17" s="284"/>
      <c r="P17" s="302"/>
      <c r="Q17" s="302"/>
      <c r="R17" s="302"/>
      <c r="S17" s="303">
        <f>AVERAGE(S7:S16)</f>
        <v>1749162743.1142838</v>
      </c>
    </row>
    <row r="18" spans="1:19" x14ac:dyDescent="0.25">
      <c r="A18" s="307"/>
      <c r="F18" s="406"/>
      <c r="G18" s="406"/>
      <c r="H18" s="478" t="s">
        <v>1120</v>
      </c>
      <c r="I18" s="298">
        <f>Assumption!E19</f>
        <v>6800</v>
      </c>
      <c r="J18" s="295" t="s">
        <v>1009</v>
      </c>
      <c r="N18" s="298"/>
    </row>
    <row r="19" spans="1:19" x14ac:dyDescent="0.25">
      <c r="A19" s="458"/>
      <c r="B19" s="296"/>
      <c r="C19" s="296"/>
      <c r="F19" s="407"/>
      <c r="G19" s="407"/>
      <c r="H19" s="478" t="s">
        <v>1011</v>
      </c>
      <c r="I19" s="298">
        <f>I18*I17</f>
        <v>8551000</v>
      </c>
      <c r="J19" s="295" t="s">
        <v>1198</v>
      </c>
      <c r="N19" s="298"/>
    </row>
    <row r="20" spans="1:19" x14ac:dyDescent="0.25">
      <c r="C20" s="406"/>
      <c r="D20" s="459"/>
      <c r="E20" s="522"/>
      <c r="F20" s="406"/>
      <c r="G20" s="406"/>
      <c r="H20" s="478"/>
      <c r="I20" s="298">
        <f>(I19*C11)</f>
        <v>17102000</v>
      </c>
      <c r="J20" s="295" t="s">
        <v>1204</v>
      </c>
      <c r="M20" s="307" t="s">
        <v>66</v>
      </c>
      <c r="N20" s="307"/>
      <c r="O20" s="300"/>
      <c r="P20" s="300"/>
      <c r="Q20" s="300"/>
    </row>
    <row r="21" spans="1:19" x14ac:dyDescent="0.2">
      <c r="C21" s="461"/>
      <c r="F21" s="526"/>
      <c r="G21" s="526"/>
      <c r="H21" s="525" t="s">
        <v>23</v>
      </c>
      <c r="I21" s="527">
        <f>I20*C14*C8</f>
        <v>410448000</v>
      </c>
      <c r="J21" s="528" t="s">
        <v>605</v>
      </c>
      <c r="M21" s="292" t="s">
        <v>175</v>
      </c>
      <c r="O21" s="308"/>
      <c r="P21" s="308"/>
      <c r="Q21" s="308"/>
    </row>
    <row r="22" spans="1:19" x14ac:dyDescent="0.2">
      <c r="C22" s="460"/>
      <c r="D22" s="570"/>
      <c r="F22" s="292" t="s">
        <v>152</v>
      </c>
      <c r="G22" s="292" t="s">
        <v>1111</v>
      </c>
      <c r="H22" s="457" t="s">
        <v>1188</v>
      </c>
      <c r="I22" s="298">
        <f>Assumption!C49</f>
        <v>2</v>
      </c>
      <c r="J22" s="292" t="s">
        <v>1210</v>
      </c>
      <c r="M22" s="292" t="str">
        <f>G7</f>
        <v>Solar BTJ -JKT</v>
      </c>
      <c r="O22" s="310">
        <v>0.02</v>
      </c>
      <c r="P22" s="310" t="s">
        <v>177</v>
      </c>
    </row>
    <row r="23" spans="1:19" x14ac:dyDescent="0.2">
      <c r="C23" s="461"/>
      <c r="D23" s="460"/>
      <c r="F23" s="296"/>
      <c r="H23" s="478" t="s">
        <v>1086</v>
      </c>
      <c r="I23" s="298">
        <f>Assumption!C50</f>
        <v>5000000</v>
      </c>
      <c r="J23" s="295" t="s">
        <v>1203</v>
      </c>
      <c r="M23" s="292" t="str">
        <f>G15</f>
        <v>Solar JKT -MDN - BTJ</v>
      </c>
      <c r="N23" s="224"/>
      <c r="O23" s="310">
        <v>0.02</v>
      </c>
      <c r="P23" s="310" t="s">
        <v>177</v>
      </c>
    </row>
    <row r="24" spans="1:19" x14ac:dyDescent="0.25">
      <c r="E24" s="570"/>
      <c r="F24" s="475"/>
      <c r="H24" s="478" t="s">
        <v>1011</v>
      </c>
      <c r="I24" s="298">
        <f>I23*C10*C11</f>
        <v>20000000</v>
      </c>
      <c r="J24" s="295" t="s">
        <v>1204</v>
      </c>
      <c r="M24" s="292" t="str">
        <f>G22</f>
        <v>Gaji Driver</v>
      </c>
      <c r="O24" s="310">
        <v>0.02</v>
      </c>
      <c r="P24" s="310" t="s">
        <v>177</v>
      </c>
    </row>
    <row r="25" spans="1:19" x14ac:dyDescent="0.2">
      <c r="E25" s="202"/>
      <c r="F25" s="526"/>
      <c r="G25" s="526"/>
      <c r="H25" s="525"/>
      <c r="I25" s="527">
        <f>I24*C8*C14</f>
        <v>480000000</v>
      </c>
      <c r="J25" s="528" t="s">
        <v>605</v>
      </c>
      <c r="M25" s="292" t="str">
        <f>G26</f>
        <v>Penyebrangan</v>
      </c>
      <c r="O25" s="310">
        <v>0.02</v>
      </c>
      <c r="P25" s="310" t="s">
        <v>177</v>
      </c>
    </row>
    <row r="26" spans="1:19" x14ac:dyDescent="0.25">
      <c r="F26" s="292" t="s">
        <v>153</v>
      </c>
      <c r="G26" s="292" t="s">
        <v>1123</v>
      </c>
      <c r="H26" s="478" t="s">
        <v>1124</v>
      </c>
      <c r="I26" s="298">
        <f>C9</f>
        <v>4</v>
      </c>
      <c r="J26" s="295" t="s">
        <v>1077</v>
      </c>
      <c r="M26" s="292" t="str">
        <f>G30</f>
        <v xml:space="preserve">Biaya Tol </v>
      </c>
      <c r="O26" s="310">
        <v>0.02</v>
      </c>
      <c r="P26" s="310" t="s">
        <v>177</v>
      </c>
    </row>
    <row r="27" spans="1:19" x14ac:dyDescent="0.25">
      <c r="F27" s="296"/>
      <c r="H27" s="478" t="s">
        <v>1010</v>
      </c>
      <c r="I27" s="298">
        <f>Assumption!C61</f>
        <v>2050000</v>
      </c>
      <c r="J27" s="295" t="s">
        <v>1203</v>
      </c>
    </row>
    <row r="28" spans="1:19" x14ac:dyDescent="0.25">
      <c r="F28" s="406"/>
      <c r="H28" s="478" t="s">
        <v>1011</v>
      </c>
      <c r="I28" s="298">
        <f>I27*I26</f>
        <v>8200000</v>
      </c>
      <c r="J28" s="295" t="s">
        <v>1204</v>
      </c>
    </row>
    <row r="29" spans="1:19" x14ac:dyDescent="0.25">
      <c r="A29" s="475"/>
      <c r="B29" s="224"/>
      <c r="C29" s="474"/>
      <c r="D29" s="310"/>
      <c r="F29" s="526"/>
      <c r="G29" s="526"/>
      <c r="H29" s="525"/>
      <c r="I29" s="527">
        <f>I28*C8*C14</f>
        <v>196800000</v>
      </c>
      <c r="J29" s="528" t="s">
        <v>605</v>
      </c>
      <c r="M29" s="310"/>
    </row>
    <row r="30" spans="1:19" x14ac:dyDescent="0.25">
      <c r="A30" s="475"/>
      <c r="B30" s="224"/>
      <c r="C30" s="474"/>
      <c r="D30" s="310"/>
      <c r="F30" s="292" t="s">
        <v>154</v>
      </c>
      <c r="G30" s="292" t="s">
        <v>1128</v>
      </c>
      <c r="H30" s="478" t="s">
        <v>1125</v>
      </c>
      <c r="I30" s="298">
        <f>C9</f>
        <v>4</v>
      </c>
      <c r="J30" s="295" t="s">
        <v>1077</v>
      </c>
    </row>
    <row r="31" spans="1:19" x14ac:dyDescent="0.25">
      <c r="A31" s="475"/>
      <c r="C31" s="474"/>
      <c r="D31" s="310"/>
      <c r="H31" s="478" t="s">
        <v>1126</v>
      </c>
      <c r="I31" s="298">
        <f>Assumption!C63</f>
        <v>1076500</v>
      </c>
      <c r="J31" s="295" t="s">
        <v>1203</v>
      </c>
    </row>
    <row r="32" spans="1:19" x14ac:dyDescent="0.25">
      <c r="A32" s="475"/>
      <c r="C32" s="474"/>
      <c r="D32" s="310"/>
      <c r="H32" s="478" t="s">
        <v>1011</v>
      </c>
      <c r="I32" s="298">
        <f>I31*I30</f>
        <v>4306000</v>
      </c>
      <c r="J32" s="295" t="s">
        <v>1204</v>
      </c>
    </row>
    <row r="33" spans="1:10" x14ac:dyDescent="0.25">
      <c r="C33" s="474"/>
      <c r="F33" s="526"/>
      <c r="G33" s="526"/>
      <c r="H33" s="525"/>
      <c r="I33" s="527">
        <f>I32*C8*C14</f>
        <v>103344000</v>
      </c>
      <c r="J33" s="528" t="s">
        <v>605</v>
      </c>
    </row>
    <row r="34" spans="1:10" x14ac:dyDescent="0.25">
      <c r="A34" s="458"/>
      <c r="C34" s="224"/>
      <c r="D34" s="224"/>
      <c r="E34" s="268"/>
    </row>
    <row r="39" spans="1:10" x14ac:dyDescent="0.25">
      <c r="F39" s="296"/>
    </row>
    <row r="40" spans="1:10" x14ac:dyDescent="0.25">
      <c r="F40" s="406"/>
    </row>
    <row r="49" spans="14:14" x14ac:dyDescent="0.25">
      <c r="N49" s="300"/>
    </row>
    <row r="50" spans="14:14" x14ac:dyDescent="0.25">
      <c r="N50" s="308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3447-CFD4-4450-88AF-664B19339EFC}">
  <sheetPr>
    <tabColor theme="9" tint="0.39997558519241921"/>
  </sheetPr>
  <dimension ref="A1:Z79"/>
  <sheetViews>
    <sheetView zoomScaleNormal="100" workbookViewId="0">
      <pane ySplit="6" topLeftCell="A7" activePane="bottomLeft" state="frozen"/>
      <selection pane="bottomLeft" activeCell="E49" sqref="E49"/>
    </sheetView>
  </sheetViews>
  <sheetFormatPr defaultColWidth="9.125" defaultRowHeight="11.25" x14ac:dyDescent="0.25"/>
  <cols>
    <col min="1" max="1" width="2.75" style="292" customWidth="1"/>
    <col min="2" max="2" width="13.5" style="292" customWidth="1"/>
    <col min="3" max="3" width="3.25" style="292" bestFit="1" customWidth="1"/>
    <col min="4" max="4" width="9.375" style="292" bestFit="1" customWidth="1"/>
    <col min="5" max="5" width="10" style="292" customWidth="1"/>
    <col min="6" max="6" width="6.75" style="292" customWidth="1"/>
    <col min="7" max="7" width="4.25" style="292" customWidth="1"/>
    <col min="8" max="8" width="5.75" style="292" customWidth="1"/>
    <col min="9" max="9" width="5.625" style="292" customWidth="1"/>
    <col min="10" max="10" width="9.125" style="292"/>
    <col min="11" max="12" width="9.125" style="292" customWidth="1"/>
    <col min="13" max="13" width="11.75" style="292" bestFit="1" customWidth="1"/>
    <col min="14" max="17" width="9.125" style="292" customWidth="1"/>
    <col min="18" max="18" width="9.375" style="292" bestFit="1" customWidth="1"/>
    <col min="19" max="22" width="9.125" style="292" customWidth="1"/>
    <col min="23" max="23" width="10.25" style="292" bestFit="1" customWidth="1"/>
    <col min="24" max="24" width="9.125" style="292"/>
    <col min="25" max="25" width="13.125" style="292" bestFit="1" customWidth="1"/>
    <col min="26" max="16384" width="9.125" style="292"/>
  </cols>
  <sheetData>
    <row r="1" spans="1:26" x14ac:dyDescent="0.2">
      <c r="A1" s="576" t="str">
        <f>Assumption!A1</f>
        <v>Bisnis Truk Thermoking</v>
      </c>
    </row>
    <row r="2" spans="1:26" x14ac:dyDescent="0.2">
      <c r="A2" s="293" t="str">
        <f>[2]Assumption!A2</f>
        <v>Financial Pre-Feasibility Study</v>
      </c>
    </row>
    <row r="3" spans="1:26" x14ac:dyDescent="0.25">
      <c r="A3" s="294" t="s">
        <v>765</v>
      </c>
    </row>
    <row r="5" spans="1:26" x14ac:dyDescent="0.25">
      <c r="W5" s="311" t="s">
        <v>601</v>
      </c>
    </row>
    <row r="6" spans="1:26" ht="22.5" x14ac:dyDescent="0.25">
      <c r="A6" s="263" t="s">
        <v>562</v>
      </c>
      <c r="B6" s="281"/>
      <c r="C6" s="281"/>
      <c r="D6" s="281"/>
      <c r="E6" s="281"/>
      <c r="F6" s="281"/>
      <c r="G6" s="281"/>
      <c r="H6" s="281"/>
      <c r="J6" s="232" t="s">
        <v>536</v>
      </c>
      <c r="K6" s="389" t="s">
        <v>1131</v>
      </c>
      <c r="L6" s="389" t="s">
        <v>1132</v>
      </c>
      <c r="M6" s="389" t="s">
        <v>1133</v>
      </c>
      <c r="N6" s="389" t="s">
        <v>1134</v>
      </c>
      <c r="O6" s="389" t="s">
        <v>1135</v>
      </c>
      <c r="P6" s="389" t="s">
        <v>1212</v>
      </c>
      <c r="Q6" s="389" t="s">
        <v>1213</v>
      </c>
      <c r="R6" s="389" t="s">
        <v>1136</v>
      </c>
      <c r="S6" s="389" t="s">
        <v>1145</v>
      </c>
      <c r="T6" s="389" t="s">
        <v>1144</v>
      </c>
      <c r="U6" s="389" t="s">
        <v>1084</v>
      </c>
      <c r="V6" s="389" t="s">
        <v>780</v>
      </c>
      <c r="W6" s="232" t="s">
        <v>524</v>
      </c>
    </row>
    <row r="7" spans="1:26" x14ac:dyDescent="0.25">
      <c r="A7" s="224" t="s">
        <v>1017</v>
      </c>
      <c r="C7" s="298"/>
      <c r="D7" s="298"/>
      <c r="G7" s="433"/>
      <c r="H7" s="433"/>
      <c r="J7" s="297">
        <v>1</v>
      </c>
      <c r="K7" s="299">
        <f>E11</f>
        <v>36000000</v>
      </c>
      <c r="L7" s="299">
        <f>E18</f>
        <v>28800000</v>
      </c>
      <c r="M7" s="299">
        <f>E22</f>
        <v>145000000</v>
      </c>
      <c r="N7" s="299">
        <f>E29</f>
        <v>31200000</v>
      </c>
      <c r="O7" s="299">
        <f>E35</f>
        <v>96000000</v>
      </c>
      <c r="P7" s="299">
        <f>E60</f>
        <v>1200000</v>
      </c>
      <c r="Q7" s="299">
        <f>E65</f>
        <v>1800000</v>
      </c>
      <c r="R7" s="299">
        <f>E40</f>
        <v>800000</v>
      </c>
      <c r="S7" s="299">
        <f>E44</f>
        <v>7000000</v>
      </c>
      <c r="T7" s="299">
        <f>E50</f>
        <v>360000000</v>
      </c>
      <c r="U7" s="299">
        <f>E55</f>
        <v>3600000</v>
      </c>
      <c r="V7" s="299">
        <f>Depreciation!F8</f>
        <v>380000000</v>
      </c>
      <c r="W7" s="629">
        <f>SUM(K7:V7)</f>
        <v>1091400000</v>
      </c>
      <c r="X7" s="641">
        <f>W7/2</f>
        <v>545700000</v>
      </c>
      <c r="Y7" s="722">
        <f>X7/12</f>
        <v>45475000</v>
      </c>
      <c r="Z7" s="641">
        <f>Y7/4</f>
        <v>11368750</v>
      </c>
    </row>
    <row r="8" spans="1:26" x14ac:dyDescent="0.25">
      <c r="A8" s="531">
        <v>1</v>
      </c>
      <c r="B8" s="224" t="s">
        <v>1131</v>
      </c>
      <c r="C8" s="524"/>
      <c r="D8" s="298" t="s">
        <v>1163</v>
      </c>
      <c r="E8" s="632">
        <v>1500000</v>
      </c>
      <c r="F8" s="457" t="s">
        <v>1159</v>
      </c>
      <c r="G8" s="535"/>
      <c r="I8" s="299"/>
      <c r="J8" s="297">
        <f>J7+1</f>
        <v>2</v>
      </c>
      <c r="K8" s="300">
        <f t="shared" ref="K8:K16" si="0">K7*(1+$D$71)</f>
        <v>36720000</v>
      </c>
      <c r="L8" s="300">
        <f t="shared" ref="L8:L16" si="1">L7*(1+$D$72)</f>
        <v>29376000</v>
      </c>
      <c r="M8" s="300">
        <f t="shared" ref="M8:M16" si="2">M7*(1+$D$73)</f>
        <v>147900000</v>
      </c>
      <c r="N8" s="300">
        <f t="shared" ref="N8:N16" si="3">N7*(1+$D$74)</f>
        <v>31824000</v>
      </c>
      <c r="O8" s="300">
        <f t="shared" ref="O8:Q16" si="4">O7*(1+$D$75)</f>
        <v>97920000</v>
      </c>
      <c r="P8" s="299">
        <f>P7*(1+$D$75)</f>
        <v>1224000</v>
      </c>
      <c r="Q8" s="300">
        <f>Q7*(1+$D$75)</f>
        <v>1836000</v>
      </c>
      <c r="R8" s="300">
        <f t="shared" ref="R8:R16" si="5">R7*(1+$D$76)</f>
        <v>816000</v>
      </c>
      <c r="S8" s="300">
        <f>S7</f>
        <v>7000000</v>
      </c>
      <c r="T8" s="299"/>
      <c r="U8" s="299">
        <f>U7*(1+$D$77)</f>
        <v>3672000</v>
      </c>
      <c r="V8" s="299">
        <f>Depreciation!F9</f>
        <v>380000000</v>
      </c>
      <c r="W8" s="629">
        <f t="shared" ref="W8:W16" si="6">SUM(K8:V8)</f>
        <v>738288000</v>
      </c>
      <c r="Y8" s="224"/>
    </row>
    <row r="9" spans="1:26" x14ac:dyDescent="0.25">
      <c r="D9" s="292" t="s">
        <v>1164</v>
      </c>
      <c r="E9" s="637">
        <f>Assumption!E7</f>
        <v>2</v>
      </c>
      <c r="F9" s="292" t="s">
        <v>1166</v>
      </c>
      <c r="G9" s="536"/>
      <c r="H9" s="298"/>
      <c r="I9" s="299"/>
      <c r="J9" s="297">
        <f t="shared" ref="J9:J16" si="7">J8+1</f>
        <v>3</v>
      </c>
      <c r="K9" s="300">
        <f t="shared" si="0"/>
        <v>37454400</v>
      </c>
      <c r="L9" s="300">
        <f t="shared" si="1"/>
        <v>29963520</v>
      </c>
      <c r="M9" s="300">
        <f t="shared" si="2"/>
        <v>150858000</v>
      </c>
      <c r="N9" s="300">
        <f t="shared" si="3"/>
        <v>32460480</v>
      </c>
      <c r="O9" s="300">
        <f t="shared" si="4"/>
        <v>99878400</v>
      </c>
      <c r="P9" s="299">
        <f t="shared" si="4"/>
        <v>1248480</v>
      </c>
      <c r="Q9" s="300">
        <f t="shared" si="4"/>
        <v>1872720</v>
      </c>
      <c r="R9" s="300">
        <f t="shared" si="5"/>
        <v>832320</v>
      </c>
      <c r="S9" s="300">
        <f>S8</f>
        <v>7000000</v>
      </c>
      <c r="T9" s="299"/>
      <c r="U9" s="299">
        <f t="shared" ref="U9:U16" si="8">U8*(1+$D$77)</f>
        <v>3745440</v>
      </c>
      <c r="V9" s="299">
        <f>Depreciation!F10</f>
        <v>380000000</v>
      </c>
      <c r="W9" s="629">
        <f t="shared" si="6"/>
        <v>745313760</v>
      </c>
      <c r="Y9" s="224"/>
    </row>
    <row r="10" spans="1:26" x14ac:dyDescent="0.25">
      <c r="D10" s="292" t="s">
        <v>1168</v>
      </c>
      <c r="E10" s="633">
        <f>E8*E9</f>
        <v>3000000</v>
      </c>
      <c r="F10" s="292" t="s">
        <v>1160</v>
      </c>
      <c r="G10" s="638"/>
      <c r="H10" s="473"/>
      <c r="I10" s="299"/>
      <c r="J10" s="297">
        <f t="shared" si="7"/>
        <v>4</v>
      </c>
      <c r="K10" s="300">
        <f t="shared" si="0"/>
        <v>38203488</v>
      </c>
      <c r="L10" s="300">
        <f t="shared" si="1"/>
        <v>30562790.400000002</v>
      </c>
      <c r="M10" s="300">
        <f t="shared" si="2"/>
        <v>153875160</v>
      </c>
      <c r="N10" s="300">
        <f t="shared" si="3"/>
        <v>33109689.600000001</v>
      </c>
      <c r="O10" s="300">
        <f t="shared" si="4"/>
        <v>101875968</v>
      </c>
      <c r="P10" s="299">
        <f t="shared" si="4"/>
        <v>1273449.6000000001</v>
      </c>
      <c r="Q10" s="300">
        <f t="shared" si="4"/>
        <v>1910174.4000000001</v>
      </c>
      <c r="R10" s="300">
        <f t="shared" si="5"/>
        <v>848966.4</v>
      </c>
      <c r="S10" s="300">
        <f>S9</f>
        <v>7000000</v>
      </c>
      <c r="T10" s="299"/>
      <c r="U10" s="299">
        <f t="shared" si="8"/>
        <v>3820348.8000000003</v>
      </c>
      <c r="V10" s="299">
        <f>Depreciation!F11</f>
        <v>380000000</v>
      </c>
      <c r="W10" s="629">
        <f t="shared" si="6"/>
        <v>752480035.20000005</v>
      </c>
      <c r="Y10" s="224"/>
    </row>
    <row r="11" spans="1:26" x14ac:dyDescent="0.25">
      <c r="A11" s="526"/>
      <c r="B11" s="526"/>
      <c r="C11" s="526"/>
      <c r="D11" s="526" t="s">
        <v>1169</v>
      </c>
      <c r="E11" s="635">
        <f>E10*Assumption!E8</f>
        <v>36000000</v>
      </c>
      <c r="F11" s="526" t="s">
        <v>1161</v>
      </c>
      <c r="G11" s="639"/>
      <c r="H11" s="640"/>
      <c r="I11" s="299"/>
      <c r="J11" s="297">
        <f t="shared" si="7"/>
        <v>5</v>
      </c>
      <c r="K11" s="300">
        <f t="shared" si="0"/>
        <v>38967557.759999998</v>
      </c>
      <c r="L11" s="300">
        <f t="shared" si="1"/>
        <v>31174046.208000004</v>
      </c>
      <c r="M11" s="300">
        <f t="shared" si="2"/>
        <v>156952663.19999999</v>
      </c>
      <c r="N11" s="300">
        <f t="shared" si="3"/>
        <v>33771883.392000005</v>
      </c>
      <c r="O11" s="300">
        <f t="shared" si="4"/>
        <v>103913487.36</v>
      </c>
      <c r="P11" s="299">
        <f t="shared" si="4"/>
        <v>1298918.5920000002</v>
      </c>
      <c r="Q11" s="300">
        <f t="shared" si="4"/>
        <v>1948377.8880000003</v>
      </c>
      <c r="R11" s="300">
        <f t="shared" si="5"/>
        <v>865945.728</v>
      </c>
      <c r="S11" s="300">
        <f>S10</f>
        <v>7000000</v>
      </c>
      <c r="T11" s="299"/>
      <c r="U11" s="299">
        <f t="shared" si="8"/>
        <v>3896755.7760000005</v>
      </c>
      <c r="V11" s="299">
        <f>Depreciation!F12</f>
        <v>380000000</v>
      </c>
      <c r="W11" s="629">
        <f t="shared" si="6"/>
        <v>759789635.90400004</v>
      </c>
      <c r="Y11" s="224"/>
    </row>
    <row r="12" spans="1:26" x14ac:dyDescent="0.25">
      <c r="G12" s="294"/>
      <c r="H12" s="473"/>
      <c r="I12" s="299"/>
      <c r="J12" s="297">
        <f t="shared" si="7"/>
        <v>6</v>
      </c>
      <c r="K12" s="300">
        <f t="shared" si="0"/>
        <v>39746908.915199995</v>
      </c>
      <c r="L12" s="300">
        <f t="shared" si="1"/>
        <v>31797527.132160004</v>
      </c>
      <c r="M12" s="300">
        <f t="shared" si="2"/>
        <v>160091716.46399999</v>
      </c>
      <c r="N12" s="300">
        <f t="shared" si="3"/>
        <v>34447321.059840009</v>
      </c>
      <c r="O12" s="300">
        <f t="shared" si="4"/>
        <v>105991757.1072</v>
      </c>
      <c r="P12" s="299">
        <f t="shared" si="4"/>
        <v>1324896.9638400001</v>
      </c>
      <c r="Q12" s="300">
        <f t="shared" si="4"/>
        <v>1987345.4457600003</v>
      </c>
      <c r="R12" s="300">
        <f t="shared" si="5"/>
        <v>883264.64256000007</v>
      </c>
      <c r="S12" s="300">
        <f t="shared" ref="S12:S16" si="9">S11</f>
        <v>7000000</v>
      </c>
      <c r="T12" s="299">
        <f>E49</f>
        <v>72000000</v>
      </c>
      <c r="U12" s="299">
        <f t="shared" si="8"/>
        <v>3974690.8915200005</v>
      </c>
      <c r="V12" s="299">
        <f>Depreciation!F13</f>
        <v>380000000</v>
      </c>
      <c r="W12" s="629">
        <f t="shared" si="6"/>
        <v>839245428.62208009</v>
      </c>
      <c r="Y12" s="224"/>
    </row>
    <row r="13" spans="1:26" x14ac:dyDescent="0.25">
      <c r="A13" s="295">
        <v>2</v>
      </c>
      <c r="B13" s="224" t="s">
        <v>1132</v>
      </c>
      <c r="C13" s="524"/>
      <c r="D13" s="298" t="s">
        <v>1165</v>
      </c>
      <c r="E13" s="742">
        <v>10</v>
      </c>
      <c r="F13" s="457" t="s">
        <v>1162</v>
      </c>
      <c r="G13" s="294"/>
      <c r="H13" s="473"/>
      <c r="I13" s="306"/>
      <c r="J13" s="297">
        <f t="shared" si="7"/>
        <v>7</v>
      </c>
      <c r="K13" s="300">
        <f t="shared" si="0"/>
        <v>40541847.093503997</v>
      </c>
      <c r="L13" s="300">
        <f t="shared" si="1"/>
        <v>32433477.674803205</v>
      </c>
      <c r="M13" s="300">
        <f t="shared" si="2"/>
        <v>163293550.79327998</v>
      </c>
      <c r="N13" s="300">
        <f t="shared" si="3"/>
        <v>35136267.481036812</v>
      </c>
      <c r="O13" s="300">
        <f t="shared" si="4"/>
        <v>108111592.24934399</v>
      </c>
      <c r="P13" s="299">
        <f t="shared" si="4"/>
        <v>1351394.9031168001</v>
      </c>
      <c r="Q13" s="300">
        <f t="shared" si="4"/>
        <v>2027092.3546752003</v>
      </c>
      <c r="R13" s="300">
        <f t="shared" si="5"/>
        <v>900929.93541120004</v>
      </c>
      <c r="S13" s="300">
        <f t="shared" si="9"/>
        <v>7000000</v>
      </c>
      <c r="T13" s="299">
        <f t="shared" ref="T13:T16" si="10">T12*(1+$D$77)</f>
        <v>73440000</v>
      </c>
      <c r="U13" s="299">
        <f t="shared" si="8"/>
        <v>4054184.7093504006</v>
      </c>
      <c r="V13" s="299">
        <f>Depreciation!F14</f>
        <v>380000000</v>
      </c>
      <c r="W13" s="629">
        <f t="shared" si="6"/>
        <v>848290337.19452167</v>
      </c>
      <c r="Y13" s="224"/>
    </row>
    <row r="14" spans="1:26" x14ac:dyDescent="0.25">
      <c r="D14" s="292" t="s">
        <v>1010</v>
      </c>
      <c r="E14" s="634">
        <v>600000</v>
      </c>
      <c r="F14" s="292" t="s">
        <v>1083</v>
      </c>
      <c r="G14" s="294"/>
      <c r="H14" s="473"/>
      <c r="I14" s="306"/>
      <c r="J14" s="297">
        <f t="shared" si="7"/>
        <v>8</v>
      </c>
      <c r="K14" s="300">
        <f t="shared" si="0"/>
        <v>41352684.035374075</v>
      </c>
      <c r="L14" s="300">
        <f t="shared" si="1"/>
        <v>33082147.228299271</v>
      </c>
      <c r="M14" s="300">
        <f t="shared" si="2"/>
        <v>166559421.80914557</v>
      </c>
      <c r="N14" s="300">
        <f t="shared" si="3"/>
        <v>35838992.830657549</v>
      </c>
      <c r="O14" s="300">
        <f t="shared" si="4"/>
        <v>110273824.09433088</v>
      </c>
      <c r="P14" s="299">
        <f t="shared" si="4"/>
        <v>1378422.8011791361</v>
      </c>
      <c r="Q14" s="300">
        <f t="shared" si="4"/>
        <v>2067634.2017687045</v>
      </c>
      <c r="R14" s="300">
        <f t="shared" si="5"/>
        <v>918948.53411942406</v>
      </c>
      <c r="S14" s="300">
        <f t="shared" si="9"/>
        <v>7000000</v>
      </c>
      <c r="T14" s="299">
        <f t="shared" si="10"/>
        <v>74908800</v>
      </c>
      <c r="U14" s="299">
        <f t="shared" si="8"/>
        <v>4135268.4035374089</v>
      </c>
      <c r="V14" s="299">
        <f>Depreciation!F15</f>
        <v>380000000</v>
      </c>
      <c r="W14" s="629">
        <f t="shared" si="6"/>
        <v>857516143.93841195</v>
      </c>
      <c r="Y14" s="224"/>
    </row>
    <row r="15" spans="1:26" x14ac:dyDescent="0.25">
      <c r="E15" s="641">
        <f>E14*2</f>
        <v>1200000</v>
      </c>
      <c r="F15" s="292" t="s">
        <v>1259</v>
      </c>
      <c r="G15" s="294"/>
      <c r="H15" s="473"/>
      <c r="I15" s="306"/>
      <c r="J15" s="297">
        <f t="shared" si="7"/>
        <v>9</v>
      </c>
      <c r="K15" s="300">
        <f t="shared" si="0"/>
        <v>42179737.71608156</v>
      </c>
      <c r="L15" s="300">
        <f t="shared" si="1"/>
        <v>33743790.172865257</v>
      </c>
      <c r="M15" s="300">
        <f t="shared" si="2"/>
        <v>169890610.24532849</v>
      </c>
      <c r="N15" s="300">
        <f t="shared" si="3"/>
        <v>36555772.687270701</v>
      </c>
      <c r="O15" s="300">
        <f t="shared" si="4"/>
        <v>112479300.5762175</v>
      </c>
      <c r="P15" s="299">
        <f t="shared" si="4"/>
        <v>1405991.2572027189</v>
      </c>
      <c r="Q15" s="300">
        <f t="shared" si="4"/>
        <v>2108986.8858040785</v>
      </c>
      <c r="R15" s="300">
        <f t="shared" si="5"/>
        <v>937327.50480181258</v>
      </c>
      <c r="S15" s="300">
        <f t="shared" si="9"/>
        <v>7000000</v>
      </c>
      <c r="T15" s="299">
        <f t="shared" si="10"/>
        <v>76406976</v>
      </c>
      <c r="U15" s="299">
        <f t="shared" si="8"/>
        <v>4217973.7716081571</v>
      </c>
      <c r="V15" s="299">
        <f>Depreciation!F16</f>
        <v>380000000</v>
      </c>
      <c r="W15" s="629">
        <f t="shared" si="6"/>
        <v>866926466.81718028</v>
      </c>
      <c r="Y15" s="224"/>
    </row>
    <row r="16" spans="1:26" x14ac:dyDescent="0.25">
      <c r="D16" s="292" t="s">
        <v>1164</v>
      </c>
      <c r="E16" s="292">
        <f>Assumption!E7</f>
        <v>2</v>
      </c>
      <c r="F16" s="292" t="s">
        <v>1166</v>
      </c>
      <c r="I16" s="306"/>
      <c r="J16" s="297">
        <f t="shared" si="7"/>
        <v>10</v>
      </c>
      <c r="K16" s="300">
        <f t="shared" si="0"/>
        <v>43023332.470403194</v>
      </c>
      <c r="L16" s="300">
        <f t="shared" si="1"/>
        <v>34418665.976322562</v>
      </c>
      <c r="M16" s="300">
        <f t="shared" si="2"/>
        <v>173288422.45023507</v>
      </c>
      <c r="N16" s="300">
        <f t="shared" si="3"/>
        <v>37286888.141016118</v>
      </c>
      <c r="O16" s="300">
        <f t="shared" si="4"/>
        <v>114728886.58774185</v>
      </c>
      <c r="P16" s="299">
        <f t="shared" si="4"/>
        <v>1434111.0823467732</v>
      </c>
      <c r="Q16" s="300">
        <f t="shared" si="4"/>
        <v>2151166.6235201601</v>
      </c>
      <c r="R16" s="300">
        <f t="shared" si="5"/>
        <v>956074.05489784887</v>
      </c>
      <c r="S16" s="300">
        <f t="shared" si="9"/>
        <v>7000000</v>
      </c>
      <c r="T16" s="299">
        <f t="shared" si="10"/>
        <v>77935115.519999996</v>
      </c>
      <c r="U16" s="299">
        <f t="shared" si="8"/>
        <v>4302333.2470403202</v>
      </c>
      <c r="V16" s="299">
        <f>Depreciation!F17</f>
        <v>380000000</v>
      </c>
      <c r="W16" s="629">
        <f t="shared" si="6"/>
        <v>876524996.15352392</v>
      </c>
    </row>
    <row r="17" spans="1:25" x14ac:dyDescent="0.25">
      <c r="D17" s="292" t="s">
        <v>1170</v>
      </c>
      <c r="E17" s="641">
        <f>E15*E16</f>
        <v>2400000</v>
      </c>
      <c r="F17" s="292" t="s">
        <v>1158</v>
      </c>
      <c r="I17" s="306"/>
      <c r="J17" s="628" t="s">
        <v>512</v>
      </c>
      <c r="K17" s="627">
        <f t="shared" ref="K17:S17" si="11">AVERAGE(K7:K16)</f>
        <v>39418995.599056289</v>
      </c>
      <c r="L17" s="627">
        <f t="shared" si="11"/>
        <v>31535196.479245029</v>
      </c>
      <c r="M17" s="627">
        <f t="shared" si="11"/>
        <v>158770954.49619892</v>
      </c>
      <c r="N17" s="627">
        <f t="shared" si="11"/>
        <v>34163129.519182123</v>
      </c>
      <c r="O17" s="627">
        <f t="shared" si="11"/>
        <v>105117321.59748343</v>
      </c>
      <c r="P17" s="627">
        <f t="shared" si="11"/>
        <v>1313966.5199685427</v>
      </c>
      <c r="Q17" s="627">
        <f t="shared" si="11"/>
        <v>1970949.7799528143</v>
      </c>
      <c r="R17" s="627">
        <f t="shared" si="11"/>
        <v>875977.67997902853</v>
      </c>
      <c r="S17" s="627">
        <f t="shared" si="11"/>
        <v>7000000</v>
      </c>
      <c r="T17" s="627">
        <f>AVERAGE(T7:T16)</f>
        <v>122448481.92</v>
      </c>
      <c r="U17" s="627">
        <f>AVERAGE(U7:U16)</f>
        <v>3941899.5599056287</v>
      </c>
      <c r="V17" s="627">
        <f>AVERAGE(V7:V16)</f>
        <v>380000000</v>
      </c>
      <c r="W17" s="627">
        <f>SUM(W7:W16)</f>
        <v>8375774803.8297176</v>
      </c>
      <c r="Y17" s="298"/>
    </row>
    <row r="18" spans="1:25" x14ac:dyDescent="0.25">
      <c r="A18" s="526"/>
      <c r="B18" s="526"/>
      <c r="C18" s="526"/>
      <c r="D18" s="526" t="s">
        <v>1171</v>
      </c>
      <c r="E18" s="636">
        <f>E17*Assumption!E8</f>
        <v>28800000</v>
      </c>
      <c r="F18" s="526" t="s">
        <v>390</v>
      </c>
      <c r="G18" s="526"/>
      <c r="H18" s="526"/>
      <c r="J18" s="297"/>
      <c r="K18" s="479"/>
      <c r="L18" s="479"/>
      <c r="M18" s="479"/>
      <c r="N18" s="479"/>
      <c r="O18" s="479"/>
      <c r="P18" s="479"/>
      <c r="Q18" s="479"/>
      <c r="R18" s="479"/>
      <c r="S18" s="479"/>
      <c r="T18" s="479"/>
      <c r="U18" s="479"/>
      <c r="V18" s="479"/>
      <c r="W18" s="479"/>
      <c r="Y18" s="298"/>
    </row>
    <row r="19" spans="1:25" x14ac:dyDescent="0.25">
      <c r="A19" s="531">
        <v>3</v>
      </c>
      <c r="B19" s="224" t="s">
        <v>1133</v>
      </c>
      <c r="C19" s="524"/>
      <c r="D19" s="292" t="s">
        <v>1165</v>
      </c>
      <c r="E19" s="294">
        <v>20</v>
      </c>
      <c r="F19" s="292" t="s">
        <v>1167</v>
      </c>
      <c r="J19" s="297"/>
      <c r="Y19" s="298"/>
    </row>
    <row r="20" spans="1:25" x14ac:dyDescent="0.25">
      <c r="D20" s="298" t="s">
        <v>1120</v>
      </c>
      <c r="E20" s="306">
        <v>3625000</v>
      </c>
      <c r="F20" s="457" t="s">
        <v>1085</v>
      </c>
      <c r="Y20" s="298"/>
    </row>
    <row r="21" spans="1:25" x14ac:dyDescent="0.25">
      <c r="D21" s="292" t="s">
        <v>1164</v>
      </c>
      <c r="E21" s="292">
        <f>Assumption!E7</f>
        <v>2</v>
      </c>
      <c r="F21" s="292" t="s">
        <v>1166</v>
      </c>
      <c r="J21" s="297"/>
      <c r="Y21" s="298"/>
    </row>
    <row r="22" spans="1:25" x14ac:dyDescent="0.25">
      <c r="A22" s="526"/>
      <c r="B22" s="526"/>
      <c r="C22" s="526"/>
      <c r="D22" s="526" t="s">
        <v>1171</v>
      </c>
      <c r="E22" s="631">
        <f>E20*E21*E19</f>
        <v>145000000</v>
      </c>
      <c r="F22" s="526" t="s">
        <v>390</v>
      </c>
      <c r="G22" s="526"/>
      <c r="H22" s="526"/>
      <c r="Y22" s="298"/>
    </row>
    <row r="24" spans="1:25" x14ac:dyDescent="0.25">
      <c r="A24" s="295">
        <v>4</v>
      </c>
      <c r="B24" s="224" t="s">
        <v>1134</v>
      </c>
      <c r="C24" s="524"/>
    </row>
    <row r="25" spans="1:25" x14ac:dyDescent="0.25">
      <c r="B25" s="224" t="s">
        <v>1172</v>
      </c>
      <c r="D25" s="298" t="s">
        <v>1120</v>
      </c>
      <c r="E25" s="306">
        <v>500000</v>
      </c>
      <c r="F25" s="457" t="s">
        <v>1159</v>
      </c>
    </row>
    <row r="26" spans="1:25" x14ac:dyDescent="0.25">
      <c r="B26" s="224" t="s">
        <v>1173</v>
      </c>
      <c r="D26" s="298" t="s">
        <v>1120</v>
      </c>
      <c r="E26" s="634">
        <v>800000</v>
      </c>
      <c r="F26" s="457" t="s">
        <v>1159</v>
      </c>
    </row>
    <row r="27" spans="1:25" x14ac:dyDescent="0.25">
      <c r="D27" s="292" t="s">
        <v>1164</v>
      </c>
      <c r="E27" s="292">
        <f>Assumption!E7</f>
        <v>2</v>
      </c>
      <c r="F27" s="292" t="s">
        <v>1166</v>
      </c>
    </row>
    <row r="28" spans="1:25" x14ac:dyDescent="0.25">
      <c r="D28" s="292" t="s">
        <v>1170</v>
      </c>
      <c r="E28" s="300">
        <f>(E25*E27)+(E26*E27)</f>
        <v>2600000</v>
      </c>
      <c r="F28" s="292" t="s">
        <v>1158</v>
      </c>
    </row>
    <row r="29" spans="1:25" x14ac:dyDescent="0.25">
      <c r="A29" s="526"/>
      <c r="B29" s="526"/>
      <c r="C29" s="526"/>
      <c r="D29" s="526" t="s">
        <v>1171</v>
      </c>
      <c r="E29" s="631">
        <f>E28*Assumption!E8</f>
        <v>31200000</v>
      </c>
      <c r="F29" s="526" t="s">
        <v>390</v>
      </c>
      <c r="G29" s="526"/>
      <c r="H29" s="526"/>
      <c r="L29" s="732"/>
      <c r="M29" s="733" t="s">
        <v>1258</v>
      </c>
      <c r="N29" s="734"/>
      <c r="O29" s="734"/>
      <c r="P29" s="735"/>
    </row>
    <row r="30" spans="1:25" x14ac:dyDescent="0.25">
      <c r="L30" s="736"/>
      <c r="M30" s="737" t="s">
        <v>1256</v>
      </c>
      <c r="N30" s="297" t="s">
        <v>1254</v>
      </c>
      <c r="O30" s="297" t="s">
        <v>1255</v>
      </c>
      <c r="P30" s="738" t="s">
        <v>1257</v>
      </c>
    </row>
    <row r="31" spans="1:25" x14ac:dyDescent="0.25">
      <c r="A31" s="531">
        <v>5</v>
      </c>
      <c r="B31" s="224" t="s">
        <v>1135</v>
      </c>
      <c r="C31" s="524"/>
      <c r="D31" s="298" t="s">
        <v>1165</v>
      </c>
      <c r="E31" s="306">
        <v>2</v>
      </c>
      <c r="F31" s="478" t="s">
        <v>1174</v>
      </c>
      <c r="L31" s="736">
        <v>1</v>
      </c>
      <c r="M31" s="299">
        <v>517869144</v>
      </c>
      <c r="N31" s="641">
        <f>M31/12</f>
        <v>43155762</v>
      </c>
      <c r="O31" s="641">
        <f>N31*2</f>
        <v>86311524</v>
      </c>
      <c r="P31" s="739">
        <f>M32/M31</f>
        <v>0.90090373100120447</v>
      </c>
    </row>
    <row r="32" spans="1:25" x14ac:dyDescent="0.25">
      <c r="D32" s="298" t="s">
        <v>1120</v>
      </c>
      <c r="E32" s="634">
        <v>2000000</v>
      </c>
      <c r="F32" s="292" t="s">
        <v>1085</v>
      </c>
      <c r="L32" s="736">
        <v>2</v>
      </c>
      <c r="M32" s="299">
        <v>466550244</v>
      </c>
      <c r="N32" s="641">
        <f t="shared" ref="N32:N35" si="12">M32/12</f>
        <v>38879187</v>
      </c>
      <c r="O32" s="641">
        <f t="shared" ref="O32:O35" si="13">N32*2</f>
        <v>77758374</v>
      </c>
      <c r="P32" s="739">
        <f t="shared" ref="P32" si="14">M33/M32</f>
        <v>0.89000343551422512</v>
      </c>
    </row>
    <row r="33" spans="1:16" x14ac:dyDescent="0.25">
      <c r="D33" s="292" t="s">
        <v>1164</v>
      </c>
      <c r="E33" s="292">
        <f>Assumption!E7</f>
        <v>2</v>
      </c>
      <c r="F33" s="292" t="s">
        <v>1166</v>
      </c>
      <c r="I33" s="306"/>
      <c r="L33" s="736">
        <v>3</v>
      </c>
      <c r="M33" s="299">
        <v>415231320</v>
      </c>
      <c r="N33" s="641">
        <f t="shared" si="12"/>
        <v>34602610</v>
      </c>
      <c r="O33" s="641">
        <f t="shared" si="13"/>
        <v>69205220</v>
      </c>
      <c r="P33" s="739">
        <f>M34/M33</f>
        <v>0.87640883158813743</v>
      </c>
    </row>
    <row r="34" spans="1:16" x14ac:dyDescent="0.25">
      <c r="D34" s="292" t="s">
        <v>1170</v>
      </c>
      <c r="E34" s="583">
        <f>E31*E32*E33</f>
        <v>8000000</v>
      </c>
      <c r="F34" s="292" t="s">
        <v>1158</v>
      </c>
      <c r="I34" s="306"/>
      <c r="L34" s="736">
        <v>4</v>
      </c>
      <c r="M34" s="299">
        <v>363912396</v>
      </c>
      <c r="N34" s="641">
        <f t="shared" si="12"/>
        <v>30326033</v>
      </c>
      <c r="O34" s="641">
        <f t="shared" si="13"/>
        <v>60652066</v>
      </c>
      <c r="P34" s="739">
        <f>M35/M34</f>
        <v>1</v>
      </c>
    </row>
    <row r="35" spans="1:16" x14ac:dyDescent="0.25">
      <c r="A35" s="526"/>
      <c r="B35" s="526"/>
      <c r="C35" s="526"/>
      <c r="D35" s="526" t="s">
        <v>1171</v>
      </c>
      <c r="E35" s="642">
        <f>E34*Assumption!E8</f>
        <v>96000000</v>
      </c>
      <c r="F35" s="526" t="s">
        <v>390</v>
      </c>
      <c r="G35" s="526"/>
      <c r="H35" s="526"/>
      <c r="I35" s="301"/>
      <c r="L35" s="736">
        <v>5</v>
      </c>
      <c r="M35" s="299">
        <v>363912396</v>
      </c>
      <c r="N35" s="641">
        <f t="shared" si="12"/>
        <v>30326033</v>
      </c>
      <c r="O35" s="641">
        <f t="shared" si="13"/>
        <v>60652066</v>
      </c>
      <c r="P35" s="739"/>
    </row>
    <row r="36" spans="1:16" x14ac:dyDescent="0.25">
      <c r="L36" s="740"/>
      <c r="M36" s="743">
        <f>SUM(M31:M35)</f>
        <v>2127475500</v>
      </c>
      <c r="N36" s="743">
        <f t="shared" ref="N36:O36" si="15">SUM(N31:N35)</f>
        <v>177289625</v>
      </c>
      <c r="O36" s="743">
        <f t="shared" si="15"/>
        <v>354579250</v>
      </c>
      <c r="P36" s="741"/>
    </row>
    <row r="37" spans="1:16" x14ac:dyDescent="0.25">
      <c r="A37" s="295">
        <v>6</v>
      </c>
      <c r="B37" s="224" t="s">
        <v>1136</v>
      </c>
      <c r="C37" s="524"/>
      <c r="D37" s="298" t="s">
        <v>1120</v>
      </c>
      <c r="E37" s="306">
        <v>200000</v>
      </c>
      <c r="F37" s="457" t="s">
        <v>1175</v>
      </c>
    </row>
    <row r="38" spans="1:16" x14ac:dyDescent="0.25">
      <c r="D38" s="292" t="s">
        <v>1164</v>
      </c>
      <c r="E38" s="292">
        <f>Assumption!E7</f>
        <v>2</v>
      </c>
      <c r="F38" s="292" t="s">
        <v>1166</v>
      </c>
    </row>
    <row r="39" spans="1:16" x14ac:dyDescent="0.25">
      <c r="D39" s="292" t="s">
        <v>1176</v>
      </c>
      <c r="E39" s="292">
        <v>2</v>
      </c>
      <c r="F39" s="292" t="s">
        <v>1177</v>
      </c>
    </row>
    <row r="40" spans="1:16" x14ac:dyDescent="0.25">
      <c r="A40" s="526"/>
      <c r="B40" s="526"/>
      <c r="C40" s="526"/>
      <c r="D40" s="526" t="s">
        <v>1171</v>
      </c>
      <c r="E40" s="631">
        <f>E37*E38*E39</f>
        <v>800000</v>
      </c>
      <c r="F40" s="526" t="s">
        <v>390</v>
      </c>
      <c r="G40" s="526"/>
      <c r="H40" s="526"/>
    </row>
    <row r="42" spans="1:16" x14ac:dyDescent="0.25">
      <c r="A42" s="531">
        <v>7</v>
      </c>
      <c r="B42" s="224" t="s">
        <v>1145</v>
      </c>
      <c r="C42" s="524"/>
      <c r="D42" s="298" t="s">
        <v>1120</v>
      </c>
      <c r="E42" s="306">
        <v>3500000</v>
      </c>
      <c r="F42" s="457" t="s">
        <v>1178</v>
      </c>
    </row>
    <row r="43" spans="1:16" x14ac:dyDescent="0.25">
      <c r="D43" s="292" t="s">
        <v>1164</v>
      </c>
      <c r="E43" s="292">
        <f>Assumption!E7</f>
        <v>2</v>
      </c>
      <c r="F43" s="292" t="s">
        <v>1166</v>
      </c>
    </row>
    <row r="44" spans="1:16" x14ac:dyDescent="0.25">
      <c r="A44" s="526"/>
      <c r="B44" s="526"/>
      <c r="C44" s="526"/>
      <c r="D44" s="526" t="s">
        <v>1171</v>
      </c>
      <c r="E44" s="631">
        <f>E42*E43</f>
        <v>7000000</v>
      </c>
      <c r="F44" s="526" t="s">
        <v>605</v>
      </c>
      <c r="G44" s="526"/>
      <c r="H44" s="526"/>
    </row>
    <row r="46" spans="1:16" x14ac:dyDescent="0.25">
      <c r="A46" s="295">
        <v>8</v>
      </c>
      <c r="B46" s="224" t="s">
        <v>1144</v>
      </c>
      <c r="C46" s="524"/>
      <c r="D46" s="298" t="s">
        <v>1179</v>
      </c>
      <c r="E46" s="645">
        <v>2</v>
      </c>
      <c r="F46" s="406" t="s">
        <v>1183</v>
      </c>
      <c r="I46" s="301"/>
    </row>
    <row r="47" spans="1:16" x14ac:dyDescent="0.25">
      <c r="D47" s="292" t="s">
        <v>1181</v>
      </c>
      <c r="E47" s="583">
        <f>Assumption!E22</f>
        <v>1800000000</v>
      </c>
      <c r="F47" s="292" t="s">
        <v>1182</v>
      </c>
      <c r="G47" s="307" t="s">
        <v>1180</v>
      </c>
      <c r="I47" s="299"/>
    </row>
    <row r="48" spans="1:16" x14ac:dyDescent="0.25">
      <c r="D48" s="292" t="s">
        <v>1164</v>
      </c>
      <c r="E48" s="292">
        <f>Assumption!E7</f>
        <v>2</v>
      </c>
      <c r="F48" s="292" t="s">
        <v>1166</v>
      </c>
      <c r="I48" s="299"/>
    </row>
    <row r="49" spans="1:9" x14ac:dyDescent="0.25">
      <c r="D49" s="292" t="s">
        <v>1171</v>
      </c>
      <c r="E49" s="299">
        <f>E46*E47*E48/100</f>
        <v>72000000</v>
      </c>
      <c r="F49" s="292" t="s">
        <v>390</v>
      </c>
      <c r="I49" s="299"/>
    </row>
    <row r="50" spans="1:9" x14ac:dyDescent="0.25">
      <c r="A50" s="526"/>
      <c r="B50" s="526"/>
      <c r="C50" s="526"/>
      <c r="D50" s="526" t="s">
        <v>1269</v>
      </c>
      <c r="E50" s="636">
        <f>E49*5</f>
        <v>360000000</v>
      </c>
      <c r="F50" s="526" t="s">
        <v>390</v>
      </c>
      <c r="G50" s="526"/>
      <c r="H50" s="526"/>
    </row>
    <row r="52" spans="1:9" x14ac:dyDescent="0.25">
      <c r="A52" s="531">
        <v>9</v>
      </c>
      <c r="B52" s="292" t="s">
        <v>1084</v>
      </c>
      <c r="D52" s="292" t="s">
        <v>1165</v>
      </c>
      <c r="E52" s="294">
        <v>12</v>
      </c>
      <c r="F52" s="292" t="s">
        <v>1167</v>
      </c>
    </row>
    <row r="53" spans="1:9" x14ac:dyDescent="0.25">
      <c r="D53" s="292" t="s">
        <v>1120</v>
      </c>
      <c r="E53" s="634">
        <v>150000</v>
      </c>
      <c r="F53" s="292" t="s">
        <v>1085</v>
      </c>
    </row>
    <row r="54" spans="1:9" x14ac:dyDescent="0.25">
      <c r="D54" s="292" t="s">
        <v>1164</v>
      </c>
      <c r="E54" s="292">
        <f>Assumption!E7</f>
        <v>2</v>
      </c>
      <c r="F54" s="292" t="s">
        <v>1166</v>
      </c>
    </row>
    <row r="55" spans="1:9" x14ac:dyDescent="0.25">
      <c r="A55" s="526"/>
      <c r="B55" s="526"/>
      <c r="C55" s="526"/>
      <c r="D55" s="526" t="s">
        <v>1171</v>
      </c>
      <c r="E55" s="642">
        <f>E52*E53*E54</f>
        <v>3600000</v>
      </c>
      <c r="F55" s="526" t="s">
        <v>390</v>
      </c>
      <c r="G55" s="526"/>
      <c r="H55" s="526"/>
    </row>
    <row r="57" spans="1:9" x14ac:dyDescent="0.25">
      <c r="A57" s="531">
        <v>10</v>
      </c>
      <c r="B57" s="292" t="s">
        <v>1212</v>
      </c>
      <c r="D57" s="292" t="s">
        <v>1165</v>
      </c>
      <c r="E57" s="294">
        <v>4</v>
      </c>
      <c r="F57" s="292" t="s">
        <v>1184</v>
      </c>
    </row>
    <row r="58" spans="1:9" x14ac:dyDescent="0.25">
      <c r="D58" s="292" t="s">
        <v>1120</v>
      </c>
      <c r="E58" s="634">
        <v>150000</v>
      </c>
      <c r="F58" s="292" t="s">
        <v>1085</v>
      </c>
    </row>
    <row r="59" spans="1:9" x14ac:dyDescent="0.25">
      <c r="D59" s="292" t="s">
        <v>1164</v>
      </c>
      <c r="E59" s="292">
        <f>Assumption!E7</f>
        <v>2</v>
      </c>
      <c r="F59" s="292" t="s">
        <v>1166</v>
      </c>
    </row>
    <row r="60" spans="1:9" x14ac:dyDescent="0.25">
      <c r="A60" s="526"/>
      <c r="B60" s="526"/>
      <c r="C60" s="526"/>
      <c r="D60" s="526" t="s">
        <v>1171</v>
      </c>
      <c r="E60" s="642">
        <f>E57*E58*E59</f>
        <v>1200000</v>
      </c>
      <c r="F60" s="526" t="s">
        <v>390</v>
      </c>
      <c r="G60" s="526"/>
      <c r="H60" s="526"/>
    </row>
    <row r="62" spans="1:9" x14ac:dyDescent="0.25">
      <c r="A62" s="531">
        <v>11</v>
      </c>
      <c r="B62" s="292" t="s">
        <v>1213</v>
      </c>
      <c r="D62" s="292" t="s">
        <v>1165</v>
      </c>
      <c r="E62" s="294">
        <v>6</v>
      </c>
      <c r="F62" s="292" t="s">
        <v>1184</v>
      </c>
    </row>
    <row r="63" spans="1:9" x14ac:dyDescent="0.25">
      <c r="D63" s="292" t="s">
        <v>1120</v>
      </c>
      <c r="E63" s="634">
        <v>150000</v>
      </c>
      <c r="F63" s="292" t="s">
        <v>1085</v>
      </c>
    </row>
    <row r="64" spans="1:9" x14ac:dyDescent="0.25">
      <c r="D64" s="292" t="s">
        <v>1164</v>
      </c>
      <c r="E64" s="292">
        <f>Assumption!E7</f>
        <v>2</v>
      </c>
      <c r="F64" s="292" t="s">
        <v>1166</v>
      </c>
    </row>
    <row r="65" spans="1:8" x14ac:dyDescent="0.25">
      <c r="A65" s="526"/>
      <c r="B65" s="526"/>
      <c r="C65" s="526"/>
      <c r="D65" s="526" t="s">
        <v>1171</v>
      </c>
      <c r="E65" s="642">
        <f>E62*E63*E64</f>
        <v>1800000</v>
      </c>
      <c r="F65" s="526" t="s">
        <v>390</v>
      </c>
      <c r="G65" s="526"/>
      <c r="H65" s="526"/>
    </row>
    <row r="66" spans="1:8" x14ac:dyDescent="0.25">
      <c r="A66" s="528">
        <v>10</v>
      </c>
      <c r="B66" s="643" t="s">
        <v>780</v>
      </c>
      <c r="C66" s="526"/>
      <c r="D66" s="526"/>
      <c r="E66" s="526" t="s">
        <v>1016</v>
      </c>
      <c r="F66" s="526"/>
      <c r="G66" s="526"/>
      <c r="H66" s="526"/>
    </row>
    <row r="68" spans="1:8" x14ac:dyDescent="0.25">
      <c r="A68" s="307" t="s">
        <v>66</v>
      </c>
      <c r="B68" s="307"/>
    </row>
    <row r="69" spans="1:8" x14ac:dyDescent="0.25">
      <c r="A69" s="292" t="s">
        <v>175</v>
      </c>
    </row>
    <row r="70" spans="1:8" x14ac:dyDescent="0.25">
      <c r="A70" s="292" t="s">
        <v>1018</v>
      </c>
      <c r="B70" s="224"/>
      <c r="C70" s="524"/>
      <c r="D70" s="298"/>
    </row>
    <row r="71" spans="1:8" x14ac:dyDescent="0.25">
      <c r="B71" s="224" t="s">
        <v>1137</v>
      </c>
      <c r="D71" s="309">
        <v>0.02</v>
      </c>
      <c r="E71" s="310" t="s">
        <v>177</v>
      </c>
    </row>
    <row r="72" spans="1:8" x14ac:dyDescent="0.25">
      <c r="B72" s="224" t="s">
        <v>1138</v>
      </c>
      <c r="D72" s="309">
        <v>0.02</v>
      </c>
      <c r="E72" s="310" t="s">
        <v>177</v>
      </c>
    </row>
    <row r="73" spans="1:8" x14ac:dyDescent="0.25">
      <c r="B73" s="224" t="s">
        <v>1139</v>
      </c>
      <c r="D73" s="309">
        <v>0.02</v>
      </c>
      <c r="E73" s="310" t="s">
        <v>177</v>
      </c>
    </row>
    <row r="74" spans="1:8" x14ac:dyDescent="0.25">
      <c r="B74" s="224" t="s">
        <v>1140</v>
      </c>
      <c r="D74" s="309">
        <v>0.02</v>
      </c>
      <c r="E74" s="310" t="s">
        <v>177</v>
      </c>
    </row>
    <row r="75" spans="1:8" x14ac:dyDescent="0.25">
      <c r="B75" s="224" t="s">
        <v>1141</v>
      </c>
      <c r="D75" s="309">
        <v>0.02</v>
      </c>
      <c r="E75" s="310" t="s">
        <v>177</v>
      </c>
    </row>
    <row r="76" spans="1:8" x14ac:dyDescent="0.25">
      <c r="B76" s="224" t="s">
        <v>1142</v>
      </c>
      <c r="D76" s="309">
        <v>0.02</v>
      </c>
      <c r="E76" s="310" t="s">
        <v>177</v>
      </c>
    </row>
    <row r="77" spans="1:8" x14ac:dyDescent="0.25">
      <c r="B77" s="224" t="s">
        <v>1143</v>
      </c>
      <c r="D77" s="309">
        <v>0.02</v>
      </c>
      <c r="E77" s="310" t="s">
        <v>177</v>
      </c>
    </row>
    <row r="78" spans="1:8" x14ac:dyDescent="0.25">
      <c r="B78" s="224" t="s">
        <v>1185</v>
      </c>
      <c r="D78" s="309">
        <v>0.02</v>
      </c>
      <c r="E78" s="310" t="s">
        <v>177</v>
      </c>
    </row>
    <row r="79" spans="1:8" x14ac:dyDescent="0.25">
      <c r="A79" s="304"/>
      <c r="B79" s="304"/>
      <c r="C79" s="284"/>
      <c r="D79" s="304"/>
      <c r="E79" s="304"/>
      <c r="F79" s="305"/>
      <c r="G79" s="305"/>
      <c r="H79" s="284"/>
    </row>
  </sheetData>
  <pageMargins left="0.7" right="0.7" top="0.75" bottom="0.75" header="0.3" footer="0.3"/>
  <pageSetup orientation="portrait" horizontalDpi="360" verticalDpi="360" r:id="rId1"/>
  <ignoredErrors>
    <ignoredError sqref="M8 M9:M16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X59"/>
  <sheetViews>
    <sheetView showGridLines="0" zoomScaleNormal="100" workbookViewId="0">
      <pane ySplit="7" topLeftCell="A8" activePane="bottomLeft" state="frozen"/>
      <selection pane="bottomLeft" activeCell="G9" sqref="G9"/>
    </sheetView>
  </sheetViews>
  <sheetFormatPr defaultColWidth="9.125" defaultRowHeight="11.25" x14ac:dyDescent="0.25"/>
  <cols>
    <col min="1" max="1" width="2.75" style="271" customWidth="1"/>
    <col min="2" max="2" width="18.375" style="271" customWidth="1"/>
    <col min="3" max="3" width="6.875" style="271" bestFit="1" customWidth="1"/>
    <col min="4" max="4" width="18.625" style="271" customWidth="1"/>
    <col min="5" max="5" width="5.625" style="271" customWidth="1"/>
    <col min="6" max="6" width="6.625" style="271" bestFit="1" customWidth="1"/>
    <col min="7" max="7" width="10" style="271" bestFit="1" customWidth="1"/>
    <col min="8" max="8" width="16.25" style="271" customWidth="1"/>
    <col min="9" max="9" width="14.25" style="271" customWidth="1"/>
    <col min="10" max="10" width="5.625" style="271" customWidth="1"/>
    <col min="11" max="11" width="5.25" style="271" customWidth="1"/>
    <col min="12" max="12" width="7.125" style="271" bestFit="1" customWidth="1"/>
    <col min="13" max="13" width="7.625" style="271" customWidth="1"/>
    <col min="14" max="14" width="11" style="271" bestFit="1" customWidth="1"/>
    <col min="15" max="15" width="11.25" style="271" bestFit="1" customWidth="1"/>
    <col min="16" max="16" width="10.25" style="271" bestFit="1" customWidth="1"/>
    <col min="17" max="17" width="9.125" style="271"/>
    <col min="18" max="20" width="10.25" style="271" bestFit="1" customWidth="1"/>
    <col min="21" max="21" width="11.25" style="271" bestFit="1" customWidth="1"/>
    <col min="22" max="24" width="10.25" style="275" bestFit="1" customWidth="1"/>
    <col min="25" max="16384" width="9.125" style="271"/>
  </cols>
  <sheetData>
    <row r="1" spans="1:24" x14ac:dyDescent="0.2">
      <c r="A1" s="274" t="str">
        <f>Assumption!A1</f>
        <v>Bisnis Truk Thermoking</v>
      </c>
      <c r="C1" s="274"/>
    </row>
    <row r="2" spans="1:24" x14ac:dyDescent="0.2">
      <c r="A2" s="274" t="str">
        <f>Assumption!A2</f>
        <v>Financial Pre-Feasibility Study</v>
      </c>
      <c r="C2" s="274"/>
    </row>
    <row r="3" spans="1:24" x14ac:dyDescent="0.25">
      <c r="A3" s="276" t="s">
        <v>691</v>
      </c>
      <c r="C3" s="276"/>
    </row>
    <row r="5" spans="1:24" x14ac:dyDescent="0.25">
      <c r="O5" s="275"/>
      <c r="P5" s="275"/>
      <c r="Q5" s="275"/>
      <c r="V5" s="271"/>
      <c r="W5" s="271"/>
      <c r="X5" s="271"/>
    </row>
    <row r="6" spans="1:24" ht="22.5" x14ac:dyDescent="0.25">
      <c r="A6" s="263" t="s">
        <v>562</v>
      </c>
      <c r="B6" s="263"/>
      <c r="C6" s="263"/>
      <c r="D6" s="264"/>
      <c r="F6" s="762" t="s">
        <v>536</v>
      </c>
      <c r="G6" s="232" t="s">
        <v>1078</v>
      </c>
      <c r="H6" s="232" t="s">
        <v>764</v>
      </c>
      <c r="L6" s="275"/>
      <c r="M6" s="275"/>
      <c r="N6" s="275"/>
      <c r="V6" s="271"/>
      <c r="W6" s="271"/>
      <c r="X6" s="271"/>
    </row>
    <row r="7" spans="1:24" x14ac:dyDescent="0.25">
      <c r="A7" s="278"/>
      <c r="B7" s="278"/>
      <c r="C7" s="278"/>
      <c r="D7" s="279"/>
      <c r="F7" s="762"/>
      <c r="G7" s="280"/>
      <c r="H7" s="232"/>
      <c r="L7" s="275"/>
      <c r="M7" s="275"/>
      <c r="N7" s="275"/>
      <c r="V7" s="271"/>
      <c r="W7" s="271"/>
      <c r="X7" s="271"/>
    </row>
    <row r="8" spans="1:24" x14ac:dyDescent="0.25">
      <c r="A8" s="271" t="s">
        <v>150</v>
      </c>
      <c r="B8" s="271" t="s">
        <v>1078</v>
      </c>
      <c r="C8" s="476">
        <f>Assumption!E16</f>
        <v>1920000</v>
      </c>
      <c r="D8" s="271" t="s">
        <v>686</v>
      </c>
      <c r="F8" s="282">
        <v>1</v>
      </c>
      <c r="G8" s="165">
        <f>C8</f>
        <v>1920000</v>
      </c>
      <c r="H8" s="164">
        <f>G8*C9</f>
        <v>3456000000</v>
      </c>
      <c r="L8" s="275"/>
      <c r="M8" s="275"/>
      <c r="N8" s="275"/>
      <c r="V8" s="271"/>
      <c r="W8" s="271"/>
      <c r="X8" s="271"/>
    </row>
    <row r="9" spans="1:24" x14ac:dyDescent="0.2">
      <c r="A9" s="268" t="s">
        <v>151</v>
      </c>
      <c r="B9" s="268" t="s">
        <v>1146</v>
      </c>
      <c r="C9" s="477">
        <f>Assumption!E18</f>
        <v>1800</v>
      </c>
      <c r="D9" s="156" t="s">
        <v>372</v>
      </c>
      <c r="F9" s="282">
        <f>F8+1</f>
        <v>2</v>
      </c>
      <c r="G9" s="165">
        <f t="shared" ref="G9:G17" si="0">G8</f>
        <v>1920000</v>
      </c>
      <c r="H9" s="164">
        <f>H8*(1+$C$18)</f>
        <v>3525120000</v>
      </c>
      <c r="L9" s="275"/>
      <c r="M9" s="275"/>
      <c r="N9" s="275"/>
      <c r="V9" s="271"/>
      <c r="W9" s="271"/>
      <c r="X9" s="271"/>
    </row>
    <row r="10" spans="1:24" x14ac:dyDescent="0.2">
      <c r="B10" s="268"/>
      <c r="C10" s="268"/>
      <c r="D10" s="156"/>
      <c r="E10" s="283"/>
      <c r="F10" s="282">
        <f t="shared" ref="F10:F17" si="1">F9+1</f>
        <v>3</v>
      </c>
      <c r="G10" s="165">
        <f t="shared" si="0"/>
        <v>1920000</v>
      </c>
      <c r="H10" s="164">
        <f t="shared" ref="H10:H17" si="2">H9*(1+$C$18)</f>
        <v>3595622400</v>
      </c>
      <c r="L10" s="275"/>
      <c r="M10" s="275"/>
      <c r="N10" s="275"/>
      <c r="V10" s="271"/>
      <c r="W10" s="271"/>
      <c r="X10" s="271"/>
    </row>
    <row r="11" spans="1:24" x14ac:dyDescent="0.2">
      <c r="B11" s="268"/>
      <c r="C11" s="268"/>
      <c r="D11" s="156"/>
      <c r="E11" s="283"/>
      <c r="F11" s="282">
        <f t="shared" si="1"/>
        <v>4</v>
      </c>
      <c r="G11" s="165">
        <f t="shared" si="0"/>
        <v>1920000</v>
      </c>
      <c r="H11" s="164">
        <f t="shared" si="2"/>
        <v>3667534848</v>
      </c>
      <c r="L11" s="275"/>
      <c r="M11" s="275"/>
      <c r="N11" s="275"/>
      <c r="V11" s="271"/>
      <c r="W11" s="271"/>
      <c r="X11" s="271"/>
    </row>
    <row r="12" spans="1:24" x14ac:dyDescent="0.2">
      <c r="B12" s="268"/>
      <c r="C12" s="268"/>
      <c r="D12" s="156"/>
      <c r="E12" s="283"/>
      <c r="F12" s="282">
        <f t="shared" si="1"/>
        <v>5</v>
      </c>
      <c r="G12" s="165">
        <f t="shared" si="0"/>
        <v>1920000</v>
      </c>
      <c r="H12" s="164">
        <f t="shared" si="2"/>
        <v>3740885544.96</v>
      </c>
      <c r="L12" s="275"/>
      <c r="M12" s="275"/>
      <c r="N12" s="275"/>
      <c r="V12" s="271"/>
      <c r="W12" s="271"/>
      <c r="X12" s="271"/>
    </row>
    <row r="13" spans="1:24" x14ac:dyDescent="0.2">
      <c r="B13" s="268"/>
      <c r="C13" s="268"/>
      <c r="D13" s="156"/>
      <c r="E13" s="283"/>
      <c r="F13" s="282">
        <f t="shared" si="1"/>
        <v>6</v>
      </c>
      <c r="G13" s="165">
        <f t="shared" si="0"/>
        <v>1920000</v>
      </c>
      <c r="H13" s="164">
        <f t="shared" si="2"/>
        <v>3815703255.8592</v>
      </c>
      <c r="L13" s="275"/>
      <c r="M13" s="275"/>
      <c r="N13" s="275"/>
      <c r="V13" s="271"/>
      <c r="W13" s="271"/>
      <c r="X13" s="271"/>
    </row>
    <row r="14" spans="1:24" x14ac:dyDescent="0.2">
      <c r="B14" s="268"/>
      <c r="C14" s="268"/>
      <c r="D14" s="156"/>
      <c r="E14" s="283"/>
      <c r="F14" s="282">
        <f t="shared" si="1"/>
        <v>7</v>
      </c>
      <c r="G14" s="165">
        <f t="shared" si="0"/>
        <v>1920000</v>
      </c>
      <c r="H14" s="164">
        <f t="shared" si="2"/>
        <v>3892017320.9763842</v>
      </c>
      <c r="L14" s="275"/>
      <c r="M14" s="275"/>
      <c r="N14" s="275"/>
      <c r="V14" s="271"/>
      <c r="W14" s="271"/>
      <c r="X14" s="271"/>
    </row>
    <row r="15" spans="1:24" x14ac:dyDescent="0.25">
      <c r="A15" s="284"/>
      <c r="B15" s="284"/>
      <c r="C15" s="284"/>
      <c r="D15" s="284"/>
      <c r="E15" s="283"/>
      <c r="F15" s="282">
        <f t="shared" si="1"/>
        <v>8</v>
      </c>
      <c r="G15" s="165">
        <f t="shared" si="0"/>
        <v>1920000</v>
      </c>
      <c r="H15" s="164">
        <f t="shared" si="2"/>
        <v>3969857667.3959117</v>
      </c>
      <c r="L15" s="275"/>
      <c r="M15" s="275"/>
      <c r="N15" s="275"/>
      <c r="V15" s="271"/>
      <c r="W15" s="271"/>
      <c r="X15" s="271"/>
    </row>
    <row r="16" spans="1:24" x14ac:dyDescent="0.25">
      <c r="E16" s="283"/>
      <c r="F16" s="282">
        <f t="shared" si="1"/>
        <v>9</v>
      </c>
      <c r="G16" s="165">
        <f t="shared" si="0"/>
        <v>1920000</v>
      </c>
      <c r="H16" s="164">
        <f t="shared" si="2"/>
        <v>4049254820.7438302</v>
      </c>
      <c r="L16" s="275"/>
      <c r="M16" s="275"/>
      <c r="N16" s="275"/>
      <c r="V16" s="271"/>
      <c r="W16" s="271"/>
      <c r="X16" s="271"/>
    </row>
    <row r="17" spans="1:24" x14ac:dyDescent="0.25">
      <c r="A17" s="292" t="s">
        <v>175</v>
      </c>
      <c r="B17" s="292"/>
      <c r="C17" s="308"/>
      <c r="D17" s="308"/>
      <c r="E17" s="283"/>
      <c r="F17" s="282">
        <f t="shared" si="1"/>
        <v>10</v>
      </c>
      <c r="G17" s="165">
        <f t="shared" si="0"/>
        <v>1920000</v>
      </c>
      <c r="H17" s="164">
        <f t="shared" si="2"/>
        <v>4130239917.1587067</v>
      </c>
      <c r="L17" s="275"/>
      <c r="M17" s="275"/>
      <c r="N17" s="275"/>
      <c r="V17" s="271"/>
      <c r="W17" s="271"/>
      <c r="X17" s="271"/>
    </row>
    <row r="18" spans="1:24" x14ac:dyDescent="0.25">
      <c r="A18" s="406" t="s">
        <v>1147</v>
      </c>
      <c r="B18" s="292"/>
      <c r="C18" s="585">
        <v>0.02</v>
      </c>
      <c r="D18" s="310" t="s">
        <v>177</v>
      </c>
      <c r="E18" s="283"/>
      <c r="F18" s="285" t="s">
        <v>74</v>
      </c>
      <c r="G18" s="286">
        <f>SUM(G8:G17)</f>
        <v>19200000</v>
      </c>
      <c r="H18" s="286">
        <f>SUM(H8:H17)</f>
        <v>37842235775.094032</v>
      </c>
      <c r="L18" s="275"/>
      <c r="M18" s="275"/>
      <c r="N18" s="275"/>
      <c r="V18" s="271"/>
      <c r="W18" s="271"/>
      <c r="X18" s="271"/>
    </row>
    <row r="19" spans="1:24" x14ac:dyDescent="0.25">
      <c r="A19" s="406"/>
      <c r="B19" s="224"/>
      <c r="C19" s="474"/>
      <c r="D19" s="310"/>
      <c r="E19" s="283"/>
      <c r="F19" s="285" t="s">
        <v>512</v>
      </c>
      <c r="G19" s="287">
        <f>AVERAGE(G8:G17)</f>
        <v>1920000</v>
      </c>
      <c r="H19" s="287">
        <f>AVERAGE(H8:H17)</f>
        <v>3784223577.5094032</v>
      </c>
      <c r="L19" s="275"/>
      <c r="M19" s="275"/>
      <c r="N19" s="275"/>
      <c r="V19" s="271"/>
      <c r="W19" s="271"/>
      <c r="X19" s="271"/>
    </row>
    <row r="20" spans="1:24" x14ac:dyDescent="0.25">
      <c r="A20" s="475"/>
      <c r="B20" s="224"/>
      <c r="C20" s="474"/>
      <c r="D20" s="310"/>
      <c r="E20" s="308"/>
      <c r="L20" s="275"/>
      <c r="M20" s="275"/>
      <c r="N20" s="275"/>
      <c r="V20" s="271"/>
      <c r="W20" s="271"/>
      <c r="X20" s="271"/>
    </row>
    <row r="21" spans="1:24" x14ac:dyDescent="0.25">
      <c r="E21" s="292"/>
      <c r="L21" s="275"/>
      <c r="M21" s="275"/>
      <c r="N21" s="275"/>
      <c r="V21" s="271"/>
      <c r="W21" s="271"/>
      <c r="X21" s="271"/>
    </row>
    <row r="22" spans="1:24" x14ac:dyDescent="0.25">
      <c r="E22" s="292"/>
      <c r="L22" s="275"/>
      <c r="M22" s="275"/>
      <c r="N22" s="275"/>
      <c r="V22" s="271"/>
      <c r="W22" s="271"/>
      <c r="X22" s="271"/>
    </row>
    <row r="23" spans="1:24" x14ac:dyDescent="0.25">
      <c r="E23" s="292"/>
      <c r="L23" s="275"/>
      <c r="M23" s="275"/>
      <c r="N23" s="275"/>
      <c r="V23" s="271"/>
      <c r="W23" s="271"/>
      <c r="X23" s="271"/>
    </row>
    <row r="24" spans="1:24" x14ac:dyDescent="0.25">
      <c r="E24" s="283"/>
      <c r="L24" s="275"/>
      <c r="M24" s="275"/>
      <c r="N24" s="275"/>
      <c r="V24" s="271"/>
      <c r="W24" s="271"/>
      <c r="X24" s="271"/>
    </row>
    <row r="25" spans="1:24" x14ac:dyDescent="0.25">
      <c r="L25" s="275"/>
      <c r="M25" s="275"/>
      <c r="N25" s="275"/>
      <c r="V25" s="271"/>
      <c r="W25" s="271"/>
      <c r="X25" s="271"/>
    </row>
    <row r="26" spans="1:24" x14ac:dyDescent="0.25">
      <c r="L26" s="275"/>
      <c r="M26" s="275"/>
      <c r="N26" s="275"/>
      <c r="V26" s="271"/>
      <c r="W26" s="271"/>
      <c r="X26" s="271"/>
    </row>
    <row r="27" spans="1:24" x14ac:dyDescent="0.25">
      <c r="L27" s="275"/>
      <c r="M27" s="275"/>
      <c r="N27" s="275"/>
      <c r="V27" s="271"/>
      <c r="W27" s="271"/>
      <c r="X27" s="271"/>
    </row>
    <row r="28" spans="1:24" x14ac:dyDescent="0.25">
      <c r="S28" s="275"/>
      <c r="T28" s="275"/>
      <c r="U28" s="275"/>
      <c r="V28" s="271"/>
      <c r="W28" s="271"/>
      <c r="X28" s="271"/>
    </row>
    <row r="29" spans="1:24" x14ac:dyDescent="0.25">
      <c r="T29" s="275"/>
      <c r="U29" s="275"/>
      <c r="W29" s="271"/>
      <c r="X29" s="271"/>
    </row>
    <row r="35" spans="17:24" x14ac:dyDescent="0.25">
      <c r="Q35" s="275"/>
      <c r="R35" s="275"/>
      <c r="S35" s="275"/>
      <c r="V35" s="271"/>
      <c r="W35" s="271"/>
      <c r="X35" s="271"/>
    </row>
    <row r="36" spans="17:24" x14ac:dyDescent="0.25">
      <c r="Q36" s="275"/>
      <c r="R36" s="275"/>
      <c r="S36" s="275"/>
      <c r="V36" s="271"/>
      <c r="W36" s="271"/>
      <c r="X36" s="271"/>
    </row>
    <row r="37" spans="17:24" x14ac:dyDescent="0.25">
      <c r="Q37" s="275"/>
      <c r="R37" s="275"/>
      <c r="S37" s="275"/>
      <c r="V37" s="271"/>
      <c r="W37" s="271"/>
      <c r="X37" s="271"/>
    </row>
    <row r="38" spans="17:24" x14ac:dyDescent="0.25">
      <c r="Q38" s="275"/>
      <c r="R38" s="275"/>
      <c r="S38" s="275"/>
      <c r="V38" s="271"/>
      <c r="W38" s="271"/>
      <c r="X38" s="271"/>
    </row>
    <row r="39" spans="17:24" x14ac:dyDescent="0.25">
      <c r="Q39" s="275"/>
      <c r="R39" s="275"/>
      <c r="S39" s="275"/>
      <c r="V39" s="271"/>
      <c r="W39" s="271"/>
      <c r="X39" s="271"/>
    </row>
    <row r="40" spans="17:24" x14ac:dyDescent="0.25">
      <c r="Q40" s="275"/>
      <c r="R40" s="275"/>
      <c r="S40" s="275"/>
      <c r="V40" s="271"/>
      <c r="W40" s="271"/>
      <c r="X40" s="271"/>
    </row>
    <row r="41" spans="17:24" x14ac:dyDescent="0.25">
      <c r="Q41" s="275"/>
      <c r="R41" s="275"/>
      <c r="S41" s="275"/>
      <c r="V41" s="271"/>
      <c r="W41" s="271"/>
      <c r="X41" s="271"/>
    </row>
    <row r="42" spans="17:24" x14ac:dyDescent="0.25">
      <c r="Q42" s="275"/>
      <c r="R42" s="275"/>
      <c r="S42" s="275"/>
      <c r="V42" s="271"/>
      <c r="W42" s="271"/>
      <c r="X42" s="271"/>
    </row>
    <row r="43" spans="17:24" x14ac:dyDescent="0.25">
      <c r="Q43" s="275"/>
      <c r="R43" s="275"/>
      <c r="S43" s="275"/>
      <c r="V43" s="271"/>
      <c r="W43" s="271"/>
      <c r="X43" s="271"/>
    </row>
    <row r="44" spans="17:24" x14ac:dyDescent="0.25">
      <c r="Q44" s="275"/>
      <c r="R44" s="275"/>
      <c r="S44" s="275"/>
      <c r="V44" s="271"/>
      <c r="W44" s="271"/>
      <c r="X44" s="271"/>
    </row>
    <row r="45" spans="17:24" x14ac:dyDescent="0.25">
      <c r="Q45" s="275"/>
      <c r="R45" s="275"/>
      <c r="S45" s="275"/>
      <c r="V45" s="271"/>
      <c r="W45" s="271"/>
      <c r="X45" s="271"/>
    </row>
    <row r="46" spans="17:24" x14ac:dyDescent="0.25">
      <c r="Q46" s="275"/>
      <c r="R46" s="275"/>
      <c r="S46" s="275"/>
      <c r="V46" s="271"/>
      <c r="W46" s="271"/>
      <c r="X46" s="271"/>
    </row>
    <row r="47" spans="17:24" x14ac:dyDescent="0.25">
      <c r="Q47" s="275"/>
      <c r="R47" s="275"/>
      <c r="S47" s="275"/>
      <c r="V47" s="271"/>
      <c r="W47" s="271"/>
      <c r="X47" s="271"/>
    </row>
    <row r="48" spans="17:24" x14ac:dyDescent="0.25">
      <c r="Q48" s="275"/>
      <c r="R48" s="275"/>
      <c r="S48" s="275"/>
      <c r="V48" s="271"/>
      <c r="W48" s="271"/>
      <c r="X48" s="271"/>
    </row>
    <row r="49" spans="17:24" x14ac:dyDescent="0.25">
      <c r="Q49" s="275"/>
      <c r="R49" s="275"/>
      <c r="S49" s="275"/>
      <c r="V49" s="271"/>
      <c r="W49" s="271"/>
      <c r="X49" s="271"/>
    </row>
    <row r="50" spans="17:24" x14ac:dyDescent="0.25">
      <c r="Q50" s="275"/>
      <c r="R50" s="275"/>
      <c r="S50" s="275"/>
      <c r="V50" s="271"/>
      <c r="W50" s="271"/>
      <c r="X50" s="271"/>
    </row>
    <row r="51" spans="17:24" x14ac:dyDescent="0.25">
      <c r="Q51" s="275"/>
      <c r="R51" s="275"/>
      <c r="S51" s="275"/>
      <c r="V51" s="271"/>
      <c r="W51" s="271"/>
      <c r="X51" s="271"/>
    </row>
    <row r="52" spans="17:24" x14ac:dyDescent="0.25">
      <c r="Q52" s="275"/>
      <c r="R52" s="275"/>
      <c r="S52" s="275"/>
      <c r="V52" s="271"/>
      <c r="W52" s="271"/>
      <c r="X52" s="271"/>
    </row>
    <row r="53" spans="17:24" x14ac:dyDescent="0.25">
      <c r="Q53" s="275"/>
      <c r="R53" s="275"/>
      <c r="S53" s="275"/>
      <c r="V53" s="271"/>
      <c r="W53" s="271"/>
      <c r="X53" s="271"/>
    </row>
    <row r="54" spans="17:24" x14ac:dyDescent="0.25">
      <c r="Q54" s="275"/>
      <c r="R54" s="275"/>
      <c r="S54" s="275"/>
      <c r="V54" s="271"/>
      <c r="W54" s="271"/>
      <c r="X54" s="271"/>
    </row>
    <row r="55" spans="17:24" x14ac:dyDescent="0.25">
      <c r="Q55" s="275"/>
      <c r="R55" s="275"/>
      <c r="S55" s="275"/>
      <c r="V55" s="271"/>
      <c r="W55" s="271"/>
      <c r="X55" s="271"/>
    </row>
    <row r="56" spans="17:24" x14ac:dyDescent="0.25">
      <c r="Q56" s="275"/>
      <c r="R56" s="275"/>
      <c r="S56" s="275"/>
      <c r="V56" s="271"/>
      <c r="W56" s="271"/>
      <c r="X56" s="271"/>
    </row>
    <row r="57" spans="17:24" x14ac:dyDescent="0.25">
      <c r="Q57" s="275"/>
      <c r="R57" s="275"/>
      <c r="S57" s="275"/>
      <c r="V57" s="271"/>
      <c r="W57" s="271"/>
      <c r="X57" s="271"/>
    </row>
    <row r="58" spans="17:24" x14ac:dyDescent="0.25">
      <c r="Q58" s="275"/>
      <c r="R58" s="275"/>
      <c r="S58" s="275"/>
      <c r="V58" s="271"/>
      <c r="W58" s="271"/>
      <c r="X58" s="271"/>
    </row>
    <row r="59" spans="17:24" x14ac:dyDescent="0.25">
      <c r="Q59" s="275"/>
      <c r="R59" s="275"/>
      <c r="S59" s="275"/>
      <c r="V59" s="271"/>
      <c r="W59" s="271"/>
      <c r="X59" s="271"/>
    </row>
  </sheetData>
  <mergeCells count="1">
    <mergeCell ref="F6:F7"/>
  </mergeCells>
  <phoneticPr fontId="2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56A0-C3A5-425C-BD09-1726B3B261C7}">
  <sheetPr>
    <tabColor theme="9" tint="0.39997558519241921"/>
  </sheetPr>
  <dimension ref="A1:T41"/>
  <sheetViews>
    <sheetView showGridLines="0" zoomScaleNormal="100" workbookViewId="0">
      <pane ySplit="8" topLeftCell="A9" activePane="bottomLeft" state="frozen"/>
      <selection pane="bottomLeft" activeCell="S26" sqref="S26"/>
    </sheetView>
  </sheetViews>
  <sheetFormatPr defaultColWidth="9" defaultRowHeight="11.25" x14ac:dyDescent="0.2"/>
  <cols>
    <col min="1" max="1" width="3.25" style="202" customWidth="1"/>
    <col min="2" max="2" width="15.375" style="202" customWidth="1"/>
    <col min="3" max="3" width="5.375" style="202" customWidth="1"/>
    <col min="4" max="4" width="15" style="202" customWidth="1"/>
    <col min="5" max="5" width="3.625" style="202" customWidth="1"/>
    <col min="6" max="6" width="7.75" style="202" customWidth="1"/>
    <col min="7" max="7" width="12.125" style="202" customWidth="1"/>
    <col min="8" max="9" width="8.375" style="202" bestFit="1" customWidth="1"/>
    <col min="10" max="10" width="11.875" style="202" customWidth="1"/>
    <col min="11" max="11" width="7.625" style="202" customWidth="1"/>
    <col min="12" max="12" width="9.125" style="202" customWidth="1"/>
    <col min="13" max="13" width="11.375" style="202" customWidth="1"/>
    <col min="14" max="14" width="11.375" style="202" bestFit="1" customWidth="1"/>
    <col min="15" max="15" width="13.875" style="202" customWidth="1"/>
    <col min="16" max="16" width="3.625" style="202" customWidth="1"/>
    <col min="17" max="17" width="4.375" style="202" customWidth="1"/>
    <col min="18" max="20" width="10.25" style="202" customWidth="1"/>
    <col min="21" max="16384" width="9" style="202"/>
  </cols>
  <sheetData>
    <row r="1" spans="1:20" x14ac:dyDescent="0.2">
      <c r="A1" s="179" t="str">
        <f>ProjectValuation!A1</f>
        <v>Bisnis Truk Thermoking</v>
      </c>
      <c r="B1" s="260"/>
      <c r="C1" s="260"/>
    </row>
    <row r="2" spans="1:20" x14ac:dyDescent="0.2">
      <c r="A2" s="179" t="str">
        <f>ProjectValuation!A2</f>
        <v>Financial Pre-Feasibility Study</v>
      </c>
      <c r="B2" s="260"/>
      <c r="C2" s="260"/>
    </row>
    <row r="3" spans="1:20" x14ac:dyDescent="0.2">
      <c r="A3" s="261" t="s">
        <v>1032</v>
      </c>
      <c r="B3" s="262"/>
      <c r="C3" s="262"/>
    </row>
    <row r="5" spans="1:20" x14ac:dyDescent="0.2">
      <c r="O5" s="266" t="s">
        <v>652</v>
      </c>
    </row>
    <row r="6" spans="1:20" x14ac:dyDescent="0.2">
      <c r="A6" s="263" t="s">
        <v>591</v>
      </c>
      <c r="B6" s="263"/>
      <c r="C6" s="263"/>
      <c r="D6" s="264"/>
      <c r="F6" s="263" t="s">
        <v>1033</v>
      </c>
      <c r="G6" s="263"/>
      <c r="H6" s="263"/>
      <c r="I6" s="263"/>
      <c r="J6" s="263"/>
      <c r="K6" s="263"/>
      <c r="L6" s="263"/>
      <c r="M6" s="263"/>
      <c r="N6" s="263"/>
      <c r="O6" s="263"/>
      <c r="Q6" s="263" t="s">
        <v>1034</v>
      </c>
      <c r="R6" s="263"/>
      <c r="S6" s="263"/>
      <c r="T6" s="263"/>
    </row>
    <row r="7" spans="1:20" ht="56.25" x14ac:dyDescent="0.2">
      <c r="A7" s="209"/>
      <c r="B7" s="209"/>
      <c r="C7" s="209"/>
      <c r="D7" s="209"/>
      <c r="F7" s="789" t="s">
        <v>536</v>
      </c>
      <c r="G7" s="548" t="s">
        <v>1056</v>
      </c>
      <c r="H7" s="548" t="s">
        <v>1057</v>
      </c>
      <c r="I7" s="549" t="s">
        <v>1035</v>
      </c>
      <c r="J7" s="548" t="s">
        <v>1036</v>
      </c>
      <c r="K7" s="548" t="s">
        <v>1037</v>
      </c>
      <c r="L7" s="548" t="s">
        <v>1038</v>
      </c>
      <c r="M7" s="548" t="s">
        <v>1039</v>
      </c>
      <c r="N7" s="548" t="s">
        <v>1040</v>
      </c>
      <c r="O7" s="550" t="s">
        <v>1041</v>
      </c>
      <c r="Q7" s="563" t="s">
        <v>536</v>
      </c>
      <c r="R7" s="564" t="s">
        <v>1038</v>
      </c>
      <c r="S7" s="564" t="s">
        <v>1071</v>
      </c>
      <c r="T7" s="564" t="s">
        <v>1072</v>
      </c>
    </row>
    <row r="8" spans="1:20" x14ac:dyDescent="0.2">
      <c r="A8" s="209"/>
      <c r="B8" s="209"/>
      <c r="C8" s="209"/>
      <c r="D8" s="209"/>
      <c r="F8" s="789"/>
      <c r="G8" s="548"/>
      <c r="H8" s="548" t="s">
        <v>1042</v>
      </c>
      <c r="I8" s="549" t="s">
        <v>1043</v>
      </c>
      <c r="J8" s="548" t="s">
        <v>1044</v>
      </c>
      <c r="K8" s="548" t="s">
        <v>1045</v>
      </c>
      <c r="L8" s="548" t="s">
        <v>1058</v>
      </c>
      <c r="M8" s="548" t="s">
        <v>1046</v>
      </c>
      <c r="N8" s="548" t="s">
        <v>1250</v>
      </c>
      <c r="O8" s="548" t="s">
        <v>1047</v>
      </c>
      <c r="Q8" s="466"/>
      <c r="R8" s="466"/>
      <c r="S8" s="466"/>
      <c r="T8" s="466"/>
    </row>
    <row r="9" spans="1:20" x14ac:dyDescent="0.2">
      <c r="A9" s="171" t="s">
        <v>150</v>
      </c>
      <c r="B9" s="174" t="s">
        <v>1048</v>
      </c>
      <c r="C9" s="174"/>
      <c r="D9" s="174"/>
      <c r="F9" s="235">
        <v>1</v>
      </c>
      <c r="G9" s="156">
        <f>(WorkingCapital!AO10+Depreciation!F8)</f>
        <v>1033476625</v>
      </c>
      <c r="H9" s="551">
        <f>WorkingCapital!AO10</f>
        <v>653476625</v>
      </c>
      <c r="I9" s="156">
        <f>IncomeStatement!C26</f>
        <v>128124756</v>
      </c>
      <c r="J9" s="156">
        <f>CashFlow!C35</f>
        <v>676124756</v>
      </c>
      <c r="K9" s="552">
        <v>0.5</v>
      </c>
      <c r="L9" s="174">
        <f>I9*K9</f>
        <v>64062378</v>
      </c>
      <c r="M9" s="174">
        <f>L9</f>
        <v>64062378</v>
      </c>
      <c r="N9" s="174">
        <f>J9-L9</f>
        <v>612062378</v>
      </c>
      <c r="O9" s="174">
        <f>N9-H10</f>
        <v>267466559</v>
      </c>
      <c r="Q9" s="235">
        <v>1</v>
      </c>
      <c r="R9" s="174">
        <f>L9</f>
        <v>64062378</v>
      </c>
      <c r="S9" s="567">
        <f>R9*$C$14%</f>
        <v>51249902.400000006</v>
      </c>
      <c r="T9" s="568">
        <f>R9-S9</f>
        <v>12812475.599999994</v>
      </c>
    </row>
    <row r="10" spans="1:20" x14ac:dyDescent="0.2">
      <c r="A10" s="171" t="s">
        <v>151</v>
      </c>
      <c r="B10" s="174" t="s">
        <v>1049</v>
      </c>
      <c r="C10" s="174"/>
      <c r="D10" s="174"/>
      <c r="F10" s="235">
        <v>2</v>
      </c>
      <c r="G10" s="156">
        <f>((WorkingCapital!$AO$10*1+Dividen!$I$27)+Depreciation!F8)</f>
        <v>1033476625.02</v>
      </c>
      <c r="H10" s="551">
        <f>WorkingCapital!AO21</f>
        <v>344595819</v>
      </c>
      <c r="I10" s="156">
        <f>IncomeStatement!D26</f>
        <v>561290433.12</v>
      </c>
      <c r="J10" s="156">
        <f>CashFlow!D35</f>
        <v>1021352811.1199999</v>
      </c>
      <c r="K10" s="552">
        <v>0.5</v>
      </c>
      <c r="L10" s="174">
        <f t="shared" ref="L10:L18" si="0">I10*K10</f>
        <v>280645216.56</v>
      </c>
      <c r="M10" s="174">
        <f>L10+M9</f>
        <v>344707594.56</v>
      </c>
      <c r="N10" s="174">
        <f>J10-L10</f>
        <v>740707594.55999994</v>
      </c>
      <c r="O10" s="174">
        <f>N10-H11</f>
        <v>389219859.17999995</v>
      </c>
      <c r="Q10" s="235">
        <v>2</v>
      </c>
      <c r="R10" s="174">
        <f t="shared" ref="R10:R18" si="1">L10</f>
        <v>280645216.56</v>
      </c>
      <c r="S10" s="567">
        <f>R10*$C$14%</f>
        <v>224516173.24800003</v>
      </c>
      <c r="T10" s="568">
        <f>R10-S10</f>
        <v>56129043.311999977</v>
      </c>
    </row>
    <row r="11" spans="1:20" x14ac:dyDescent="0.2">
      <c r="A11" s="171"/>
      <c r="B11" s="174" t="s">
        <v>1050</v>
      </c>
      <c r="C11" s="174"/>
      <c r="D11" s="174"/>
      <c r="F11" s="235">
        <v>3</v>
      </c>
      <c r="G11" s="156">
        <f>((WorkingCapital!$AO$10*1+Dividen!$I$27)+Depreciation!F9)</f>
        <v>1033476625.02</v>
      </c>
      <c r="H11" s="551">
        <f t="shared" ref="H11:H13" si="2">H10*(1+$I$27)</f>
        <v>351487735.38</v>
      </c>
      <c r="I11" s="156">
        <f>IncomeStatement!E26</f>
        <v>647799027.78239989</v>
      </c>
      <c r="J11" s="156">
        <f>CashFlow!E35</f>
        <v>1236506622.3423998</v>
      </c>
      <c r="K11" s="552">
        <v>0.7</v>
      </c>
      <c r="L11" s="174">
        <f t="shared" si="0"/>
        <v>453459319.44767988</v>
      </c>
      <c r="M11" s="174">
        <f>L11+M10</f>
        <v>798166914.00767994</v>
      </c>
      <c r="N11" s="174">
        <f t="shared" ref="N11:N18" si="3">J11-L11</f>
        <v>783047302.89471996</v>
      </c>
      <c r="O11" s="174">
        <f t="shared" ref="O11:O17" si="4">N11-H12</f>
        <v>424529812.80711997</v>
      </c>
      <c r="Q11" s="235">
        <v>3</v>
      </c>
      <c r="R11" s="174">
        <f t="shared" si="1"/>
        <v>453459319.44767988</v>
      </c>
      <c r="S11" s="567">
        <f t="shared" ref="S11:S18" si="5">R11*$C$14%</f>
        <v>362767455.55814391</v>
      </c>
      <c r="T11" s="568">
        <f t="shared" ref="T11:T18" si="6">R11-S11</f>
        <v>90691863.889535964</v>
      </c>
    </row>
    <row r="12" spans="1:20" x14ac:dyDescent="0.2">
      <c r="A12" s="171"/>
      <c r="B12" s="174" t="s">
        <v>1051</v>
      </c>
      <c r="C12" s="174"/>
      <c r="D12" s="174"/>
      <c r="F12" s="235">
        <v>4</v>
      </c>
      <c r="G12" s="156">
        <f>((WorkingCapital!$AO$10*1+Dividen!$I$27)+Depreciation!F10)</f>
        <v>1033476625.02</v>
      </c>
      <c r="H12" s="551">
        <f t="shared" si="2"/>
        <v>358517490.08759999</v>
      </c>
      <c r="I12" s="156">
        <f>IncomeStatement!F26</f>
        <v>734759398.33804786</v>
      </c>
      <c r="J12" s="156">
        <f>CashFlow!F35</f>
        <v>1365806701.2327678</v>
      </c>
      <c r="K12" s="552">
        <v>1</v>
      </c>
      <c r="L12" s="174">
        <f t="shared" si="0"/>
        <v>734759398.33804786</v>
      </c>
      <c r="M12" s="174">
        <f t="shared" ref="M12:M18" si="7">L12+M11</f>
        <v>1532926312.3457279</v>
      </c>
      <c r="N12" s="174">
        <f t="shared" si="3"/>
        <v>631047302.89471996</v>
      </c>
      <c r="O12" s="174">
        <f t="shared" si="4"/>
        <v>265359463.00536793</v>
      </c>
      <c r="Q12" s="235">
        <v>4</v>
      </c>
      <c r="R12" s="174">
        <f t="shared" si="1"/>
        <v>734759398.33804786</v>
      </c>
      <c r="S12" s="567">
        <f t="shared" si="5"/>
        <v>587807518.67043829</v>
      </c>
      <c r="T12" s="568">
        <f t="shared" si="6"/>
        <v>146951879.66760957</v>
      </c>
    </row>
    <row r="13" spans="1:20" x14ac:dyDescent="0.2">
      <c r="A13" s="171" t="s">
        <v>152</v>
      </c>
      <c r="B13" s="174" t="s">
        <v>1075</v>
      </c>
      <c r="C13" s="174"/>
      <c r="D13" s="168"/>
      <c r="F13" s="235">
        <v>5</v>
      </c>
      <c r="G13" s="156">
        <f>((WorkingCapital!$AO$10*1+Dividen!$I$27)+Depreciation!F11)</f>
        <v>1033476625.02</v>
      </c>
      <c r="H13" s="551">
        <f t="shared" si="2"/>
        <v>365687839.88935202</v>
      </c>
      <c r="I13" s="156">
        <f>IncomeStatement!G26</f>
        <v>822180580.30480921</v>
      </c>
      <c r="J13" s="156">
        <f>CashFlow!G35</f>
        <v>1301227883.1995289</v>
      </c>
      <c r="K13" s="552">
        <v>1</v>
      </c>
      <c r="L13" s="174">
        <f t="shared" si="0"/>
        <v>822180580.30480921</v>
      </c>
      <c r="M13" s="174">
        <f t="shared" si="7"/>
        <v>2355106892.650537</v>
      </c>
      <c r="N13" s="174">
        <f t="shared" si="3"/>
        <v>479047302.89471972</v>
      </c>
      <c r="O13" s="174">
        <f t="shared" si="4"/>
        <v>34045706.207580626</v>
      </c>
      <c r="Q13" s="235">
        <v>5</v>
      </c>
      <c r="R13" s="174">
        <f t="shared" si="1"/>
        <v>822180580.30480921</v>
      </c>
      <c r="S13" s="567">
        <f t="shared" si="5"/>
        <v>657744464.24384737</v>
      </c>
      <c r="T13" s="568">
        <f t="shared" si="6"/>
        <v>164436116.06096184</v>
      </c>
    </row>
    <row r="14" spans="1:20" x14ac:dyDescent="0.2">
      <c r="A14" s="171" t="s">
        <v>153</v>
      </c>
      <c r="B14" s="174" t="s">
        <v>1073</v>
      </c>
      <c r="C14" s="565">
        <f>Assumption!C41</f>
        <v>80</v>
      </c>
      <c r="D14" s="460" t="s">
        <v>1074</v>
      </c>
      <c r="F14" s="235">
        <v>6</v>
      </c>
      <c r="G14" s="156">
        <f>((WorkingCapital!$AO$10*1+Dividen!$I$27)+Depreciation!F12)</f>
        <v>1033476625.02</v>
      </c>
      <c r="H14" s="551">
        <f>(H13*(1+$I$27))+'OVH Expenses'!T12</f>
        <v>445001596.68713909</v>
      </c>
      <c r="I14" s="156">
        <f>IncomeStatement!H26</f>
        <v>814031889.910905</v>
      </c>
      <c r="J14" s="156">
        <f>CashFlow!H35</f>
        <v>1673079192.805625</v>
      </c>
      <c r="K14" s="552">
        <v>1</v>
      </c>
      <c r="L14" s="174">
        <f t="shared" si="0"/>
        <v>814031889.910905</v>
      </c>
      <c r="M14" s="174">
        <f t="shared" si="7"/>
        <v>3169138782.5614419</v>
      </c>
      <c r="N14" s="174">
        <f t="shared" si="3"/>
        <v>859047302.89471996</v>
      </c>
      <c r="O14" s="174">
        <f t="shared" si="4"/>
        <v>331705674.2738381</v>
      </c>
      <c r="Q14" s="235">
        <v>6</v>
      </c>
      <c r="R14" s="174">
        <f t="shared" si="1"/>
        <v>814031889.910905</v>
      </c>
      <c r="S14" s="567">
        <f t="shared" si="5"/>
        <v>651225511.92872405</v>
      </c>
      <c r="T14" s="568">
        <f t="shared" si="6"/>
        <v>162806377.98218095</v>
      </c>
    </row>
    <row r="15" spans="1:20" x14ac:dyDescent="0.2">
      <c r="A15" s="171"/>
      <c r="B15" s="174" t="s">
        <v>1265</v>
      </c>
      <c r="C15" s="566">
        <f>Assumption!C42</f>
        <v>20</v>
      </c>
      <c r="D15" s="460" t="s">
        <v>1074</v>
      </c>
      <c r="F15" s="235">
        <v>7</v>
      </c>
      <c r="G15" s="156">
        <f>((WorkingCapital!$AO$10*1+Dividen!$I$27)+Depreciation!F13)</f>
        <v>1033476625.02</v>
      </c>
      <c r="H15" s="551">
        <f>(H14*(1+$I$27))+'OVH Expenses'!T13</f>
        <v>527341628.62088186</v>
      </c>
      <c r="I15" s="156">
        <f>IncomeStatement!I26</f>
        <v>837201127.70912302</v>
      </c>
      <c r="J15" s="156">
        <f>CashFlow!I35</f>
        <v>2076248430.6038427</v>
      </c>
      <c r="K15" s="552">
        <v>1</v>
      </c>
      <c r="L15" s="174">
        <f t="shared" si="0"/>
        <v>837201127.70912302</v>
      </c>
      <c r="M15" s="174">
        <f t="shared" si="7"/>
        <v>4006339910.270565</v>
      </c>
      <c r="N15" s="174">
        <f t="shared" si="3"/>
        <v>1239047302.8947196</v>
      </c>
      <c r="O15" s="174">
        <f t="shared" si="4"/>
        <v>626250041.70142007</v>
      </c>
      <c r="Q15" s="235">
        <v>7</v>
      </c>
      <c r="R15" s="174">
        <f t="shared" si="1"/>
        <v>837201127.70912302</v>
      </c>
      <c r="S15" s="567">
        <f t="shared" si="5"/>
        <v>669760902.16729844</v>
      </c>
      <c r="T15" s="568">
        <f t="shared" si="6"/>
        <v>167440225.54182458</v>
      </c>
    </row>
    <row r="16" spans="1:20" x14ac:dyDescent="0.2">
      <c r="F16" s="235">
        <v>8</v>
      </c>
      <c r="G16" s="156">
        <f>((WorkingCapital!$AO$10*1+Dividen!$I$27)+Depreciation!F14)</f>
        <v>1033476625.02</v>
      </c>
      <c r="H16" s="551">
        <f>(H15*(1+$I$27))+'OVH Expenses'!T14</f>
        <v>612797261.19329953</v>
      </c>
      <c r="I16" s="156">
        <f>IncomeStatement!J26</f>
        <v>860833750.26330566</v>
      </c>
      <c r="J16" s="156">
        <f>CashFlow!J35</f>
        <v>2479881053.1580257</v>
      </c>
      <c r="K16" s="552">
        <v>1</v>
      </c>
      <c r="L16" s="174">
        <f t="shared" si="0"/>
        <v>860833750.26330566</v>
      </c>
      <c r="M16" s="174">
        <f t="shared" si="7"/>
        <v>4867173660.5338707</v>
      </c>
      <c r="N16" s="174">
        <f t="shared" si="3"/>
        <v>1619047302.8947201</v>
      </c>
      <c r="O16" s="174">
        <f t="shared" si="4"/>
        <v>917587120.47755456</v>
      </c>
      <c r="Q16" s="235">
        <v>8</v>
      </c>
      <c r="R16" s="174">
        <f t="shared" si="1"/>
        <v>860833750.26330566</v>
      </c>
      <c r="S16" s="567">
        <f t="shared" si="5"/>
        <v>688667000.2106446</v>
      </c>
      <c r="T16" s="568">
        <f t="shared" si="6"/>
        <v>172166750.05266106</v>
      </c>
    </row>
    <row r="17" spans="1:20" x14ac:dyDescent="0.2">
      <c r="F17" s="235">
        <v>9</v>
      </c>
      <c r="G17" s="156">
        <f>((WorkingCapital!$AO$10*1+Dividen!$I$27)+Depreciation!F15)</f>
        <v>1033476625.02</v>
      </c>
      <c r="H17" s="551">
        <f>(H16*(1+$I$27))+'OVH Expenses'!T15</f>
        <v>701460182.41716552</v>
      </c>
      <c r="I17" s="156">
        <f>IncomeStatement!K26</f>
        <v>884939025.26857173</v>
      </c>
      <c r="J17" s="156">
        <f>CashFlow!K35</f>
        <v>2883986328.1632919</v>
      </c>
      <c r="K17" s="552">
        <v>1</v>
      </c>
      <c r="L17" s="174">
        <f t="shared" si="0"/>
        <v>884939025.26857173</v>
      </c>
      <c r="M17" s="174">
        <f t="shared" si="7"/>
        <v>5752112685.8024426</v>
      </c>
      <c r="N17" s="174">
        <f t="shared" si="3"/>
        <v>1999047302.8947201</v>
      </c>
      <c r="O17" s="174">
        <f t="shared" si="4"/>
        <v>1205622801.3092113</v>
      </c>
      <c r="Q17" s="235">
        <v>9</v>
      </c>
      <c r="R17" s="174">
        <f t="shared" si="1"/>
        <v>884939025.26857173</v>
      </c>
      <c r="S17" s="567">
        <f t="shared" si="5"/>
        <v>707951220.21485746</v>
      </c>
      <c r="T17" s="568">
        <f t="shared" si="6"/>
        <v>176987805.05371428</v>
      </c>
    </row>
    <row r="18" spans="1:20" x14ac:dyDescent="0.2">
      <c r="A18" s="210"/>
      <c r="B18" s="156"/>
      <c r="C18" s="156"/>
      <c r="D18" s="156"/>
      <c r="F18" s="235">
        <v>10</v>
      </c>
      <c r="G18" s="156">
        <f>((WorkingCapital!$AO$10*1+Dividen!$I$27)+Depreciation!F16)</f>
        <v>1033476625.02</v>
      </c>
      <c r="H18" s="551">
        <f>(H17*(1+$I$27))+'OVH Expenses'!T16</f>
        <v>793424501.58550882</v>
      </c>
      <c r="I18" s="156">
        <f>IncomeStatement!L26</f>
        <v>909526405.77394295</v>
      </c>
      <c r="J18" s="156">
        <f>CashFlow!L35</f>
        <v>3288573708.668663</v>
      </c>
      <c r="K18" s="552">
        <v>1</v>
      </c>
      <c r="L18" s="174">
        <f t="shared" si="0"/>
        <v>909526405.77394295</v>
      </c>
      <c r="M18" s="174">
        <f t="shared" si="7"/>
        <v>6661639091.5763855</v>
      </c>
      <c r="N18" s="174">
        <f t="shared" si="3"/>
        <v>2379047302.8947201</v>
      </c>
      <c r="O18" s="174"/>
      <c r="Q18" s="235">
        <v>10</v>
      </c>
      <c r="R18" s="174">
        <f t="shared" si="1"/>
        <v>909526405.77394295</v>
      </c>
      <c r="S18" s="567">
        <f t="shared" si="5"/>
        <v>727621124.61915445</v>
      </c>
      <c r="T18" s="568">
        <f t="shared" si="6"/>
        <v>181905281.15478849</v>
      </c>
    </row>
    <row r="19" spans="1:20" x14ac:dyDescent="0.2">
      <c r="A19" s="209"/>
      <c r="B19" s="209"/>
      <c r="C19" s="209"/>
      <c r="D19" s="209"/>
      <c r="F19" s="209"/>
      <c r="G19" s="466"/>
      <c r="H19" s="466"/>
      <c r="I19" s="466"/>
      <c r="J19" s="466"/>
      <c r="K19" s="466"/>
      <c r="L19" s="162"/>
      <c r="M19" s="466"/>
      <c r="N19" s="466"/>
      <c r="O19" s="466"/>
      <c r="Q19" s="466"/>
      <c r="R19" s="466"/>
      <c r="S19" s="466"/>
      <c r="T19" s="466"/>
    </row>
    <row r="21" spans="1:20" x14ac:dyDescent="0.2">
      <c r="F21" s="274" t="s">
        <v>537</v>
      </c>
    </row>
    <row r="22" spans="1:20" x14ac:dyDescent="0.2">
      <c r="F22" s="221" t="s">
        <v>1052</v>
      </c>
      <c r="G22" s="202" t="s">
        <v>1053</v>
      </c>
    </row>
    <row r="23" spans="1:20" x14ac:dyDescent="0.2">
      <c r="F23" s="221" t="s">
        <v>1054</v>
      </c>
    </row>
    <row r="24" spans="1:20" x14ac:dyDescent="0.2">
      <c r="F24" s="553" t="s">
        <v>1055</v>
      </c>
    </row>
    <row r="26" spans="1:20" x14ac:dyDescent="0.2">
      <c r="F26" s="292" t="s">
        <v>1018</v>
      </c>
      <c r="G26" s="224"/>
      <c r="H26" s="524"/>
      <c r="I26" s="298"/>
      <c r="J26" s="292"/>
      <c r="K26" s="292"/>
      <c r="L26" s="292"/>
    </row>
    <row r="27" spans="1:20" x14ac:dyDescent="0.2">
      <c r="F27" s="292"/>
      <c r="G27" s="224" t="s">
        <v>1251</v>
      </c>
      <c r="H27" s="292"/>
      <c r="I27" s="309">
        <v>0.02</v>
      </c>
      <c r="J27" s="310" t="s">
        <v>177</v>
      </c>
      <c r="K27" s="292"/>
      <c r="L27" s="292"/>
    </row>
    <row r="33" spans="9:15" x14ac:dyDescent="0.2">
      <c r="I33" s="156"/>
      <c r="O33" s="156"/>
    </row>
    <row r="34" spans="9:15" x14ac:dyDescent="0.2">
      <c r="O34" s="156"/>
    </row>
    <row r="35" spans="9:15" x14ac:dyDescent="0.2">
      <c r="O35" s="156"/>
    </row>
    <row r="36" spans="9:15" x14ac:dyDescent="0.2">
      <c r="O36" s="156"/>
    </row>
    <row r="37" spans="9:15" x14ac:dyDescent="0.2">
      <c r="O37" s="156"/>
    </row>
    <row r="38" spans="9:15" x14ac:dyDescent="0.2">
      <c r="O38" s="156"/>
    </row>
    <row r="39" spans="9:15" x14ac:dyDescent="0.2">
      <c r="O39" s="156"/>
    </row>
    <row r="40" spans="9:15" x14ac:dyDescent="0.2">
      <c r="O40" s="156"/>
    </row>
    <row r="41" spans="9:15" x14ac:dyDescent="0.2">
      <c r="O41" s="156"/>
    </row>
  </sheetData>
  <mergeCells count="1">
    <mergeCell ref="F7:F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81A1-7E52-44A8-956C-3ECEAC9BCCFB}">
  <sheetPr>
    <tabColor theme="9" tint="0.39997558519241921"/>
  </sheetPr>
  <dimension ref="A1:R31"/>
  <sheetViews>
    <sheetView showGridLines="0" zoomScale="160" zoomScaleNormal="160" workbookViewId="0">
      <selection activeCell="O21" sqref="O21"/>
    </sheetView>
  </sheetViews>
  <sheetFormatPr defaultColWidth="9" defaultRowHeight="11.25" x14ac:dyDescent="0.25"/>
  <cols>
    <col min="1" max="1" width="24" style="180" bestFit="1" customWidth="1"/>
    <col min="2" max="2" width="4.125" style="180" bestFit="1" customWidth="1"/>
    <col min="3" max="12" width="9.75" style="180" bestFit="1" customWidth="1"/>
    <col min="13" max="13" width="3.25" style="180" customWidth="1"/>
    <col min="14" max="14" width="13.5" style="180" bestFit="1" customWidth="1"/>
    <col min="15" max="15" width="6.625" style="180" customWidth="1"/>
    <col min="16" max="16" width="18" style="180" bestFit="1" customWidth="1"/>
    <col min="17" max="17" width="16" style="180" bestFit="1" customWidth="1"/>
    <col min="18" max="18" width="13.125" style="180" bestFit="1" customWidth="1"/>
    <col min="19" max="16384" width="9" style="180"/>
  </cols>
  <sheetData>
    <row r="1" spans="1:18" x14ac:dyDescent="0.25">
      <c r="A1" s="179" t="str">
        <f>ProjectValuation!A1</f>
        <v>Bisnis Truk Thermoking</v>
      </c>
      <c r="B1" s="179"/>
    </row>
    <row r="2" spans="1:18" x14ac:dyDescent="0.25">
      <c r="A2" s="179" t="str">
        <f>ProjectValuation!A2</f>
        <v>Financial Pre-Feasibility Study</v>
      </c>
      <c r="B2" s="179"/>
    </row>
    <row r="3" spans="1:18" x14ac:dyDescent="0.25">
      <c r="A3" s="181" t="s">
        <v>535</v>
      </c>
      <c r="B3" s="181"/>
      <c r="Q3" s="370"/>
    </row>
    <row r="4" spans="1:18" x14ac:dyDescent="0.25">
      <c r="A4" s="182"/>
      <c r="B4" s="182"/>
    </row>
    <row r="5" spans="1:18" x14ac:dyDescent="0.25">
      <c r="A5" s="182"/>
      <c r="B5" s="182"/>
      <c r="D5" s="183"/>
    </row>
    <row r="6" spans="1:18" x14ac:dyDescent="0.25">
      <c r="A6" s="180" t="s">
        <v>652</v>
      </c>
      <c r="P6" s="180" t="s">
        <v>1028</v>
      </c>
    </row>
    <row r="7" spans="1:18" ht="20.100000000000001" customHeight="1" x14ac:dyDescent="0.25">
      <c r="A7" s="185" t="s">
        <v>536</v>
      </c>
      <c r="B7" s="185"/>
      <c r="C7" s="186">
        <v>1</v>
      </c>
      <c r="D7" s="186">
        <f>C7+1</f>
        <v>2</v>
      </c>
      <c r="E7" s="186">
        <f t="shared" ref="E7:L7" si="0">D7+1</f>
        <v>3</v>
      </c>
      <c r="F7" s="186">
        <f t="shared" si="0"/>
        <v>4</v>
      </c>
      <c r="G7" s="186">
        <f t="shared" si="0"/>
        <v>5</v>
      </c>
      <c r="H7" s="186">
        <f t="shared" si="0"/>
        <v>6</v>
      </c>
      <c r="I7" s="186">
        <f t="shared" si="0"/>
        <v>7</v>
      </c>
      <c r="J7" s="186">
        <f t="shared" si="0"/>
        <v>8</v>
      </c>
      <c r="K7" s="186">
        <f t="shared" si="0"/>
        <v>9</v>
      </c>
      <c r="L7" s="186">
        <f t="shared" si="0"/>
        <v>10</v>
      </c>
      <c r="P7" s="540" t="s">
        <v>536</v>
      </c>
      <c r="Q7" s="541" t="s">
        <v>1059</v>
      </c>
      <c r="R7" s="541" t="s">
        <v>1029</v>
      </c>
    </row>
    <row r="8" spans="1:18" x14ac:dyDescent="0.25">
      <c r="A8" s="195" t="s">
        <v>596</v>
      </c>
      <c r="B8" s="195"/>
      <c r="C8" s="187"/>
      <c r="D8" s="187"/>
      <c r="E8" s="187"/>
      <c r="F8" s="187"/>
      <c r="G8" s="187"/>
      <c r="H8" s="187"/>
      <c r="I8" s="187"/>
      <c r="J8" s="187"/>
      <c r="K8" s="187"/>
      <c r="L8" s="187"/>
      <c r="P8" s="417">
        <v>1</v>
      </c>
      <c r="Q8" s="370">
        <f>C24</f>
        <v>4564062378</v>
      </c>
      <c r="R8" s="370"/>
    </row>
    <row r="9" spans="1:18" x14ac:dyDescent="0.25">
      <c r="A9" s="180" t="s">
        <v>641</v>
      </c>
      <c r="C9" s="370">
        <f>(CapitalInvestment!C7+CapitalInvestment!C8)</f>
        <v>4500000000</v>
      </c>
      <c r="D9" s="370">
        <f>C22</f>
        <v>4500000000</v>
      </c>
      <c r="E9" s="370">
        <f t="shared" ref="E9:L10" si="1">D22</f>
        <v>4500000000</v>
      </c>
      <c r="F9" s="370">
        <f t="shared" si="1"/>
        <v>4500000000</v>
      </c>
      <c r="G9" s="370">
        <f t="shared" si="1"/>
        <v>4500000000</v>
      </c>
      <c r="H9" s="370">
        <f t="shared" si="1"/>
        <v>4500000000</v>
      </c>
      <c r="I9" s="370">
        <f t="shared" si="1"/>
        <v>4500000000</v>
      </c>
      <c r="J9" s="370">
        <f t="shared" si="1"/>
        <v>4500000000</v>
      </c>
      <c r="K9" s="370">
        <f t="shared" si="1"/>
        <v>4500000000</v>
      </c>
      <c r="L9" s="370">
        <f t="shared" si="1"/>
        <v>4500000000</v>
      </c>
      <c r="P9" s="417">
        <v>2</v>
      </c>
      <c r="Q9" s="370">
        <f>D24</f>
        <v>4844707594.5600004</v>
      </c>
      <c r="R9" s="440">
        <f>100*(Q9-Q8)/Q8</f>
        <v>6.1490223690365262</v>
      </c>
    </row>
    <row r="10" spans="1:18" x14ac:dyDescent="0.25">
      <c r="A10" s="180" t="s">
        <v>637</v>
      </c>
      <c r="C10" s="542">
        <v>0</v>
      </c>
      <c r="D10" s="543">
        <f>C23</f>
        <v>64062378</v>
      </c>
      <c r="E10" s="543">
        <f>D23</f>
        <v>344707594.56</v>
      </c>
      <c r="F10" s="543">
        <f t="shared" si="1"/>
        <v>539047302.89472008</v>
      </c>
      <c r="G10" s="543">
        <f t="shared" si="1"/>
        <v>539047302.89472008</v>
      </c>
      <c r="H10" s="543">
        <f t="shared" si="1"/>
        <v>539047302.89472008</v>
      </c>
      <c r="I10" s="543">
        <f t="shared" si="1"/>
        <v>539047302.89472008</v>
      </c>
      <c r="J10" s="543">
        <f t="shared" si="1"/>
        <v>539047302.89472008</v>
      </c>
      <c r="K10" s="543">
        <f t="shared" si="1"/>
        <v>539047302.89472008</v>
      </c>
      <c r="L10" s="543">
        <f t="shared" si="1"/>
        <v>539047302.89472008</v>
      </c>
      <c r="P10" s="417">
        <v>3</v>
      </c>
      <c r="Q10" s="370">
        <f>E24</f>
        <v>5039047302.8947201</v>
      </c>
      <c r="R10" s="440">
        <f t="shared" ref="R10:R16" si="2">100*(Q10-Q9)/Q9</f>
        <v>4.0113815858141528</v>
      </c>
    </row>
    <row r="11" spans="1:18" x14ac:dyDescent="0.25">
      <c r="A11" s="180" t="s">
        <v>640</v>
      </c>
      <c r="C11" s="544">
        <f>C9+C10</f>
        <v>4500000000</v>
      </c>
      <c r="D11" s="544">
        <f t="shared" ref="D11:L11" si="3">D9+D10</f>
        <v>4564062378</v>
      </c>
      <c r="E11" s="544">
        <f t="shared" si="3"/>
        <v>4844707594.5600004</v>
      </c>
      <c r="F11" s="544">
        <f t="shared" si="3"/>
        <v>5039047302.8947201</v>
      </c>
      <c r="G11" s="544">
        <f t="shared" si="3"/>
        <v>5039047302.8947201</v>
      </c>
      <c r="H11" s="544">
        <f t="shared" si="3"/>
        <v>5039047302.8947201</v>
      </c>
      <c r="I11" s="544">
        <f t="shared" si="3"/>
        <v>5039047302.8947201</v>
      </c>
      <c r="J11" s="544">
        <f t="shared" si="3"/>
        <v>5039047302.8947201</v>
      </c>
      <c r="K11" s="544">
        <f t="shared" si="3"/>
        <v>5039047302.8947201</v>
      </c>
      <c r="L11" s="544">
        <f t="shared" si="3"/>
        <v>5039047302.8947201</v>
      </c>
      <c r="P11" s="417">
        <v>4</v>
      </c>
      <c r="Q11" s="370">
        <f>F24</f>
        <v>5039047302.8947201</v>
      </c>
      <c r="R11" s="440">
        <f t="shared" si="2"/>
        <v>0</v>
      </c>
    </row>
    <row r="12" spans="1:18" x14ac:dyDescent="0.25">
      <c r="A12" s="195" t="s">
        <v>638</v>
      </c>
      <c r="B12" s="195"/>
      <c r="C12" s="370"/>
      <c r="D12" s="370"/>
      <c r="E12" s="370"/>
      <c r="F12" s="370"/>
      <c r="G12" s="370"/>
      <c r="H12" s="370"/>
      <c r="I12" s="370"/>
      <c r="J12" s="370"/>
      <c r="K12" s="370"/>
      <c r="L12" s="370"/>
      <c r="P12" s="417">
        <v>5</v>
      </c>
      <c r="Q12" s="370">
        <f>G24</f>
        <v>5039047302.8947201</v>
      </c>
      <c r="R12" s="440">
        <f t="shared" si="2"/>
        <v>0</v>
      </c>
    </row>
    <row r="13" spans="1:18" x14ac:dyDescent="0.25">
      <c r="A13" s="180" t="s">
        <v>642</v>
      </c>
      <c r="B13" s="195"/>
      <c r="C13" s="370"/>
      <c r="D13" s="370"/>
      <c r="E13" s="370"/>
      <c r="F13" s="370"/>
      <c r="G13" s="370"/>
      <c r="H13" s="370"/>
      <c r="I13" s="370"/>
      <c r="J13" s="370"/>
      <c r="K13" s="370"/>
      <c r="L13" s="370"/>
      <c r="P13" s="417">
        <v>6</v>
      </c>
      <c r="Q13" s="370">
        <f>H24</f>
        <v>5039047302.8947201</v>
      </c>
      <c r="R13" s="440">
        <f t="shared" si="2"/>
        <v>0</v>
      </c>
    </row>
    <row r="14" spans="1:18" x14ac:dyDescent="0.25">
      <c r="A14" s="180" t="s">
        <v>643</v>
      </c>
      <c r="C14" s="545">
        <v>0</v>
      </c>
      <c r="D14" s="545">
        <v>0</v>
      </c>
      <c r="E14" s="545">
        <v>0</v>
      </c>
      <c r="F14" s="545">
        <v>0</v>
      </c>
      <c r="G14" s="545">
        <v>0</v>
      </c>
      <c r="H14" s="545">
        <v>0</v>
      </c>
      <c r="I14" s="545">
        <v>0</v>
      </c>
      <c r="J14" s="545">
        <v>0</v>
      </c>
      <c r="K14" s="545">
        <v>0</v>
      </c>
      <c r="L14" s="545">
        <v>0</v>
      </c>
      <c r="P14" s="417">
        <v>7</v>
      </c>
      <c r="Q14" s="370">
        <f>I24</f>
        <v>5039047302.8947201</v>
      </c>
      <c r="R14" s="440">
        <f t="shared" si="2"/>
        <v>0</v>
      </c>
    </row>
    <row r="15" spans="1:18" x14ac:dyDescent="0.25">
      <c r="A15" s="180" t="s">
        <v>647</v>
      </c>
      <c r="C15" s="543">
        <f t="shared" ref="C15:L15" si="4">-1*$C$9*C27</f>
        <v>0</v>
      </c>
      <c r="D15" s="543">
        <f t="shared" si="4"/>
        <v>0</v>
      </c>
      <c r="E15" s="543">
        <f t="shared" si="4"/>
        <v>0</v>
      </c>
      <c r="F15" s="543">
        <f t="shared" si="4"/>
        <v>0</v>
      </c>
      <c r="G15" s="543">
        <f t="shared" si="4"/>
        <v>0</v>
      </c>
      <c r="H15" s="543">
        <f t="shared" si="4"/>
        <v>0</v>
      </c>
      <c r="I15" s="543">
        <f t="shared" si="4"/>
        <v>0</v>
      </c>
      <c r="J15" s="543">
        <f t="shared" si="4"/>
        <v>0</v>
      </c>
      <c r="K15" s="543">
        <f t="shared" si="4"/>
        <v>0</v>
      </c>
      <c r="L15" s="543">
        <f t="shared" si="4"/>
        <v>0</v>
      </c>
      <c r="P15" s="417">
        <v>8</v>
      </c>
      <c r="Q15" s="370">
        <f>J24</f>
        <v>5039047302.8947201</v>
      </c>
      <c r="R15" s="440">
        <f t="shared" si="2"/>
        <v>0</v>
      </c>
    </row>
    <row r="16" spans="1:18" x14ac:dyDescent="0.25">
      <c r="A16" s="196" t="s">
        <v>648</v>
      </c>
      <c r="B16" s="195"/>
      <c r="C16" s="544">
        <f t="shared" ref="C16:L16" si="5">SUM(C14:C15)</f>
        <v>0</v>
      </c>
      <c r="D16" s="544">
        <f t="shared" si="5"/>
        <v>0</v>
      </c>
      <c r="E16" s="544">
        <f t="shared" si="5"/>
        <v>0</v>
      </c>
      <c r="F16" s="544">
        <f t="shared" si="5"/>
        <v>0</v>
      </c>
      <c r="G16" s="544">
        <f t="shared" si="5"/>
        <v>0</v>
      </c>
      <c r="H16" s="544">
        <f t="shared" si="5"/>
        <v>0</v>
      </c>
      <c r="I16" s="544">
        <f t="shared" si="5"/>
        <v>0</v>
      </c>
      <c r="J16" s="544">
        <f t="shared" si="5"/>
        <v>0</v>
      </c>
      <c r="K16" s="544">
        <f t="shared" si="5"/>
        <v>0</v>
      </c>
      <c r="L16" s="544">
        <f t="shared" si="5"/>
        <v>0</v>
      </c>
      <c r="P16" s="417">
        <v>9</v>
      </c>
      <c r="Q16" s="370">
        <f>K24</f>
        <v>5039047302.8947201</v>
      </c>
      <c r="R16" s="440">
        <f t="shared" si="2"/>
        <v>0</v>
      </c>
    </row>
    <row r="17" spans="1:18" x14ac:dyDescent="0.25">
      <c r="A17" s="180" t="s">
        <v>644</v>
      </c>
      <c r="B17" s="195"/>
      <c r="C17" s="370"/>
      <c r="D17" s="370"/>
      <c r="E17" s="370"/>
      <c r="F17" s="370"/>
      <c r="G17" s="370"/>
      <c r="H17" s="370"/>
      <c r="I17" s="370"/>
      <c r="J17" s="370"/>
      <c r="K17" s="370"/>
      <c r="L17" s="370"/>
      <c r="P17" s="417">
        <v>10</v>
      </c>
      <c r="Q17" s="370">
        <f>L24</f>
        <v>5039047302.8947201</v>
      </c>
      <c r="R17" s="440">
        <f>100*(Q17-Q16)/Q16</f>
        <v>0</v>
      </c>
    </row>
    <row r="18" spans="1:18" x14ac:dyDescent="0.25">
      <c r="A18" s="180" t="s">
        <v>649</v>
      </c>
      <c r="C18" s="370">
        <f>IncomeStatement!C26</f>
        <v>128124756</v>
      </c>
      <c r="D18" s="370">
        <f>IncomeStatement!D26</f>
        <v>561290433.12</v>
      </c>
      <c r="E18" s="370">
        <f>IncomeStatement!E26</f>
        <v>647799027.78239989</v>
      </c>
      <c r="F18" s="370">
        <f>IncomeStatement!F26</f>
        <v>734759398.33804786</v>
      </c>
      <c r="G18" s="370">
        <f>IncomeStatement!G26</f>
        <v>822180580.30480921</v>
      </c>
      <c r="H18" s="370">
        <f>IncomeStatement!H26</f>
        <v>814031889.910905</v>
      </c>
      <c r="I18" s="370">
        <f>IncomeStatement!I26</f>
        <v>837201127.70912302</v>
      </c>
      <c r="J18" s="370">
        <f>IncomeStatement!J26</f>
        <v>860833750.26330566</v>
      </c>
      <c r="K18" s="370">
        <f>IncomeStatement!K26</f>
        <v>884939025.26857173</v>
      </c>
      <c r="L18" s="370">
        <f>IncomeStatement!L26</f>
        <v>909526405.77394295</v>
      </c>
      <c r="P18" s="193"/>
      <c r="Q18" s="193"/>
      <c r="R18" s="193"/>
    </row>
    <row r="19" spans="1:18" x14ac:dyDescent="0.25">
      <c r="A19" s="180" t="s">
        <v>650</v>
      </c>
      <c r="C19" s="569">
        <f>-1*Dividen!L9</f>
        <v>-64062378</v>
      </c>
      <c r="D19" s="569">
        <f>-1*Dividen!L10</f>
        <v>-280645216.56</v>
      </c>
      <c r="E19" s="569">
        <f>-1*Dividen!L11</f>
        <v>-453459319.44767988</v>
      </c>
      <c r="F19" s="569">
        <f>-1*Dividen!L12</f>
        <v>-734759398.33804786</v>
      </c>
      <c r="G19" s="569">
        <f>-1*Dividen!L13</f>
        <v>-822180580.30480921</v>
      </c>
      <c r="H19" s="569">
        <f>-1*Dividen!L14</f>
        <v>-814031889.910905</v>
      </c>
      <c r="I19" s="569">
        <f>-1*Dividen!L15</f>
        <v>-837201127.70912302</v>
      </c>
      <c r="J19" s="569">
        <f>-1*Dividen!L16</f>
        <v>-860833750.26330566</v>
      </c>
      <c r="K19" s="569">
        <f>-1*Dividen!L17</f>
        <v>-884939025.26857173</v>
      </c>
      <c r="L19" s="569">
        <f>-1*Dividen!L18</f>
        <v>-909526405.77394295</v>
      </c>
      <c r="N19" s="546" t="s">
        <v>1030</v>
      </c>
    </row>
    <row r="20" spans="1:18" x14ac:dyDescent="0.25">
      <c r="A20" s="180" t="s">
        <v>651</v>
      </c>
      <c r="C20" s="544">
        <f>C18+C19</f>
        <v>64062378</v>
      </c>
      <c r="D20" s="544">
        <f>D18+D19</f>
        <v>280645216.56</v>
      </c>
      <c r="E20" s="544">
        <f>E18+E19</f>
        <v>194339708.33472002</v>
      </c>
      <c r="F20" s="544">
        <f t="shared" ref="F20:L20" si="6">F18+F19</f>
        <v>0</v>
      </c>
      <c r="G20" s="544">
        <f t="shared" si="6"/>
        <v>0</v>
      </c>
      <c r="H20" s="544">
        <f t="shared" si="6"/>
        <v>0</v>
      </c>
      <c r="I20" s="544">
        <f>I18+I19</f>
        <v>0</v>
      </c>
      <c r="J20" s="544">
        <f t="shared" si="6"/>
        <v>0</v>
      </c>
      <c r="K20" s="544">
        <f t="shared" si="6"/>
        <v>0</v>
      </c>
      <c r="L20" s="544">
        <f t="shared" si="6"/>
        <v>0</v>
      </c>
    </row>
    <row r="21" spans="1:18" x14ac:dyDescent="0.25">
      <c r="A21" s="195" t="s">
        <v>597</v>
      </c>
      <c r="C21" s="370"/>
      <c r="D21" s="370"/>
      <c r="E21" s="370"/>
      <c r="F21" s="370"/>
      <c r="G21" s="370"/>
      <c r="H21" s="370"/>
      <c r="I21" s="370"/>
      <c r="J21" s="370"/>
      <c r="K21" s="370"/>
      <c r="L21" s="370"/>
    </row>
    <row r="22" spans="1:18" x14ac:dyDescent="0.25">
      <c r="A22" s="180" t="s">
        <v>641</v>
      </c>
      <c r="C22" s="370">
        <f>C9+C16</f>
        <v>4500000000</v>
      </c>
      <c r="D22" s="370">
        <f t="shared" ref="D22:L22" si="7">D9+D16</f>
        <v>4500000000</v>
      </c>
      <c r="E22" s="370">
        <f t="shared" si="7"/>
        <v>4500000000</v>
      </c>
      <c r="F22" s="370">
        <f t="shared" si="7"/>
        <v>4500000000</v>
      </c>
      <c r="G22" s="370">
        <f t="shared" si="7"/>
        <v>4500000000</v>
      </c>
      <c r="H22" s="370">
        <f t="shared" si="7"/>
        <v>4500000000</v>
      </c>
      <c r="I22" s="370">
        <f t="shared" si="7"/>
        <v>4500000000</v>
      </c>
      <c r="J22" s="370">
        <f t="shared" si="7"/>
        <v>4500000000</v>
      </c>
      <c r="K22" s="370">
        <f t="shared" si="7"/>
        <v>4500000000</v>
      </c>
      <c r="L22" s="370">
        <f t="shared" si="7"/>
        <v>4500000000</v>
      </c>
    </row>
    <row r="23" spans="1:18" x14ac:dyDescent="0.25">
      <c r="A23" s="180" t="s">
        <v>645</v>
      </c>
      <c r="C23" s="543">
        <f>C10+C20</f>
        <v>64062378</v>
      </c>
      <c r="D23" s="543">
        <f>D10+D20</f>
        <v>344707594.56</v>
      </c>
      <c r="E23" s="543">
        <f t="shared" ref="E23:L23" si="8">E10+E20</f>
        <v>539047302.89472008</v>
      </c>
      <c r="F23" s="543">
        <f t="shared" si="8"/>
        <v>539047302.89472008</v>
      </c>
      <c r="G23" s="543">
        <f t="shared" si="8"/>
        <v>539047302.89472008</v>
      </c>
      <c r="H23" s="543">
        <f t="shared" si="8"/>
        <v>539047302.89472008</v>
      </c>
      <c r="I23" s="543">
        <f t="shared" si="8"/>
        <v>539047302.89472008</v>
      </c>
      <c r="J23" s="543">
        <f t="shared" si="8"/>
        <v>539047302.89472008</v>
      </c>
      <c r="K23" s="543">
        <f t="shared" si="8"/>
        <v>539047302.89472008</v>
      </c>
      <c r="L23" s="543">
        <f t="shared" si="8"/>
        <v>539047302.89472008</v>
      </c>
    </row>
    <row r="24" spans="1:18" x14ac:dyDescent="0.25">
      <c r="A24" s="180" t="s">
        <v>646</v>
      </c>
      <c r="C24" s="544">
        <f>C22+C23</f>
        <v>4564062378</v>
      </c>
      <c r="D24" s="544">
        <f>D22+D23</f>
        <v>4844707594.5600004</v>
      </c>
      <c r="E24" s="544">
        <f>E22+E23</f>
        <v>5039047302.8947201</v>
      </c>
      <c r="F24" s="544">
        <f t="shared" ref="F24:L24" si="9">F22+F23</f>
        <v>5039047302.8947201</v>
      </c>
      <c r="G24" s="544">
        <f t="shared" si="9"/>
        <v>5039047302.8947201</v>
      </c>
      <c r="H24" s="544">
        <f t="shared" si="9"/>
        <v>5039047302.8947201</v>
      </c>
      <c r="I24" s="544">
        <f t="shared" si="9"/>
        <v>5039047302.8947201</v>
      </c>
      <c r="J24" s="544">
        <f t="shared" si="9"/>
        <v>5039047302.8947201</v>
      </c>
      <c r="K24" s="544">
        <f t="shared" si="9"/>
        <v>5039047302.8947201</v>
      </c>
      <c r="L24" s="544">
        <f t="shared" si="9"/>
        <v>5039047302.8947201</v>
      </c>
    </row>
    <row r="25" spans="1:18" x14ac:dyDescent="0.25">
      <c r="A25" s="365"/>
      <c r="B25" s="365"/>
      <c r="C25" s="547"/>
      <c r="D25" s="547"/>
      <c r="E25" s="547"/>
      <c r="F25" s="547"/>
      <c r="G25" s="547"/>
      <c r="H25" s="547"/>
      <c r="I25" s="547"/>
      <c r="J25" s="547"/>
      <c r="K25" s="547"/>
      <c r="L25" s="547"/>
    </row>
    <row r="26" spans="1:18" x14ac:dyDescent="0.25">
      <c r="A26" s="195" t="s">
        <v>639</v>
      </c>
      <c r="C26" s="187"/>
      <c r="D26" s="187"/>
      <c r="E26" s="187"/>
      <c r="F26" s="187"/>
      <c r="G26" s="187"/>
      <c r="H26" s="187"/>
      <c r="I26" s="187"/>
      <c r="J26" s="187"/>
      <c r="K26" s="187"/>
      <c r="L26" s="187"/>
    </row>
    <row r="27" spans="1:18" x14ac:dyDescent="0.25">
      <c r="A27" s="196" t="s">
        <v>1031</v>
      </c>
      <c r="B27" s="196"/>
      <c r="C27" s="364">
        <v>0</v>
      </c>
      <c r="D27" s="364">
        <v>0</v>
      </c>
      <c r="E27" s="364">
        <v>0</v>
      </c>
      <c r="F27" s="364">
        <v>0</v>
      </c>
      <c r="G27" s="364">
        <v>0</v>
      </c>
      <c r="H27" s="364">
        <v>0</v>
      </c>
      <c r="I27" s="364">
        <v>0</v>
      </c>
      <c r="J27" s="364">
        <v>0</v>
      </c>
      <c r="K27" s="364">
        <v>0</v>
      </c>
      <c r="L27" s="364">
        <v>0</v>
      </c>
    </row>
    <row r="29" spans="1:18" x14ac:dyDescent="0.25">
      <c r="C29" s="366"/>
      <c r="D29" s="187"/>
    </row>
    <row r="30" spans="1:18" x14ac:dyDescent="0.25">
      <c r="C30" s="366"/>
      <c r="D30" s="187"/>
    </row>
    <row r="31" spans="1:18" x14ac:dyDescent="0.25">
      <c r="C31" s="19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K14"/>
  <sheetViews>
    <sheetView showGridLines="0" zoomScaleNormal="100" workbookViewId="0">
      <pane ySplit="6" topLeftCell="A7" activePane="bottomLeft" state="frozen"/>
      <selection activeCell="D9" sqref="D9"/>
      <selection pane="bottomLeft" activeCell="I14" sqref="I14"/>
    </sheetView>
  </sheetViews>
  <sheetFormatPr defaultColWidth="9" defaultRowHeight="11.25" x14ac:dyDescent="0.2"/>
  <cols>
    <col min="1" max="1" width="3.25" style="202" customWidth="1"/>
    <col min="2" max="2" width="24.25" style="202" bestFit="1" customWidth="1"/>
    <col min="3" max="3" width="9.5" style="202" bestFit="1" customWidth="1"/>
    <col min="4" max="4" width="3.75" style="202" customWidth="1"/>
    <col min="5" max="5" width="9" style="202"/>
    <col min="6" max="6" width="6.75" style="202" customWidth="1"/>
    <col min="7" max="7" width="3.625" style="202" bestFit="1" customWidth="1"/>
    <col min="8" max="8" width="9.5" style="202" bestFit="1" customWidth="1"/>
    <col min="9" max="9" width="18.625" style="202" bestFit="1" customWidth="1"/>
    <col min="10" max="10" width="8" style="202" bestFit="1" customWidth="1"/>
    <col min="11" max="11" width="6.625" style="202" customWidth="1"/>
    <col min="12" max="16384" width="9" style="202"/>
  </cols>
  <sheetData>
    <row r="1" spans="1:11" x14ac:dyDescent="0.2">
      <c r="A1" s="260" t="str">
        <f>Assumption!A1</f>
        <v>Bisnis Truk Thermoking</v>
      </c>
      <c r="B1" s="260"/>
      <c r="C1" s="260"/>
      <c r="D1" s="179"/>
    </row>
    <row r="2" spans="1:11" x14ac:dyDescent="0.2">
      <c r="A2" s="260" t="str">
        <f>Assumption!A2</f>
        <v>Financial Pre-Feasibility Study</v>
      </c>
      <c r="B2" s="260"/>
      <c r="C2" s="260"/>
      <c r="D2" s="179"/>
    </row>
    <row r="3" spans="1:11" x14ac:dyDescent="0.2">
      <c r="A3" s="261" t="s">
        <v>588</v>
      </c>
      <c r="B3" s="262"/>
      <c r="C3" s="262"/>
      <c r="D3" s="481"/>
    </row>
    <row r="6" spans="1:11" ht="29.1" customHeight="1" x14ac:dyDescent="0.2">
      <c r="A6" s="263" t="s">
        <v>591</v>
      </c>
      <c r="B6" s="263"/>
      <c r="C6" s="263"/>
      <c r="D6" s="263"/>
      <c r="F6" s="263" t="s">
        <v>592</v>
      </c>
      <c r="G6" s="264"/>
      <c r="H6" s="264"/>
      <c r="I6" s="264"/>
      <c r="J6" s="270" t="s">
        <v>521</v>
      </c>
      <c r="K6" s="265" t="s">
        <v>522</v>
      </c>
    </row>
    <row r="7" spans="1:11" x14ac:dyDescent="0.2">
      <c r="A7" s="210" t="s">
        <v>150</v>
      </c>
      <c r="B7" s="156" t="s">
        <v>589</v>
      </c>
      <c r="C7" s="272">
        <f>1900000000*Assumption!E7</f>
        <v>3800000000</v>
      </c>
      <c r="D7" s="156" t="s">
        <v>386</v>
      </c>
      <c r="F7" s="202" t="s">
        <v>752</v>
      </c>
      <c r="G7" s="223" t="s">
        <v>386</v>
      </c>
      <c r="H7" s="156">
        <f>C7-C10</f>
        <v>1140000000</v>
      </c>
      <c r="I7" s="465" t="s">
        <v>1152</v>
      </c>
      <c r="J7" s="202" t="s">
        <v>516</v>
      </c>
      <c r="K7" s="267">
        <v>1</v>
      </c>
    </row>
    <row r="8" spans="1:11" x14ac:dyDescent="0.2">
      <c r="A8" s="268" t="s">
        <v>151</v>
      </c>
      <c r="B8" s="269" t="s">
        <v>571</v>
      </c>
      <c r="C8" s="158">
        <f>WorkingCapital!J10</f>
        <v>700000000</v>
      </c>
      <c r="D8" s="269" t="s">
        <v>386</v>
      </c>
      <c r="G8" s="223" t="s">
        <v>386</v>
      </c>
      <c r="H8" s="156">
        <f>C8</f>
        <v>700000000</v>
      </c>
      <c r="I8" s="465" t="s">
        <v>753</v>
      </c>
      <c r="J8" s="266" t="s">
        <v>516</v>
      </c>
      <c r="K8" s="480">
        <v>1</v>
      </c>
    </row>
    <row r="9" spans="1:11" x14ac:dyDescent="0.2">
      <c r="A9" s="268" t="s">
        <v>152</v>
      </c>
      <c r="B9" s="202" t="s">
        <v>781</v>
      </c>
      <c r="C9" s="202">
        <v>70</v>
      </c>
      <c r="D9" s="202" t="s">
        <v>60</v>
      </c>
      <c r="F9" s="209"/>
      <c r="G9" s="466" t="s">
        <v>386</v>
      </c>
      <c r="H9" s="163">
        <f>SUM(H7:H8)</f>
        <v>1840000000</v>
      </c>
      <c r="I9" s="209"/>
      <c r="J9" s="209"/>
      <c r="K9" s="209"/>
    </row>
    <row r="10" spans="1:11" x14ac:dyDescent="0.2">
      <c r="C10" s="156">
        <f>C7*C9%</f>
        <v>2660000000</v>
      </c>
    </row>
    <row r="11" spans="1:11" x14ac:dyDescent="0.2">
      <c r="A11" s="268" t="s">
        <v>153</v>
      </c>
      <c r="B11" s="269" t="s">
        <v>590</v>
      </c>
      <c r="C11" s="158">
        <f>LoanInterest!L8</f>
        <v>323190000</v>
      </c>
      <c r="D11" s="269" t="s">
        <v>386</v>
      </c>
    </row>
    <row r="12" spans="1:11" x14ac:dyDescent="0.2">
      <c r="A12" s="209"/>
      <c r="B12" s="209"/>
      <c r="C12" s="209"/>
      <c r="D12" s="209"/>
    </row>
    <row r="14" spans="1:11" x14ac:dyDescent="0.2">
      <c r="C14" s="156"/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P26"/>
  <sheetViews>
    <sheetView showGridLines="0" topLeftCell="T1" zoomScaleNormal="100" workbookViewId="0">
      <pane ySplit="8" topLeftCell="A9" activePane="bottomLeft" state="frozen"/>
      <selection activeCell="D9" sqref="D9"/>
      <selection pane="bottomLeft" activeCell="J10" sqref="J10"/>
    </sheetView>
  </sheetViews>
  <sheetFormatPr defaultColWidth="9" defaultRowHeight="10.5" customHeight="1" x14ac:dyDescent="0.2"/>
  <cols>
    <col min="1" max="1" width="10.25" style="202" customWidth="1"/>
    <col min="2" max="2" width="6.25" style="202" customWidth="1"/>
    <col min="3" max="3" width="8.75" style="202" customWidth="1"/>
    <col min="4" max="4" width="9" style="202"/>
    <col min="5" max="5" width="5.125" style="202" customWidth="1"/>
    <col min="6" max="6" width="7.125" style="202" bestFit="1" customWidth="1"/>
    <col min="7" max="7" width="1.625" style="202" customWidth="1"/>
    <col min="8" max="8" width="12.25" style="202" customWidth="1"/>
    <col min="9" max="9" width="13.75" style="202" customWidth="1"/>
    <col min="10" max="10" width="11.625" style="202" bestFit="1" customWidth="1"/>
    <col min="11" max="11" width="12.75" style="202" customWidth="1"/>
    <col min="12" max="12" width="1.625" style="202" customWidth="1"/>
    <col min="13" max="13" width="9.5" style="202" bestFit="1" customWidth="1"/>
    <col min="14" max="14" width="8.375" style="202" bestFit="1" customWidth="1"/>
    <col min="15" max="15" width="9.5" style="202" bestFit="1" customWidth="1"/>
    <col min="16" max="16" width="10.25" style="202" customWidth="1"/>
    <col min="17" max="17" width="8.375" style="202" bestFit="1" customWidth="1"/>
    <col min="18" max="18" width="9.625" style="202" bestFit="1" customWidth="1"/>
    <col min="19" max="19" width="10.625" style="202" bestFit="1" customWidth="1"/>
    <col min="20" max="21" width="9" style="202"/>
    <col min="22" max="22" width="10.25" style="202" bestFit="1" customWidth="1"/>
    <col min="23" max="30" width="9" style="202"/>
    <col min="31" max="34" width="9.125" style="202" bestFit="1" customWidth="1"/>
    <col min="35" max="35" width="9.125" style="202" customWidth="1"/>
    <col min="36" max="36" width="9.125" style="202" bestFit="1" customWidth="1"/>
    <col min="37" max="40" width="9.125" style="202" customWidth="1"/>
    <col min="41" max="42" width="9.5" style="202" bestFit="1" customWidth="1"/>
    <col min="43" max="44" width="9.125" style="202" bestFit="1" customWidth="1"/>
    <col min="45" max="46" width="9.5" style="202" bestFit="1" customWidth="1"/>
    <col min="47" max="47" width="10.25" style="202" bestFit="1" customWidth="1"/>
    <col min="48" max="16384" width="9" style="202"/>
  </cols>
  <sheetData>
    <row r="1" spans="1:42" ht="11.25" x14ac:dyDescent="0.2">
      <c r="A1" s="201" t="str">
        <f>CashFlow!A1</f>
        <v>Bisnis Truk Thermoking</v>
      </c>
    </row>
    <row r="2" spans="1:42" ht="11.25" x14ac:dyDescent="0.2">
      <c r="A2" s="201" t="str">
        <f>CashFlow!A2</f>
        <v>Financial Pre-Feasibility Study</v>
      </c>
    </row>
    <row r="3" spans="1:42" ht="11.25" x14ac:dyDescent="0.2">
      <c r="A3" s="203" t="s">
        <v>593</v>
      </c>
    </row>
    <row r="6" spans="1:42" ht="10.5" customHeight="1" x14ac:dyDescent="0.2">
      <c r="E6" s="180" t="s">
        <v>601</v>
      </c>
    </row>
    <row r="7" spans="1:42" ht="10.5" customHeight="1" x14ac:dyDescent="0.25">
      <c r="A7" s="176" t="s">
        <v>600</v>
      </c>
      <c r="B7" s="177"/>
      <c r="C7" s="177"/>
      <c r="E7" s="795" t="s">
        <v>756</v>
      </c>
      <c r="F7" s="795" t="s">
        <v>594</v>
      </c>
      <c r="G7"/>
      <c r="H7" s="795" t="s">
        <v>596</v>
      </c>
      <c r="I7" s="795" t="s">
        <v>598</v>
      </c>
      <c r="J7" s="795" t="s">
        <v>681</v>
      </c>
      <c r="K7" s="795" t="s">
        <v>599</v>
      </c>
      <c r="L7" s="587"/>
      <c r="M7" s="796" t="s">
        <v>763</v>
      </c>
      <c r="N7" s="797"/>
      <c r="O7" s="797"/>
      <c r="P7" s="797"/>
      <c r="Q7" s="797"/>
      <c r="R7" s="798"/>
      <c r="S7" s="796" t="s">
        <v>1148</v>
      </c>
      <c r="T7" s="797"/>
      <c r="U7" s="797"/>
      <c r="V7" s="797"/>
      <c r="W7" s="797"/>
      <c r="X7" s="797"/>
      <c r="Y7" s="797"/>
      <c r="Z7" s="797"/>
      <c r="AA7" s="797"/>
      <c r="AB7" s="797"/>
      <c r="AC7" s="797"/>
      <c r="AD7" s="798"/>
      <c r="AE7" s="792" t="s">
        <v>734</v>
      </c>
      <c r="AF7" s="793"/>
      <c r="AG7" s="793"/>
      <c r="AH7" s="793"/>
      <c r="AI7" s="793"/>
      <c r="AJ7" s="794"/>
      <c r="AK7" s="748"/>
      <c r="AL7" s="748"/>
      <c r="AM7" s="748"/>
      <c r="AN7" s="748"/>
      <c r="AO7" s="790" t="s">
        <v>23</v>
      </c>
      <c r="AP7" s="790" t="s">
        <v>597</v>
      </c>
    </row>
    <row r="8" spans="1:42" ht="15.75" customHeight="1" x14ac:dyDescent="0.25">
      <c r="A8" s="177"/>
      <c r="B8" s="177"/>
      <c r="C8" s="177"/>
      <c r="E8" s="795"/>
      <c r="F8" s="795"/>
      <c r="G8"/>
      <c r="H8" s="795"/>
      <c r="I8" s="795"/>
      <c r="J8" s="795"/>
      <c r="K8" s="795"/>
      <c r="L8" s="587"/>
      <c r="M8" s="792"/>
      <c r="N8" s="793"/>
      <c r="O8" s="793"/>
      <c r="P8" s="793"/>
      <c r="Q8" s="793"/>
      <c r="R8" s="794"/>
      <c r="S8" s="792"/>
      <c r="T8" s="793"/>
      <c r="U8" s="793"/>
      <c r="V8" s="793"/>
      <c r="W8" s="793"/>
      <c r="X8" s="793"/>
      <c r="Y8" s="793"/>
      <c r="Z8" s="793"/>
      <c r="AA8" s="793"/>
      <c r="AB8" s="793"/>
      <c r="AC8" s="793"/>
      <c r="AD8" s="794"/>
      <c r="AE8" s="792"/>
      <c r="AF8" s="793"/>
      <c r="AG8" s="793"/>
      <c r="AH8" s="793"/>
      <c r="AI8" s="793"/>
      <c r="AJ8" s="794"/>
      <c r="AK8" s="748"/>
      <c r="AL8" s="748"/>
      <c r="AM8" s="748"/>
      <c r="AN8" s="748"/>
      <c r="AO8" s="791"/>
      <c r="AP8" s="791"/>
    </row>
    <row r="9" spans="1:42" ht="36.75" customHeight="1" x14ac:dyDescent="0.25">
      <c r="A9" s="202" t="s">
        <v>595</v>
      </c>
      <c r="E9" s="586"/>
      <c r="F9" s="586"/>
      <c r="G9"/>
      <c r="H9" s="586"/>
      <c r="I9" s="586"/>
      <c r="J9" s="586"/>
      <c r="K9" s="586"/>
      <c r="L9" s="587"/>
      <c r="M9" s="596" t="s">
        <v>1149</v>
      </c>
      <c r="N9" s="592" t="s">
        <v>1150</v>
      </c>
      <c r="O9" s="592" t="s">
        <v>1111</v>
      </c>
      <c r="P9" s="592" t="s">
        <v>1123</v>
      </c>
      <c r="Q9" s="592" t="s">
        <v>1109</v>
      </c>
      <c r="R9" s="592" t="s">
        <v>1268</v>
      </c>
      <c r="S9" s="603" t="s">
        <v>1131</v>
      </c>
      <c r="T9" s="595" t="s">
        <v>1132</v>
      </c>
      <c r="U9" s="595" t="s">
        <v>1133</v>
      </c>
      <c r="V9" s="595" t="s">
        <v>1134</v>
      </c>
      <c r="W9" s="595" t="s">
        <v>1135</v>
      </c>
      <c r="X9" s="595" t="s">
        <v>1212</v>
      </c>
      <c r="Y9" s="595" t="s">
        <v>1213</v>
      </c>
      <c r="Z9" s="595" t="s">
        <v>1136</v>
      </c>
      <c r="AA9" s="595" t="s">
        <v>1145</v>
      </c>
      <c r="AB9" s="595" t="s">
        <v>1144</v>
      </c>
      <c r="AC9" s="595" t="s">
        <v>1084</v>
      </c>
      <c r="AD9" s="597" t="s">
        <v>1268</v>
      </c>
      <c r="AE9" s="586" t="s">
        <v>1086</v>
      </c>
      <c r="AF9" s="586" t="s">
        <v>773</v>
      </c>
      <c r="AG9" s="586" t="s">
        <v>774</v>
      </c>
      <c r="AH9" s="586" t="s">
        <v>1261</v>
      </c>
      <c r="AI9" s="586" t="str">
        <f>'SG&amp;A'!B13</f>
        <v>Adm Leasing</v>
      </c>
      <c r="AJ9" s="597" t="s">
        <v>1268</v>
      </c>
      <c r="AK9" s="597" t="s">
        <v>1270</v>
      </c>
      <c r="AL9" s="597" t="s">
        <v>1271</v>
      </c>
      <c r="AM9" s="597" t="s">
        <v>1272</v>
      </c>
      <c r="AN9" s="597" t="s">
        <v>1268</v>
      </c>
      <c r="AO9" s="791"/>
      <c r="AP9" s="791"/>
    </row>
    <row r="10" spans="1:42" ht="10.5" customHeight="1" x14ac:dyDescent="0.25">
      <c r="A10" s="386" t="s">
        <v>755</v>
      </c>
      <c r="B10" s="386" t="s">
        <v>594</v>
      </c>
      <c r="C10" s="387" t="s">
        <v>386</v>
      </c>
      <c r="E10" s="273" t="s">
        <v>385</v>
      </c>
      <c r="F10" s="168" t="s">
        <v>373</v>
      </c>
      <c r="G10"/>
      <c r="H10" s="272">
        <v>0</v>
      </c>
      <c r="I10" s="156">
        <v>0</v>
      </c>
      <c r="J10" s="272">
        <v>700000000</v>
      </c>
      <c r="K10" s="156">
        <f>J10</f>
        <v>700000000</v>
      </c>
      <c r="L10" s="156"/>
      <c r="M10" s="608">
        <f>'Variable Cost'!N7/12</f>
        <v>33904800</v>
      </c>
      <c r="N10" s="609">
        <f>'Variable Cost'!O7/12</f>
        <v>34204000</v>
      </c>
      <c r="O10" s="609">
        <f>'Variable Cost'!P7/12</f>
        <v>40000000</v>
      </c>
      <c r="P10" s="609">
        <f>'Variable Cost'!Q7/12</f>
        <v>16400000</v>
      </c>
      <c r="Q10" s="609">
        <f>'Variable Cost'!R7/12</f>
        <v>8612000</v>
      </c>
      <c r="R10" s="610">
        <f>SUM(M10:Q10)</f>
        <v>133120800</v>
      </c>
      <c r="S10" s="593">
        <f>'OVH Expenses'!K7/12</f>
        <v>3000000</v>
      </c>
      <c r="T10" s="156">
        <f>'OVH Expenses'!L7/12</f>
        <v>2400000</v>
      </c>
      <c r="U10" s="156"/>
      <c r="V10" s="156"/>
      <c r="W10" s="156"/>
      <c r="X10" s="156"/>
      <c r="Y10" s="156"/>
      <c r="Z10" s="156">
        <f>'OVH Expenses'!R7/2</f>
        <v>400000</v>
      </c>
      <c r="AA10" s="156"/>
      <c r="AB10" s="156">
        <f>'OVH Expenses'!T7</f>
        <v>360000000</v>
      </c>
      <c r="AC10" s="156">
        <f>'OVH Expenses'!U7</f>
        <v>3600000</v>
      </c>
      <c r="AD10" s="604">
        <f t="shared" ref="AD10:AD21" si="0">SUM(S10:AC10)</f>
        <v>369400000</v>
      </c>
      <c r="AE10" s="156">
        <f>'SG&amp;A'!H7/12</f>
        <v>18416666.666666668</v>
      </c>
      <c r="AF10" s="156">
        <f>'SG&amp;A'!I10</f>
        <v>26530200</v>
      </c>
      <c r="AG10" s="156">
        <f>'SG&amp;A'!J7/12</f>
        <v>1000000</v>
      </c>
      <c r="AH10" s="156">
        <f>'SG&amp;A'!K7/12</f>
        <v>1000000</v>
      </c>
      <c r="AI10" s="156">
        <f>'SG&amp;A'!L7</f>
        <v>30000000</v>
      </c>
      <c r="AJ10" s="604">
        <f>SUM(AE10:AI10)</f>
        <v>76946866.666666672</v>
      </c>
      <c r="AK10" s="156"/>
      <c r="AL10" s="156">
        <f>LoanInterest!AC8</f>
        <v>29675625</v>
      </c>
      <c r="AM10" s="156">
        <f>LoanInterest!$J$8/12</f>
        <v>44333333.333333336</v>
      </c>
      <c r="AN10" s="750">
        <f>SUM(AK10:AM10)</f>
        <v>74008958.333333343</v>
      </c>
      <c r="AO10" s="729">
        <f>R10+AD10+AJ10+AN10</f>
        <v>653476625</v>
      </c>
      <c r="AP10" s="612">
        <f>K10-R10-AD10-AJ10-AN10</f>
        <v>46523374.999999985</v>
      </c>
    </row>
    <row r="11" spans="1:42" ht="10.5" customHeight="1" x14ac:dyDescent="0.25">
      <c r="A11" s="273" t="s">
        <v>385</v>
      </c>
      <c r="B11" s="202" t="s">
        <v>373</v>
      </c>
      <c r="C11" s="156">
        <f>J9</f>
        <v>0</v>
      </c>
      <c r="E11" s="223"/>
      <c r="F11" s="168" t="s">
        <v>374</v>
      </c>
      <c r="G11"/>
      <c r="H11" s="156">
        <f>AP10</f>
        <v>46523374.999999985</v>
      </c>
      <c r="I11" s="156">
        <f>Revenue!H8/12</f>
        <v>288000000</v>
      </c>
      <c r="J11" s="272"/>
      <c r="K11" s="156">
        <f>H11+I11</f>
        <v>334523375</v>
      </c>
      <c r="L11" s="156"/>
      <c r="M11" s="598">
        <f t="shared" ref="M11:M21" si="1">M10</f>
        <v>33904800</v>
      </c>
      <c r="N11" s="157">
        <f t="shared" ref="N11:N21" si="2">N10</f>
        <v>34204000</v>
      </c>
      <c r="O11" s="157">
        <f t="shared" ref="O11:O21" si="3">O10</f>
        <v>40000000</v>
      </c>
      <c r="P11" s="157">
        <f t="shared" ref="P11:P21" si="4">P10</f>
        <v>16400000</v>
      </c>
      <c r="Q11" s="157">
        <f t="shared" ref="Q11:Q21" si="5">Q10</f>
        <v>8612000</v>
      </c>
      <c r="R11" s="599">
        <f t="shared" ref="R11:R21" si="6">SUM(M11:Q11)</f>
        <v>133120800</v>
      </c>
      <c r="S11" s="593">
        <f t="shared" ref="S11:S21" si="7">S10</f>
        <v>3000000</v>
      </c>
      <c r="T11" s="156">
        <f t="shared" ref="T11:T21" si="8">T10</f>
        <v>2400000</v>
      </c>
      <c r="U11" s="156"/>
      <c r="V11" s="156">
        <f>'OVH Expenses'!N7/6</f>
        <v>5200000</v>
      </c>
      <c r="W11" s="156">
        <f>'OVH Expenses'!O7/6</f>
        <v>16000000</v>
      </c>
      <c r="X11" s="156"/>
      <c r="Y11" s="156">
        <f>'OVH Expenses'!Q7/6</f>
        <v>300000</v>
      </c>
      <c r="Z11" s="156"/>
      <c r="AA11" s="156"/>
      <c r="AB11" s="156"/>
      <c r="AC11" s="156"/>
      <c r="AD11" s="604">
        <f t="shared" si="0"/>
        <v>26900000</v>
      </c>
      <c r="AE11" s="156">
        <f t="shared" ref="AE11:AE21" si="9">AE10</f>
        <v>18416666.666666668</v>
      </c>
      <c r="AF11" s="156"/>
      <c r="AG11" s="156">
        <f t="shared" ref="AG11:AG21" si="10">AG10</f>
        <v>1000000</v>
      </c>
      <c r="AH11" s="156">
        <f t="shared" ref="AH11:AH21" si="11">AH10</f>
        <v>1000000</v>
      </c>
      <c r="AI11" s="156"/>
      <c r="AJ11" s="604">
        <f t="shared" ref="AJ11:AJ21" si="12">SUM(AE11:AH11)</f>
        <v>20416666.666666668</v>
      </c>
      <c r="AK11" s="156"/>
      <c r="AL11" s="156">
        <f>LoanInterest!AC9</f>
        <v>29176875.000000004</v>
      </c>
      <c r="AM11" s="156">
        <f>LoanInterest!$J$8/12</f>
        <v>44333333.333333336</v>
      </c>
      <c r="AN11" s="604">
        <f t="shared" ref="AN11:AN21" si="13">SUM(AK11:AM11)</f>
        <v>73510208.333333343</v>
      </c>
      <c r="AO11" s="729">
        <f t="shared" ref="AO11:AO21" si="14">R11+AD11+AJ11+AN11</f>
        <v>253947675</v>
      </c>
      <c r="AP11" s="612">
        <f t="shared" ref="AP11:AP21" si="15">K11-R11-AD11-AJ11-AN11</f>
        <v>80575700</v>
      </c>
    </row>
    <row r="12" spans="1:42" ht="10.5" customHeight="1" x14ac:dyDescent="0.25">
      <c r="E12"/>
      <c r="F12" s="168" t="s">
        <v>375</v>
      </c>
      <c r="G12"/>
      <c r="H12" s="156">
        <f>AP11</f>
        <v>80575700</v>
      </c>
      <c r="I12" s="156">
        <f t="shared" ref="I12:I21" si="16">I11</f>
        <v>288000000</v>
      </c>
      <c r="J12" s="272"/>
      <c r="K12" s="156">
        <f>H12+I12</f>
        <v>368575700</v>
      </c>
      <c r="L12" s="156"/>
      <c r="M12" s="598">
        <f t="shared" si="1"/>
        <v>33904800</v>
      </c>
      <c r="N12" s="157">
        <f t="shared" si="2"/>
        <v>34204000</v>
      </c>
      <c r="O12" s="157">
        <f t="shared" si="3"/>
        <v>40000000</v>
      </c>
      <c r="P12" s="157">
        <f t="shared" si="4"/>
        <v>16400000</v>
      </c>
      <c r="Q12" s="157">
        <f t="shared" si="5"/>
        <v>8612000</v>
      </c>
      <c r="R12" s="599">
        <f t="shared" si="6"/>
        <v>133120800</v>
      </c>
      <c r="S12" s="593">
        <f t="shared" si="7"/>
        <v>3000000</v>
      </c>
      <c r="T12" s="156">
        <f t="shared" si="8"/>
        <v>2400000</v>
      </c>
      <c r="U12" s="156"/>
      <c r="V12" s="156"/>
      <c r="W12" s="156"/>
      <c r="X12" s="156">
        <f>'OVH Expenses'!P7/4</f>
        <v>300000</v>
      </c>
      <c r="Y12" s="156"/>
      <c r="Z12" s="156"/>
      <c r="AA12" s="156"/>
      <c r="AB12" s="156"/>
      <c r="AC12" s="156"/>
      <c r="AD12" s="604">
        <f t="shared" si="0"/>
        <v>5700000</v>
      </c>
      <c r="AE12" s="156">
        <f t="shared" si="9"/>
        <v>18416666.666666668</v>
      </c>
      <c r="AF12" s="156"/>
      <c r="AG12" s="156">
        <f t="shared" si="10"/>
        <v>1000000</v>
      </c>
      <c r="AH12" s="156">
        <f t="shared" si="11"/>
        <v>1000000</v>
      </c>
      <c r="AI12" s="156"/>
      <c r="AJ12" s="604">
        <f t="shared" si="12"/>
        <v>20416666.666666668</v>
      </c>
      <c r="AK12" s="156"/>
      <c r="AL12" s="156">
        <f>LoanInterest!AC10</f>
        <v>28678124.999999996</v>
      </c>
      <c r="AM12" s="156">
        <f>LoanInterest!$J$8/12</f>
        <v>44333333.333333336</v>
      </c>
      <c r="AN12" s="604">
        <f t="shared" si="13"/>
        <v>73011458.333333328</v>
      </c>
      <c r="AO12" s="729">
        <f t="shared" si="14"/>
        <v>232248925</v>
      </c>
      <c r="AP12" s="612">
        <f t="shared" si="15"/>
        <v>136326775</v>
      </c>
    </row>
    <row r="13" spans="1:42" ht="10.5" customHeight="1" x14ac:dyDescent="0.25">
      <c r="E13"/>
      <c r="F13" s="168" t="s">
        <v>376</v>
      </c>
      <c r="G13"/>
      <c r="H13" s="156">
        <f>AP12</f>
        <v>136326775</v>
      </c>
      <c r="I13" s="156">
        <f t="shared" si="16"/>
        <v>288000000</v>
      </c>
      <c r="J13" s="272"/>
      <c r="K13" s="156">
        <f t="shared" ref="K13:K21" si="17">H13+I13</f>
        <v>424326775</v>
      </c>
      <c r="L13" s="156"/>
      <c r="M13" s="598">
        <f t="shared" si="1"/>
        <v>33904800</v>
      </c>
      <c r="N13" s="157">
        <f t="shared" si="2"/>
        <v>34204000</v>
      </c>
      <c r="O13" s="157">
        <f t="shared" si="3"/>
        <v>40000000</v>
      </c>
      <c r="P13" s="157">
        <f t="shared" si="4"/>
        <v>16400000</v>
      </c>
      <c r="Q13" s="157">
        <f t="shared" si="5"/>
        <v>8612000</v>
      </c>
      <c r="R13" s="599">
        <f t="shared" si="6"/>
        <v>133120800</v>
      </c>
      <c r="S13" s="593">
        <f t="shared" si="7"/>
        <v>3000000</v>
      </c>
      <c r="T13" s="156">
        <f t="shared" si="8"/>
        <v>2400000</v>
      </c>
      <c r="U13" s="156"/>
      <c r="V13" s="156">
        <f>V11</f>
        <v>5200000</v>
      </c>
      <c r="W13" s="156">
        <f>W11</f>
        <v>16000000</v>
      </c>
      <c r="X13" s="156"/>
      <c r="Y13" s="156">
        <f>'OVH Expenses'!Q7/6</f>
        <v>300000</v>
      </c>
      <c r="Z13" s="156"/>
      <c r="AA13" s="156"/>
      <c r="AB13" s="156"/>
      <c r="AC13" s="156"/>
      <c r="AD13" s="604">
        <f t="shared" si="0"/>
        <v>26900000</v>
      </c>
      <c r="AE13" s="156">
        <f t="shared" si="9"/>
        <v>18416666.666666668</v>
      </c>
      <c r="AF13" s="156"/>
      <c r="AG13" s="156">
        <f t="shared" si="10"/>
        <v>1000000</v>
      </c>
      <c r="AH13" s="156">
        <f t="shared" si="11"/>
        <v>1000000</v>
      </c>
      <c r="AI13" s="156"/>
      <c r="AJ13" s="604">
        <f t="shared" si="12"/>
        <v>20416666.666666668</v>
      </c>
      <c r="AK13" s="156"/>
      <c r="AL13" s="156">
        <f>LoanInterest!AC11</f>
        <v>28179375</v>
      </c>
      <c r="AM13" s="156">
        <f>LoanInterest!$J$8/12</f>
        <v>44333333.333333336</v>
      </c>
      <c r="AN13" s="604">
        <f t="shared" si="13"/>
        <v>72512708.333333343</v>
      </c>
      <c r="AO13" s="729">
        <f t="shared" si="14"/>
        <v>252950175</v>
      </c>
      <c r="AP13" s="612">
        <f t="shared" si="15"/>
        <v>171376600</v>
      </c>
    </row>
    <row r="14" spans="1:42" ht="10.5" customHeight="1" x14ac:dyDescent="0.25">
      <c r="E14"/>
      <c r="F14" s="168" t="s">
        <v>377</v>
      </c>
      <c r="G14"/>
      <c r="H14" s="156">
        <f t="shared" ref="H14:H21" si="18">AP13</f>
        <v>171376600</v>
      </c>
      <c r="I14" s="156">
        <f t="shared" si="16"/>
        <v>288000000</v>
      </c>
      <c r="J14" s="272"/>
      <c r="K14" s="156">
        <f t="shared" si="17"/>
        <v>459376600</v>
      </c>
      <c r="L14" s="156"/>
      <c r="M14" s="598">
        <f t="shared" si="1"/>
        <v>33904800</v>
      </c>
      <c r="N14" s="157">
        <f t="shared" si="2"/>
        <v>34204000</v>
      </c>
      <c r="O14" s="157">
        <f t="shared" si="3"/>
        <v>40000000</v>
      </c>
      <c r="P14" s="157">
        <f t="shared" si="4"/>
        <v>16400000</v>
      </c>
      <c r="Q14" s="157">
        <f t="shared" si="5"/>
        <v>8612000</v>
      </c>
      <c r="R14" s="599">
        <f t="shared" si="6"/>
        <v>133120800</v>
      </c>
      <c r="S14" s="593">
        <f t="shared" si="7"/>
        <v>3000000</v>
      </c>
      <c r="T14" s="156">
        <f t="shared" si="8"/>
        <v>2400000</v>
      </c>
      <c r="U14" s="156"/>
      <c r="V14" s="156"/>
      <c r="W14" s="156"/>
      <c r="X14" s="156"/>
      <c r="Y14" s="156"/>
      <c r="Z14" s="156"/>
      <c r="AA14" s="156"/>
      <c r="AB14" s="156"/>
      <c r="AC14" s="156"/>
      <c r="AD14" s="604">
        <f t="shared" si="0"/>
        <v>5400000</v>
      </c>
      <c r="AE14" s="156">
        <f t="shared" si="9"/>
        <v>18416666.666666668</v>
      </c>
      <c r="AF14" s="156"/>
      <c r="AG14" s="156">
        <f t="shared" si="10"/>
        <v>1000000</v>
      </c>
      <c r="AH14" s="156">
        <f t="shared" si="11"/>
        <v>1000000</v>
      </c>
      <c r="AI14" s="156"/>
      <c r="AJ14" s="604">
        <f t="shared" si="12"/>
        <v>20416666.666666668</v>
      </c>
      <c r="AK14" s="156"/>
      <c r="AL14" s="156">
        <f>LoanInterest!AC12</f>
        <v>27680624.999999993</v>
      </c>
      <c r="AM14" s="156">
        <f>LoanInterest!$J$8/12</f>
        <v>44333333.333333336</v>
      </c>
      <c r="AN14" s="604">
        <f t="shared" si="13"/>
        <v>72013958.333333328</v>
      </c>
      <c r="AO14" s="729">
        <f t="shared" si="14"/>
        <v>230951425</v>
      </c>
      <c r="AP14" s="612">
        <f t="shared" si="15"/>
        <v>228425175</v>
      </c>
    </row>
    <row r="15" spans="1:42" ht="10.5" customHeight="1" x14ac:dyDescent="0.25">
      <c r="E15"/>
      <c r="F15" s="168" t="s">
        <v>378</v>
      </c>
      <c r="G15"/>
      <c r="H15" s="156">
        <f t="shared" si="18"/>
        <v>228425175</v>
      </c>
      <c r="I15" s="156">
        <f t="shared" si="16"/>
        <v>288000000</v>
      </c>
      <c r="J15" s="272"/>
      <c r="K15" s="156">
        <f t="shared" si="17"/>
        <v>516425175</v>
      </c>
      <c r="L15" s="156"/>
      <c r="M15" s="598">
        <f t="shared" si="1"/>
        <v>33904800</v>
      </c>
      <c r="N15" s="157">
        <f t="shared" si="2"/>
        <v>34204000</v>
      </c>
      <c r="O15" s="157">
        <f t="shared" si="3"/>
        <v>40000000</v>
      </c>
      <c r="P15" s="157">
        <f t="shared" si="4"/>
        <v>16400000</v>
      </c>
      <c r="Q15" s="157">
        <f t="shared" si="5"/>
        <v>8612000</v>
      </c>
      <c r="R15" s="599">
        <f t="shared" si="6"/>
        <v>133120800</v>
      </c>
      <c r="S15" s="593">
        <f t="shared" si="7"/>
        <v>3000000</v>
      </c>
      <c r="T15" s="156">
        <f t="shared" si="8"/>
        <v>2400000</v>
      </c>
      <c r="U15" s="156">
        <f>'OVH Expenses'!M7/2</f>
        <v>72500000</v>
      </c>
      <c r="V15" s="156">
        <f>V13</f>
        <v>5200000</v>
      </c>
      <c r="W15" s="156">
        <f>W13</f>
        <v>16000000</v>
      </c>
      <c r="X15" s="156">
        <f>'OVH Expenses'!P7/4</f>
        <v>300000</v>
      </c>
      <c r="Y15" s="156">
        <f>'OVH Expenses'!Q7/6</f>
        <v>300000</v>
      </c>
      <c r="AA15" s="156"/>
      <c r="AB15" s="156"/>
      <c r="AC15" s="156"/>
      <c r="AD15" s="604">
        <f t="shared" si="0"/>
        <v>99700000</v>
      </c>
      <c r="AE15" s="156">
        <f t="shared" si="9"/>
        <v>18416666.666666668</v>
      </c>
      <c r="AF15" s="156"/>
      <c r="AG15" s="156">
        <f t="shared" si="10"/>
        <v>1000000</v>
      </c>
      <c r="AH15" s="156">
        <f t="shared" si="11"/>
        <v>1000000</v>
      </c>
      <c r="AI15" s="156"/>
      <c r="AJ15" s="604">
        <f t="shared" si="12"/>
        <v>20416666.666666668</v>
      </c>
      <c r="AK15" s="156"/>
      <c r="AL15" s="156">
        <f>LoanInterest!AC13</f>
        <v>27181874.999999996</v>
      </c>
      <c r="AM15" s="156">
        <f>LoanInterest!$J$8/12</f>
        <v>44333333.333333336</v>
      </c>
      <c r="AN15" s="604">
        <f t="shared" si="13"/>
        <v>71515208.333333328</v>
      </c>
      <c r="AO15" s="729">
        <f t="shared" si="14"/>
        <v>324752675</v>
      </c>
      <c r="AP15" s="612">
        <f t="shared" si="15"/>
        <v>191672500</v>
      </c>
    </row>
    <row r="16" spans="1:42" ht="10.5" customHeight="1" x14ac:dyDescent="0.25">
      <c r="E16"/>
      <c r="F16" s="168" t="s">
        <v>379</v>
      </c>
      <c r="G16"/>
      <c r="H16" s="156">
        <f t="shared" si="18"/>
        <v>191672500</v>
      </c>
      <c r="I16" s="156">
        <f t="shared" si="16"/>
        <v>288000000</v>
      </c>
      <c r="J16" s="272"/>
      <c r="K16" s="156">
        <f t="shared" si="17"/>
        <v>479672500</v>
      </c>
      <c r="L16" s="156"/>
      <c r="M16" s="598">
        <f t="shared" si="1"/>
        <v>33904800</v>
      </c>
      <c r="N16" s="157">
        <f t="shared" si="2"/>
        <v>34204000</v>
      </c>
      <c r="O16" s="157">
        <f t="shared" si="3"/>
        <v>40000000</v>
      </c>
      <c r="P16" s="157">
        <f t="shared" si="4"/>
        <v>16400000</v>
      </c>
      <c r="Q16" s="157">
        <f t="shared" si="5"/>
        <v>8612000</v>
      </c>
      <c r="R16" s="599">
        <f t="shared" si="6"/>
        <v>133120800</v>
      </c>
      <c r="S16" s="593">
        <f t="shared" si="7"/>
        <v>3000000</v>
      </c>
      <c r="T16" s="156">
        <f t="shared" si="8"/>
        <v>2400000</v>
      </c>
      <c r="U16" s="156"/>
      <c r="V16" s="156"/>
      <c r="W16" s="156"/>
      <c r="X16" s="156"/>
      <c r="Y16" s="156"/>
      <c r="Z16" s="156">
        <f>Z10</f>
        <v>400000</v>
      </c>
      <c r="AA16" s="156"/>
      <c r="AB16" s="156"/>
      <c r="AC16" s="156"/>
      <c r="AD16" s="604">
        <f t="shared" si="0"/>
        <v>5800000</v>
      </c>
      <c r="AE16" s="156">
        <f t="shared" si="9"/>
        <v>18416666.666666668</v>
      </c>
      <c r="AF16" s="156"/>
      <c r="AG16" s="156">
        <f t="shared" si="10"/>
        <v>1000000</v>
      </c>
      <c r="AH16" s="156">
        <f t="shared" si="11"/>
        <v>1000000</v>
      </c>
      <c r="AI16" s="156"/>
      <c r="AJ16" s="604">
        <f t="shared" si="12"/>
        <v>20416666.666666668</v>
      </c>
      <c r="AK16" s="156"/>
      <c r="AL16" s="156">
        <f>LoanInterest!AC14</f>
        <v>26683124.999999989</v>
      </c>
      <c r="AM16" s="156">
        <f>LoanInterest!$J$8/12</f>
        <v>44333333.333333336</v>
      </c>
      <c r="AN16" s="604">
        <f t="shared" si="13"/>
        <v>71016458.333333328</v>
      </c>
      <c r="AO16" s="729">
        <f t="shared" si="14"/>
        <v>230353925</v>
      </c>
      <c r="AP16" s="612">
        <f t="shared" si="15"/>
        <v>249318575</v>
      </c>
    </row>
    <row r="17" spans="5:42" ht="10.5" customHeight="1" x14ac:dyDescent="0.25">
      <c r="E17"/>
      <c r="F17" s="168" t="s">
        <v>380</v>
      </c>
      <c r="G17"/>
      <c r="H17" s="156">
        <f t="shared" si="18"/>
        <v>249318575</v>
      </c>
      <c r="I17" s="156">
        <f t="shared" si="16"/>
        <v>288000000</v>
      </c>
      <c r="J17" s="272"/>
      <c r="K17" s="156">
        <f t="shared" si="17"/>
        <v>537318575</v>
      </c>
      <c r="L17" s="156"/>
      <c r="M17" s="598">
        <f t="shared" si="1"/>
        <v>33904800</v>
      </c>
      <c r="N17" s="157">
        <f t="shared" si="2"/>
        <v>34204000</v>
      </c>
      <c r="O17" s="157">
        <f t="shared" si="3"/>
        <v>40000000</v>
      </c>
      <c r="P17" s="157">
        <f t="shared" si="4"/>
        <v>16400000</v>
      </c>
      <c r="Q17" s="157">
        <f t="shared" si="5"/>
        <v>8612000</v>
      </c>
      <c r="R17" s="599">
        <f t="shared" si="6"/>
        <v>133120800</v>
      </c>
      <c r="S17" s="593">
        <f t="shared" si="7"/>
        <v>3000000</v>
      </c>
      <c r="T17" s="156">
        <f t="shared" si="8"/>
        <v>2400000</v>
      </c>
      <c r="U17" s="156"/>
      <c r="V17" s="156">
        <f>V15</f>
        <v>5200000</v>
      </c>
      <c r="W17" s="156">
        <f>W15</f>
        <v>16000000</v>
      </c>
      <c r="X17" s="156"/>
      <c r="Y17" s="156">
        <f>'OVH Expenses'!Q7/6</f>
        <v>300000</v>
      </c>
      <c r="Z17" s="156"/>
      <c r="AA17" s="156"/>
      <c r="AB17" s="156"/>
      <c r="AC17" s="156"/>
      <c r="AD17" s="604">
        <f t="shared" si="0"/>
        <v>26900000</v>
      </c>
      <c r="AE17" s="156">
        <f t="shared" si="9"/>
        <v>18416666.666666668</v>
      </c>
      <c r="AF17" s="156"/>
      <c r="AG17" s="156">
        <f t="shared" si="10"/>
        <v>1000000</v>
      </c>
      <c r="AH17" s="156">
        <f t="shared" si="11"/>
        <v>1000000</v>
      </c>
      <c r="AI17" s="156"/>
      <c r="AJ17" s="604">
        <f t="shared" si="12"/>
        <v>20416666.666666668</v>
      </c>
      <c r="AK17" s="156"/>
      <c r="AL17" s="156">
        <f>LoanInterest!AC15</f>
        <v>26184374.999999993</v>
      </c>
      <c r="AM17" s="156">
        <f>LoanInterest!$J$8/12</f>
        <v>44333333.333333336</v>
      </c>
      <c r="AN17" s="604">
        <f t="shared" si="13"/>
        <v>70517708.333333328</v>
      </c>
      <c r="AO17" s="729">
        <f t="shared" si="14"/>
        <v>250955175</v>
      </c>
      <c r="AP17" s="612">
        <f t="shared" si="15"/>
        <v>286363400</v>
      </c>
    </row>
    <row r="18" spans="5:42" ht="10.5" customHeight="1" x14ac:dyDescent="0.25">
      <c r="E18"/>
      <c r="F18" s="168" t="s">
        <v>381</v>
      </c>
      <c r="G18"/>
      <c r="H18" s="156">
        <f t="shared" si="18"/>
        <v>286363400</v>
      </c>
      <c r="I18" s="156">
        <f t="shared" si="16"/>
        <v>288000000</v>
      </c>
      <c r="J18" s="272"/>
      <c r="K18" s="156">
        <f t="shared" si="17"/>
        <v>574363400</v>
      </c>
      <c r="L18" s="156"/>
      <c r="M18" s="598">
        <f t="shared" si="1"/>
        <v>33904800</v>
      </c>
      <c r="N18" s="157">
        <f t="shared" si="2"/>
        <v>34204000</v>
      </c>
      <c r="O18" s="157">
        <f t="shared" si="3"/>
        <v>40000000</v>
      </c>
      <c r="P18" s="157">
        <f t="shared" si="4"/>
        <v>16400000</v>
      </c>
      <c r="Q18" s="157">
        <f t="shared" si="5"/>
        <v>8612000</v>
      </c>
      <c r="R18" s="599">
        <f t="shared" si="6"/>
        <v>133120800</v>
      </c>
      <c r="S18" s="593">
        <f t="shared" si="7"/>
        <v>3000000</v>
      </c>
      <c r="T18" s="156">
        <f t="shared" si="8"/>
        <v>2400000</v>
      </c>
      <c r="U18" s="156"/>
      <c r="V18" s="156"/>
      <c r="X18" s="202">
        <f>'OVH Expenses'!P7/4</f>
        <v>300000</v>
      </c>
      <c r="Z18" s="156"/>
      <c r="AA18" s="156"/>
      <c r="AB18" s="156"/>
      <c r="AC18" s="156"/>
      <c r="AD18" s="604">
        <f t="shared" si="0"/>
        <v>5700000</v>
      </c>
      <c r="AE18" s="156">
        <f t="shared" si="9"/>
        <v>18416666.666666668</v>
      </c>
      <c r="AF18" s="156"/>
      <c r="AG18" s="156">
        <f t="shared" si="10"/>
        <v>1000000</v>
      </c>
      <c r="AH18" s="156">
        <f t="shared" si="11"/>
        <v>1000000</v>
      </c>
      <c r="AI18" s="156"/>
      <c r="AJ18" s="604">
        <f t="shared" si="12"/>
        <v>20416666.666666668</v>
      </c>
      <c r="AK18" s="156"/>
      <c r="AL18" s="156">
        <f>LoanInterest!AC16</f>
        <v>25685624.999999985</v>
      </c>
      <c r="AM18" s="156">
        <f>LoanInterest!$J$8/12</f>
        <v>44333333.333333336</v>
      </c>
      <c r="AN18" s="604">
        <f t="shared" si="13"/>
        <v>70018958.333333313</v>
      </c>
      <c r="AO18" s="729">
        <f t="shared" si="14"/>
        <v>229256424.99999997</v>
      </c>
      <c r="AP18" s="612">
        <f t="shared" si="15"/>
        <v>345106975</v>
      </c>
    </row>
    <row r="19" spans="5:42" ht="10.5" customHeight="1" x14ac:dyDescent="0.25">
      <c r="E19"/>
      <c r="F19" s="168" t="s">
        <v>382</v>
      </c>
      <c r="G19"/>
      <c r="H19" s="156">
        <f t="shared" si="18"/>
        <v>345106975</v>
      </c>
      <c r="I19" s="156">
        <f t="shared" si="16"/>
        <v>288000000</v>
      </c>
      <c r="J19" s="272"/>
      <c r="K19" s="156">
        <f t="shared" si="17"/>
        <v>633106975</v>
      </c>
      <c r="L19" s="156"/>
      <c r="M19" s="598">
        <f t="shared" si="1"/>
        <v>33904800</v>
      </c>
      <c r="N19" s="157">
        <f t="shared" si="2"/>
        <v>34204000</v>
      </c>
      <c r="O19" s="157">
        <f t="shared" si="3"/>
        <v>40000000</v>
      </c>
      <c r="P19" s="157">
        <f t="shared" si="4"/>
        <v>16400000</v>
      </c>
      <c r="Q19" s="157">
        <f t="shared" si="5"/>
        <v>8612000</v>
      </c>
      <c r="R19" s="599">
        <f t="shared" si="6"/>
        <v>133120800</v>
      </c>
      <c r="S19" s="593">
        <f t="shared" si="7"/>
        <v>3000000</v>
      </c>
      <c r="T19" s="156">
        <f t="shared" si="8"/>
        <v>2400000</v>
      </c>
      <c r="U19" s="156"/>
      <c r="V19" s="156">
        <f>V17</f>
        <v>5200000</v>
      </c>
      <c r="W19" s="156">
        <f>W17</f>
        <v>16000000</v>
      </c>
      <c r="X19" s="156"/>
      <c r="Y19" s="156">
        <f>'OVH Expenses'!Q7/6</f>
        <v>300000</v>
      </c>
      <c r="Z19" s="156"/>
      <c r="AA19" s="156"/>
      <c r="AB19" s="156"/>
      <c r="AC19" s="156"/>
      <c r="AD19" s="604">
        <f t="shared" si="0"/>
        <v>26900000</v>
      </c>
      <c r="AE19" s="156">
        <f t="shared" si="9"/>
        <v>18416666.666666668</v>
      </c>
      <c r="AF19" s="156"/>
      <c r="AG19" s="156">
        <f t="shared" si="10"/>
        <v>1000000</v>
      </c>
      <c r="AH19" s="156">
        <f t="shared" si="11"/>
        <v>1000000</v>
      </c>
      <c r="AI19" s="156"/>
      <c r="AJ19" s="604">
        <f t="shared" si="12"/>
        <v>20416666.666666668</v>
      </c>
      <c r="AK19" s="156"/>
      <c r="AL19" s="156">
        <f>LoanInterest!AC17</f>
        <v>25186874.999999989</v>
      </c>
      <c r="AM19" s="156">
        <f>LoanInterest!$J$8/12</f>
        <v>44333333.333333336</v>
      </c>
      <c r="AN19" s="604">
        <f t="shared" si="13"/>
        <v>69520208.333333328</v>
      </c>
      <c r="AO19" s="729">
        <f t="shared" si="14"/>
        <v>249957675</v>
      </c>
      <c r="AP19" s="612">
        <f t="shared" si="15"/>
        <v>383149300</v>
      </c>
    </row>
    <row r="20" spans="5:42" ht="10.5" customHeight="1" x14ac:dyDescent="0.25">
      <c r="E20"/>
      <c r="F20" s="168" t="s">
        <v>383</v>
      </c>
      <c r="G20"/>
      <c r="H20" s="156">
        <f t="shared" si="18"/>
        <v>383149300</v>
      </c>
      <c r="I20" s="156">
        <f t="shared" si="16"/>
        <v>288000000</v>
      </c>
      <c r="J20" s="272"/>
      <c r="K20" s="156">
        <f t="shared" si="17"/>
        <v>671149300</v>
      </c>
      <c r="L20" s="156"/>
      <c r="M20" s="598">
        <f t="shared" si="1"/>
        <v>33904800</v>
      </c>
      <c r="N20" s="157">
        <f t="shared" si="2"/>
        <v>34204000</v>
      </c>
      <c r="O20" s="157">
        <f t="shared" si="3"/>
        <v>40000000</v>
      </c>
      <c r="P20" s="157">
        <f t="shared" si="4"/>
        <v>16400000</v>
      </c>
      <c r="Q20" s="157">
        <f t="shared" si="5"/>
        <v>8612000</v>
      </c>
      <c r="R20" s="599">
        <f t="shared" si="6"/>
        <v>133120800</v>
      </c>
      <c r="S20" s="593">
        <f t="shared" si="7"/>
        <v>3000000</v>
      </c>
      <c r="T20" s="156">
        <f t="shared" si="8"/>
        <v>2400000</v>
      </c>
      <c r="U20" s="156"/>
      <c r="V20" s="156"/>
      <c r="W20" s="156"/>
      <c r="X20" s="156"/>
      <c r="Y20" s="156"/>
      <c r="Z20" s="156"/>
      <c r="AA20" s="156"/>
      <c r="AB20" s="156"/>
      <c r="AC20" s="156"/>
      <c r="AD20" s="604">
        <f t="shared" si="0"/>
        <v>5400000</v>
      </c>
      <c r="AE20" s="156">
        <f t="shared" si="9"/>
        <v>18416666.666666668</v>
      </c>
      <c r="AF20" s="156"/>
      <c r="AG20" s="156">
        <f t="shared" si="10"/>
        <v>1000000</v>
      </c>
      <c r="AH20" s="156">
        <f t="shared" si="11"/>
        <v>1000000</v>
      </c>
      <c r="AI20" s="156"/>
      <c r="AJ20" s="604">
        <f t="shared" si="12"/>
        <v>20416666.666666668</v>
      </c>
      <c r="AK20" s="156"/>
      <c r="AL20" s="156">
        <f>LoanInterest!AC18</f>
        <v>24688124.999999981</v>
      </c>
      <c r="AM20" s="156">
        <f>LoanInterest!$J$8/12</f>
        <v>44333333.333333336</v>
      </c>
      <c r="AN20" s="604">
        <f t="shared" si="13"/>
        <v>69021458.333333313</v>
      </c>
      <c r="AO20" s="729">
        <f t="shared" si="14"/>
        <v>227958924.99999997</v>
      </c>
      <c r="AP20" s="612">
        <f t="shared" si="15"/>
        <v>443190375</v>
      </c>
    </row>
    <row r="21" spans="5:42" ht="10.5" customHeight="1" x14ac:dyDescent="0.25">
      <c r="E21"/>
      <c r="F21" s="168" t="s">
        <v>384</v>
      </c>
      <c r="G21"/>
      <c r="H21" s="156">
        <f t="shared" si="18"/>
        <v>443190375</v>
      </c>
      <c r="I21" s="156">
        <f t="shared" si="16"/>
        <v>288000000</v>
      </c>
      <c r="J21" s="272"/>
      <c r="K21" s="156">
        <f t="shared" si="17"/>
        <v>731190375</v>
      </c>
      <c r="L21" s="156"/>
      <c r="M21" s="600">
        <f t="shared" si="1"/>
        <v>33904800</v>
      </c>
      <c r="N21" s="601">
        <f t="shared" si="2"/>
        <v>34204000</v>
      </c>
      <c r="O21" s="601">
        <f t="shared" si="3"/>
        <v>40000000</v>
      </c>
      <c r="P21" s="601">
        <f t="shared" si="4"/>
        <v>16400000</v>
      </c>
      <c r="Q21" s="601">
        <f t="shared" si="5"/>
        <v>8612000</v>
      </c>
      <c r="R21" s="602">
        <f t="shared" si="6"/>
        <v>133120800</v>
      </c>
      <c r="S21" s="605">
        <f t="shared" si="7"/>
        <v>3000000</v>
      </c>
      <c r="T21" s="591">
        <f t="shared" si="8"/>
        <v>2400000</v>
      </c>
      <c r="U21" s="591">
        <f>U15</f>
        <v>72500000</v>
      </c>
      <c r="V21" s="591">
        <f>V19</f>
        <v>5200000</v>
      </c>
      <c r="W21" s="591">
        <f>W19</f>
        <v>16000000</v>
      </c>
      <c r="X21" s="591">
        <f>'OVH Expenses'!P7/4</f>
        <v>300000</v>
      </c>
      <c r="Y21" s="591">
        <f>'OVH Expenses'!Q7/6</f>
        <v>300000</v>
      </c>
      <c r="AA21" s="591">
        <f>'OVH Expenses'!S7</f>
        <v>7000000</v>
      </c>
      <c r="AB21" s="591"/>
      <c r="AC21" s="591"/>
      <c r="AD21" s="604">
        <f t="shared" si="0"/>
        <v>106700000</v>
      </c>
      <c r="AE21" s="156">
        <f t="shared" si="9"/>
        <v>18416666.666666668</v>
      </c>
      <c r="AG21" s="156">
        <f t="shared" si="10"/>
        <v>1000000</v>
      </c>
      <c r="AH21" s="156">
        <f t="shared" si="11"/>
        <v>1000000</v>
      </c>
      <c r="AI21" s="156"/>
      <c r="AJ21" s="604">
        <f t="shared" si="12"/>
        <v>20416666.666666668</v>
      </c>
      <c r="AK21" s="605">
        <f>IncomeStatement!C25</f>
        <v>15835644</v>
      </c>
      <c r="AL21" s="156">
        <f>LoanInterest!AC19</f>
        <v>24189374.999999985</v>
      </c>
      <c r="AM21" s="156">
        <f>LoanInterest!$J$8/12</f>
        <v>44333333.333333336</v>
      </c>
      <c r="AN21" s="751">
        <f t="shared" si="13"/>
        <v>84358352.333333313</v>
      </c>
      <c r="AO21" s="729">
        <f t="shared" si="14"/>
        <v>344595819</v>
      </c>
      <c r="AP21" s="612">
        <f t="shared" si="15"/>
        <v>386594556</v>
      </c>
    </row>
    <row r="22" spans="5:42" ht="10.5" customHeight="1" x14ac:dyDescent="0.2">
      <c r="E22" s="588"/>
      <c r="F22" s="589"/>
      <c r="G22" s="589"/>
      <c r="H22" s="611">
        <f>SUM(H10:H21)</f>
        <v>2562028750</v>
      </c>
      <c r="I22" s="611">
        <f>SUM(I10:I21)</f>
        <v>3168000000</v>
      </c>
      <c r="J22" s="611">
        <f>SUM(J10:J21)</f>
        <v>700000000</v>
      </c>
      <c r="K22" s="594"/>
      <c r="L22" s="590"/>
      <c r="M22" s="594">
        <f t="shared" ref="M22:AP22" si="19">SUM(M10:M21)</f>
        <v>406857600</v>
      </c>
      <c r="N22" s="594">
        <f t="shared" si="19"/>
        <v>410448000</v>
      </c>
      <c r="O22" s="594">
        <f t="shared" si="19"/>
        <v>480000000</v>
      </c>
      <c r="P22" s="594">
        <f t="shared" si="19"/>
        <v>196800000</v>
      </c>
      <c r="Q22" s="594">
        <f t="shared" si="19"/>
        <v>103344000</v>
      </c>
      <c r="R22" s="594">
        <f t="shared" si="19"/>
        <v>1597449600</v>
      </c>
      <c r="S22" s="606">
        <f t="shared" si="19"/>
        <v>36000000</v>
      </c>
      <c r="T22" s="606">
        <f t="shared" si="19"/>
        <v>28800000</v>
      </c>
      <c r="U22" s="606">
        <f t="shared" si="19"/>
        <v>145000000</v>
      </c>
      <c r="V22" s="606">
        <f t="shared" si="19"/>
        <v>31200000</v>
      </c>
      <c r="W22" s="606">
        <f t="shared" si="19"/>
        <v>96000000</v>
      </c>
      <c r="X22" s="606">
        <f t="shared" si="19"/>
        <v>1200000</v>
      </c>
      <c r="Y22" s="606">
        <f t="shared" si="19"/>
        <v>1800000</v>
      </c>
      <c r="Z22" s="606">
        <f>SUM(Z10:Z20)</f>
        <v>800000</v>
      </c>
      <c r="AA22" s="606">
        <f t="shared" si="19"/>
        <v>7000000</v>
      </c>
      <c r="AB22" s="606">
        <f t="shared" si="19"/>
        <v>360000000</v>
      </c>
      <c r="AC22" s="607">
        <f t="shared" si="19"/>
        <v>3600000</v>
      </c>
      <c r="AD22" s="607">
        <f t="shared" si="19"/>
        <v>711400000</v>
      </c>
      <c r="AE22" s="606">
        <f t="shared" si="19"/>
        <v>220999999.99999997</v>
      </c>
      <c r="AF22" s="606">
        <f>SUM(AF10:AF20)</f>
        <v>26530200</v>
      </c>
      <c r="AG22" s="606">
        <f t="shared" si="19"/>
        <v>12000000</v>
      </c>
      <c r="AH22" s="606">
        <f t="shared" si="19"/>
        <v>12000000</v>
      </c>
      <c r="AI22" s="607">
        <f t="shared" si="19"/>
        <v>30000000</v>
      </c>
      <c r="AJ22" s="607">
        <f t="shared" si="19"/>
        <v>301530200</v>
      </c>
      <c r="AK22" s="606">
        <f t="shared" si="19"/>
        <v>15835644</v>
      </c>
      <c r="AL22" s="606">
        <f t="shared" si="19"/>
        <v>323190000</v>
      </c>
      <c r="AM22" s="606">
        <f t="shared" si="19"/>
        <v>531999999.99999994</v>
      </c>
      <c r="AN22" s="606">
        <f>SUM(AN10:AN21)</f>
        <v>871025644</v>
      </c>
      <c r="AO22" s="606">
        <f t="shared" si="19"/>
        <v>3481405444</v>
      </c>
      <c r="AP22" s="606">
        <f t="shared" si="19"/>
        <v>2948623306</v>
      </c>
    </row>
    <row r="23" spans="5:42" ht="10.5" customHeight="1" x14ac:dyDescent="0.2">
      <c r="Q23" s="156"/>
      <c r="R23" s="156"/>
    </row>
    <row r="26" spans="5:42" ht="10.5" customHeight="1" x14ac:dyDescent="0.2">
      <c r="AK26" s="156"/>
    </row>
  </sheetData>
  <mergeCells count="11">
    <mergeCell ref="AO7:AO9"/>
    <mergeCell ref="AP7:AP9"/>
    <mergeCell ref="AE7:AJ8"/>
    <mergeCell ref="E7:E8"/>
    <mergeCell ref="F7:F8"/>
    <mergeCell ref="I7:I8"/>
    <mergeCell ref="J7:J8"/>
    <mergeCell ref="H7:H8"/>
    <mergeCell ref="K7:K8"/>
    <mergeCell ref="M7:R8"/>
    <mergeCell ref="S7:AD8"/>
  </mergeCells>
  <pageMargins left="0.7" right="0.7" top="0.75" bottom="0.75" header="0.3" footer="0.3"/>
  <pageSetup paperSize="9" orientation="portrait" r:id="rId1"/>
  <ignoredErrors>
    <ignoredError sqref="R11:R21 AF22 Z22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BB34-7A0A-43B8-A5EA-3634ECA1238E}">
  <sheetPr>
    <tabColor theme="9" tint="0.39997558519241921"/>
  </sheetPr>
  <dimension ref="A1:P211"/>
  <sheetViews>
    <sheetView showGridLines="0" workbookViewId="0">
      <pane ySplit="6" topLeftCell="A17" activePane="bottomLeft" state="frozen"/>
      <selection pane="bottomLeft" activeCell="D45" sqref="D45"/>
    </sheetView>
  </sheetViews>
  <sheetFormatPr defaultColWidth="9" defaultRowHeight="11.25" x14ac:dyDescent="0.2"/>
  <cols>
    <col min="1" max="2" width="9" style="202"/>
    <col min="3" max="3" width="9.5" style="202" bestFit="1" customWidth="1"/>
    <col min="4" max="4" width="9" style="202"/>
    <col min="5" max="5" width="10.625" style="202" customWidth="1"/>
    <col min="6" max="7" width="9" style="202"/>
    <col min="8" max="8" width="18" style="202" bestFit="1" customWidth="1"/>
    <col min="9" max="9" width="8.75" style="202" bestFit="1" customWidth="1"/>
    <col min="10" max="10" width="9.125" style="202" bestFit="1" customWidth="1"/>
    <col min="11" max="11" width="13.125" style="202" bestFit="1" customWidth="1"/>
    <col min="12" max="12" width="12.25" style="202" bestFit="1" customWidth="1"/>
    <col min="13" max="13" width="11.5" style="202" bestFit="1" customWidth="1"/>
    <col min="14" max="14" width="9" style="202"/>
    <col min="15" max="15" width="20.25" style="202" customWidth="1"/>
    <col min="16" max="16384" width="9" style="202"/>
  </cols>
  <sheetData>
    <row r="1" spans="1:16" x14ac:dyDescent="0.2">
      <c r="A1" s="201" t="str">
        <f>WorkingCapital!A1</f>
        <v>Bisnis Truk Thermoking</v>
      </c>
    </row>
    <row r="2" spans="1:16" x14ac:dyDescent="0.2">
      <c r="A2" s="201" t="str">
        <f>[3]WorkingCapital!A2</f>
        <v>Financial Pre-Feasibility Study</v>
      </c>
    </row>
    <row r="3" spans="1:16" x14ac:dyDescent="0.2">
      <c r="A3" s="482" t="s">
        <v>679</v>
      </c>
    </row>
    <row r="4" spans="1:16" x14ac:dyDescent="0.2">
      <c r="A4" s="483"/>
    </row>
    <row r="6" spans="1:16" s="271" customFormat="1" ht="22.5" customHeight="1" x14ac:dyDescent="0.25">
      <c r="A6" s="263" t="s">
        <v>785</v>
      </c>
      <c r="B6" s="264"/>
      <c r="C6" s="264"/>
      <c r="D6" s="264"/>
      <c r="E6" s="264"/>
      <c r="H6" s="263" t="s">
        <v>786</v>
      </c>
      <c r="I6" s="263"/>
      <c r="J6" s="263"/>
      <c r="K6" s="263"/>
      <c r="L6" s="265" t="s">
        <v>787</v>
      </c>
      <c r="M6" s="484" t="s">
        <v>788</v>
      </c>
    </row>
    <row r="8" spans="1:16" ht="10.5" customHeight="1" x14ac:dyDescent="0.2">
      <c r="A8" s="202" t="s">
        <v>256</v>
      </c>
      <c r="B8" s="390" t="s">
        <v>414</v>
      </c>
      <c r="C8" s="223"/>
      <c r="D8" s="391"/>
      <c r="H8" s="485" t="s">
        <v>789</v>
      </c>
      <c r="I8" s="486" t="s">
        <v>790</v>
      </c>
      <c r="J8" s="487" t="s">
        <v>791</v>
      </c>
      <c r="K8" s="487" t="s">
        <v>792</v>
      </c>
      <c r="L8" s="488" t="s">
        <v>793</v>
      </c>
      <c r="M8" s="487" t="s">
        <v>794</v>
      </c>
      <c r="O8" s="489" t="s">
        <v>795</v>
      </c>
    </row>
    <row r="9" spans="1:16" ht="10.5" customHeight="1" x14ac:dyDescent="0.2">
      <c r="B9" s="390" t="s">
        <v>688</v>
      </c>
      <c r="H9" s="490" t="s">
        <v>796</v>
      </c>
      <c r="I9" s="491" t="s">
        <v>797</v>
      </c>
      <c r="J9" s="492">
        <v>5.3E-3</v>
      </c>
      <c r="K9" s="492">
        <v>7.4999999999999997E-3</v>
      </c>
      <c r="L9" s="493">
        <v>5.7500000000000002E-2</v>
      </c>
      <c r="M9" s="492">
        <v>0.15</v>
      </c>
      <c r="O9" s="202" t="s">
        <v>256</v>
      </c>
    </row>
    <row r="10" spans="1:16" ht="10.5" customHeight="1" x14ac:dyDescent="0.2">
      <c r="A10" s="202" t="s">
        <v>394</v>
      </c>
      <c r="B10" s="392"/>
      <c r="C10" s="223"/>
      <c r="D10" s="391"/>
      <c r="H10" s="490" t="s">
        <v>798</v>
      </c>
      <c r="I10" s="491" t="s">
        <v>799</v>
      </c>
      <c r="J10" s="492">
        <v>4.82E-2</v>
      </c>
      <c r="K10" s="492">
        <v>6.83E-2</v>
      </c>
      <c r="L10" s="493">
        <v>0.1183</v>
      </c>
      <c r="M10" s="492">
        <v>0.15</v>
      </c>
      <c r="O10" s="274" t="s">
        <v>800</v>
      </c>
    </row>
    <row r="11" spans="1:16" ht="10.5" customHeight="1" x14ac:dyDescent="0.2">
      <c r="A11" s="202" t="s">
        <v>398</v>
      </c>
      <c r="B11" s="393"/>
      <c r="C11" s="394"/>
      <c r="D11" s="395"/>
      <c r="E11" s="396"/>
      <c r="H11" s="490" t="s">
        <v>801</v>
      </c>
      <c r="I11" s="491" t="s">
        <v>802</v>
      </c>
      <c r="J11" s="492">
        <v>3.85E-2</v>
      </c>
      <c r="K11" s="492">
        <v>5.4600000000000003E-2</v>
      </c>
      <c r="L11" s="493">
        <v>0.1046</v>
      </c>
      <c r="M11" s="492">
        <v>0.26</v>
      </c>
    </row>
    <row r="12" spans="1:16" ht="10.5" customHeight="1" x14ac:dyDescent="0.2">
      <c r="A12" s="210" t="s">
        <v>395</v>
      </c>
      <c r="B12" s="397"/>
      <c r="C12" s="398"/>
      <c r="D12" s="399"/>
      <c r="E12" s="396"/>
      <c r="H12" s="490" t="s">
        <v>803</v>
      </c>
      <c r="I12" s="491" t="s">
        <v>804</v>
      </c>
      <c r="J12" s="492">
        <v>2.0400000000000001E-2</v>
      </c>
      <c r="K12" s="492">
        <v>2.8899999999999999E-2</v>
      </c>
      <c r="L12" s="493">
        <v>7.8899999999999998E-2</v>
      </c>
      <c r="M12" s="492">
        <v>0.1898</v>
      </c>
      <c r="O12" s="202" t="s">
        <v>805</v>
      </c>
    </row>
    <row r="13" spans="1:16" ht="10.5" customHeight="1" x14ac:dyDescent="0.2">
      <c r="A13" s="210" t="s">
        <v>396</v>
      </c>
      <c r="B13" s="397"/>
      <c r="C13" s="398"/>
      <c r="D13" s="399"/>
      <c r="E13" s="396"/>
      <c r="H13" s="490" t="s">
        <v>806</v>
      </c>
      <c r="I13" s="491" t="s">
        <v>807</v>
      </c>
      <c r="J13" s="492">
        <v>6.9500000000000006E-2</v>
      </c>
      <c r="K13" s="492">
        <v>9.8599999999999993E-2</v>
      </c>
      <c r="L13" s="493">
        <v>0.14860000000000001</v>
      </c>
      <c r="M13" s="492">
        <v>0.25</v>
      </c>
      <c r="O13" s="202" t="s">
        <v>808</v>
      </c>
    </row>
    <row r="14" spans="1:16" ht="10.5" customHeight="1" x14ac:dyDescent="0.2">
      <c r="A14" s="210" t="s">
        <v>397</v>
      </c>
      <c r="B14" s="400"/>
      <c r="C14" s="401"/>
      <c r="D14" s="401"/>
      <c r="E14" s="401"/>
      <c r="H14" s="490" t="s">
        <v>809</v>
      </c>
      <c r="I14" s="491" t="s">
        <v>810</v>
      </c>
      <c r="J14" s="492">
        <v>0.12839999999999999</v>
      </c>
      <c r="K14" s="492">
        <v>0.18210000000000001</v>
      </c>
      <c r="L14" s="493">
        <v>0.2321</v>
      </c>
      <c r="M14" s="492">
        <v>0.35</v>
      </c>
      <c r="O14" s="210" t="s">
        <v>811</v>
      </c>
      <c r="P14" s="494">
        <v>6.9500000000000006E-2</v>
      </c>
    </row>
    <row r="15" spans="1:16" ht="10.5" customHeight="1" x14ac:dyDescent="0.2">
      <c r="A15" s="210" t="s">
        <v>399</v>
      </c>
      <c r="B15" s="393"/>
      <c r="C15" s="394"/>
      <c r="D15" s="395"/>
      <c r="E15" s="396"/>
      <c r="H15" s="490" t="s">
        <v>812</v>
      </c>
      <c r="I15" s="491" t="s">
        <v>813</v>
      </c>
      <c r="J15" s="492">
        <v>3.85E-2</v>
      </c>
      <c r="K15" s="492">
        <v>5.4600000000000003E-2</v>
      </c>
      <c r="L15" s="493">
        <v>0.1046</v>
      </c>
      <c r="M15" s="492">
        <v>0.18</v>
      </c>
      <c r="O15" s="210" t="s">
        <v>814</v>
      </c>
      <c r="P15" s="202">
        <v>1.42</v>
      </c>
    </row>
    <row r="16" spans="1:16" ht="10.5" customHeight="1" x14ac:dyDescent="0.2">
      <c r="B16" s="393"/>
      <c r="C16" s="402"/>
      <c r="D16" s="402"/>
      <c r="E16" s="402"/>
      <c r="H16" s="490" t="s">
        <v>815</v>
      </c>
      <c r="I16" s="491" t="s">
        <v>804</v>
      </c>
      <c r="J16" s="492">
        <v>2.0400000000000001E-2</v>
      </c>
      <c r="K16" s="492">
        <v>2.8899999999999999E-2</v>
      </c>
      <c r="L16" s="493">
        <v>7.8899999999999998E-2</v>
      </c>
      <c r="M16" s="492">
        <v>0.25</v>
      </c>
      <c r="O16" s="210" t="s">
        <v>816</v>
      </c>
      <c r="P16" s="494">
        <v>0.05</v>
      </c>
    </row>
    <row r="17" spans="1:16" ht="10.5" customHeight="1" x14ac:dyDescent="0.2">
      <c r="A17" s="202" t="s">
        <v>400</v>
      </c>
      <c r="B17" s="393"/>
      <c r="C17" s="396"/>
      <c r="D17" s="396"/>
      <c r="E17" s="396"/>
      <c r="H17" s="490" t="s">
        <v>817</v>
      </c>
      <c r="I17" s="491" t="s">
        <v>818</v>
      </c>
      <c r="J17" s="492">
        <v>0</v>
      </c>
      <c r="K17" s="492">
        <v>0</v>
      </c>
      <c r="L17" s="493">
        <v>0.05</v>
      </c>
      <c r="M17" s="492">
        <v>0.3</v>
      </c>
      <c r="O17" s="202" t="s">
        <v>819</v>
      </c>
      <c r="P17" s="495">
        <f>(P14*P15+P16)</f>
        <v>0.14868999999999999</v>
      </c>
    </row>
    <row r="18" spans="1:16" ht="10.5" customHeight="1" x14ac:dyDescent="0.2">
      <c r="A18" s="274" t="s">
        <v>401</v>
      </c>
      <c r="B18" s="393"/>
      <c r="C18" s="396"/>
      <c r="D18" s="396"/>
      <c r="E18" s="396"/>
      <c r="H18" s="490" t="s">
        <v>820</v>
      </c>
      <c r="I18" s="491" t="s">
        <v>821</v>
      </c>
      <c r="J18" s="492">
        <v>4.3E-3</v>
      </c>
      <c r="K18" s="492">
        <v>6.1000000000000004E-3</v>
      </c>
      <c r="L18" s="493">
        <v>5.6099999999999997E-2</v>
      </c>
      <c r="M18" s="492">
        <v>0.24</v>
      </c>
    </row>
    <row r="19" spans="1:16" ht="10.5" customHeight="1" x14ac:dyDescent="0.2">
      <c r="A19" s="202" t="s">
        <v>257</v>
      </c>
      <c r="B19" s="403"/>
      <c r="C19" s="396"/>
      <c r="D19" s="396"/>
      <c r="E19" s="396"/>
      <c r="H19" s="490" t="s">
        <v>822</v>
      </c>
      <c r="I19" s="491" t="s">
        <v>823</v>
      </c>
      <c r="J19" s="492">
        <v>2.6800000000000001E-2</v>
      </c>
      <c r="K19" s="492">
        <v>3.7999999999999999E-2</v>
      </c>
      <c r="L19" s="493">
        <v>8.7999999999999995E-2</v>
      </c>
      <c r="M19" s="492">
        <v>0.2</v>
      </c>
    </row>
    <row r="20" spans="1:16" ht="10.5" customHeight="1" x14ac:dyDescent="0.2">
      <c r="A20" s="404" t="s">
        <v>404</v>
      </c>
      <c r="B20" s="403"/>
      <c r="C20" s="396"/>
      <c r="D20" s="396"/>
      <c r="E20" s="402"/>
      <c r="H20" s="490" t="s">
        <v>824</v>
      </c>
      <c r="I20" s="491" t="s">
        <v>799</v>
      </c>
      <c r="J20" s="492">
        <v>4.82E-2</v>
      </c>
      <c r="K20" s="492">
        <v>6.83E-2</v>
      </c>
      <c r="L20" s="493">
        <v>0.1183</v>
      </c>
      <c r="M20" s="492">
        <v>0</v>
      </c>
    </row>
    <row r="21" spans="1:16" ht="10.5" customHeight="1" x14ac:dyDescent="0.2">
      <c r="A21" s="202" t="s">
        <v>402</v>
      </c>
      <c r="B21" s="405"/>
      <c r="C21" s="396"/>
      <c r="D21" s="396"/>
      <c r="E21" s="402"/>
      <c r="H21" s="490" t="s">
        <v>825</v>
      </c>
      <c r="I21" s="491" t="s">
        <v>826</v>
      </c>
      <c r="J21" s="492">
        <v>5.8799999999999998E-2</v>
      </c>
      <c r="K21" s="492">
        <v>8.3500000000000005E-2</v>
      </c>
      <c r="L21" s="493">
        <v>0.13350000000000001</v>
      </c>
      <c r="M21" s="492">
        <v>0</v>
      </c>
    </row>
    <row r="22" spans="1:16" ht="10.5" customHeight="1" x14ac:dyDescent="0.2">
      <c r="A22" s="202" t="s">
        <v>403</v>
      </c>
      <c r="B22" s="405"/>
      <c r="C22" s="396"/>
      <c r="D22" s="396"/>
      <c r="E22" s="402"/>
      <c r="H22" s="490" t="s">
        <v>827</v>
      </c>
      <c r="I22" s="491" t="s">
        <v>799</v>
      </c>
      <c r="J22" s="492">
        <v>4.82E-2</v>
      </c>
      <c r="K22" s="492">
        <v>6.83E-2</v>
      </c>
      <c r="L22" s="493">
        <v>0.1183</v>
      </c>
      <c r="M22" s="492">
        <v>0.32500000000000001</v>
      </c>
    </row>
    <row r="23" spans="1:16" ht="10.5" customHeight="1" x14ac:dyDescent="0.2">
      <c r="A23" s="404" t="s">
        <v>405</v>
      </c>
      <c r="H23" s="490" t="s">
        <v>828</v>
      </c>
      <c r="I23" s="491" t="s">
        <v>829</v>
      </c>
      <c r="J23" s="492">
        <v>8.0199999999999994E-2</v>
      </c>
      <c r="K23" s="492">
        <v>0.1138</v>
      </c>
      <c r="L23" s="493">
        <v>0.1638</v>
      </c>
      <c r="M23" s="492">
        <v>5.5E-2</v>
      </c>
    </row>
    <row r="24" spans="1:16" ht="10.5" customHeight="1" x14ac:dyDescent="0.2">
      <c r="A24" s="202" t="s">
        <v>406</v>
      </c>
      <c r="H24" s="490" t="s">
        <v>830</v>
      </c>
      <c r="I24" s="491" t="s">
        <v>582</v>
      </c>
      <c r="J24" s="492">
        <v>0.17499999999999999</v>
      </c>
      <c r="K24" s="492">
        <v>0.2482</v>
      </c>
      <c r="L24" s="493">
        <v>0.29820000000000002</v>
      </c>
      <c r="M24" s="492">
        <v>0.18</v>
      </c>
    </row>
    <row r="25" spans="1:16" ht="10.5" customHeight="1" x14ac:dyDescent="0.2">
      <c r="A25" s="202" t="s">
        <v>407</v>
      </c>
      <c r="H25" s="490" t="s">
        <v>831</v>
      </c>
      <c r="I25" s="491" t="s">
        <v>832</v>
      </c>
      <c r="J25" s="492">
        <v>6.4000000000000003E-3</v>
      </c>
      <c r="K25" s="492">
        <v>9.1000000000000004E-3</v>
      </c>
      <c r="L25" s="493">
        <v>5.91E-2</v>
      </c>
      <c r="M25" s="492">
        <v>0.25</v>
      </c>
    </row>
    <row r="26" spans="1:16" ht="10.5" customHeight="1" x14ac:dyDescent="0.2">
      <c r="A26" s="202" t="s">
        <v>408</v>
      </c>
      <c r="H26" s="490" t="s">
        <v>833</v>
      </c>
      <c r="I26" s="491" t="s">
        <v>834</v>
      </c>
      <c r="J26" s="492">
        <v>9.6299999999999997E-2</v>
      </c>
      <c r="K26" s="492">
        <v>0.1366</v>
      </c>
      <c r="L26" s="493">
        <v>0.18659999999999999</v>
      </c>
      <c r="M26" s="492">
        <v>0.27179999999999999</v>
      </c>
    </row>
    <row r="27" spans="1:16" ht="10.5" customHeight="1" x14ac:dyDescent="0.2">
      <c r="A27" s="202" t="s">
        <v>409</v>
      </c>
      <c r="H27" s="490" t="s">
        <v>835</v>
      </c>
      <c r="I27" s="491" t="s">
        <v>799</v>
      </c>
      <c r="J27" s="492">
        <v>4.82E-2</v>
      </c>
      <c r="K27" s="492">
        <v>6.83E-2</v>
      </c>
      <c r="L27" s="493">
        <v>0.1183</v>
      </c>
      <c r="M27" s="492">
        <v>0.3</v>
      </c>
    </row>
    <row r="28" spans="1:16" ht="10.5" customHeight="1" x14ac:dyDescent="0.2">
      <c r="A28" s="202" t="s">
        <v>410</v>
      </c>
      <c r="H28" s="490" t="s">
        <v>836</v>
      </c>
      <c r="I28" s="491" t="s">
        <v>837</v>
      </c>
      <c r="J28" s="492">
        <v>9.1000000000000004E-3</v>
      </c>
      <c r="K28" s="492">
        <v>1.2800000000000001E-2</v>
      </c>
      <c r="L28" s="493">
        <v>6.2799999999999995E-2</v>
      </c>
      <c r="M28" s="492">
        <v>0</v>
      </c>
    </row>
    <row r="29" spans="1:16" ht="10.5" customHeight="1" x14ac:dyDescent="0.2">
      <c r="H29" s="490" t="s">
        <v>838</v>
      </c>
      <c r="I29" s="491" t="s">
        <v>829</v>
      </c>
      <c r="J29" s="492">
        <v>8.0199999999999994E-2</v>
      </c>
      <c r="K29" s="492">
        <v>0.1138</v>
      </c>
      <c r="L29" s="493">
        <v>0.1638</v>
      </c>
      <c r="M29" s="492">
        <v>0.25</v>
      </c>
    </row>
    <row r="30" spans="1:16" ht="10.5" customHeight="1" x14ac:dyDescent="0.2">
      <c r="A30" s="274" t="s">
        <v>689</v>
      </c>
      <c r="H30" s="490" t="s">
        <v>839</v>
      </c>
      <c r="I30" s="491" t="s">
        <v>807</v>
      </c>
      <c r="J30" s="492">
        <v>6.9500000000000006E-2</v>
      </c>
      <c r="K30" s="492">
        <v>9.8599999999999993E-2</v>
      </c>
      <c r="L30" s="493">
        <v>0.14860000000000001</v>
      </c>
      <c r="M30" s="492">
        <v>0.1</v>
      </c>
    </row>
    <row r="31" spans="1:16" ht="10.5" customHeight="1" x14ac:dyDescent="0.2">
      <c r="A31" s="496" t="s">
        <v>840</v>
      </c>
      <c r="B31" s="497"/>
      <c r="C31" s="498"/>
      <c r="H31" s="490" t="s">
        <v>841</v>
      </c>
      <c r="I31" s="491" t="s">
        <v>842</v>
      </c>
      <c r="J31" s="492">
        <v>1.2800000000000001E-2</v>
      </c>
      <c r="K31" s="492">
        <v>1.8200000000000001E-2</v>
      </c>
      <c r="L31" s="493">
        <v>6.8199999999999997E-2</v>
      </c>
      <c r="M31" s="492">
        <v>0.22</v>
      </c>
    </row>
    <row r="32" spans="1:16" ht="10.5" customHeight="1" x14ac:dyDescent="0.2">
      <c r="A32" s="499" t="s">
        <v>411</v>
      </c>
      <c r="B32" s="452"/>
      <c r="C32" s="500">
        <v>6.54E-2</v>
      </c>
      <c r="H32" s="490" t="s">
        <v>843</v>
      </c>
      <c r="I32" s="491" t="s">
        <v>844</v>
      </c>
      <c r="J32" s="492">
        <v>3.2199999999999999E-2</v>
      </c>
      <c r="K32" s="492">
        <v>4.5699999999999998E-2</v>
      </c>
      <c r="L32" s="493">
        <v>9.5699999999999993E-2</v>
      </c>
      <c r="M32" s="492">
        <v>0.34</v>
      </c>
    </row>
    <row r="33" spans="1:13" ht="10.5" customHeight="1" x14ac:dyDescent="0.2">
      <c r="A33" s="499" t="s">
        <v>412</v>
      </c>
      <c r="B33" s="452"/>
      <c r="C33" s="500">
        <v>3.5799999999999998E-2</v>
      </c>
      <c r="H33" s="490" t="s">
        <v>845</v>
      </c>
      <c r="I33" s="491" t="s">
        <v>802</v>
      </c>
      <c r="J33" s="492">
        <v>6.4000000000000003E-3</v>
      </c>
      <c r="K33" s="492">
        <v>9.1000000000000004E-3</v>
      </c>
      <c r="L33" s="493">
        <v>5.91E-2</v>
      </c>
      <c r="M33" s="492">
        <v>0.185</v>
      </c>
    </row>
    <row r="34" spans="1:13" ht="10.5" customHeight="1" x14ac:dyDescent="0.2">
      <c r="A34" s="501" t="s">
        <v>413</v>
      </c>
      <c r="B34" s="502"/>
      <c r="C34" s="503">
        <v>2.8899999999999999E-2</v>
      </c>
      <c r="H34" s="490" t="s">
        <v>846</v>
      </c>
      <c r="I34" s="491" t="s">
        <v>847</v>
      </c>
      <c r="J34" s="492">
        <v>1.7100000000000001E-2</v>
      </c>
      <c r="K34" s="492">
        <v>2.4299999999999999E-2</v>
      </c>
      <c r="L34" s="493">
        <v>7.4300000000000005E-2</v>
      </c>
      <c r="M34" s="492">
        <v>0.1</v>
      </c>
    </row>
    <row r="35" spans="1:13" x14ac:dyDescent="0.2">
      <c r="H35" s="490" t="s">
        <v>848</v>
      </c>
      <c r="I35" s="491" t="s">
        <v>829</v>
      </c>
      <c r="J35" s="492">
        <v>8.0199999999999994E-2</v>
      </c>
      <c r="K35" s="492">
        <v>0.1138</v>
      </c>
      <c r="L35" s="493">
        <v>0.1638</v>
      </c>
      <c r="M35" s="492">
        <v>0.28000000000000003</v>
      </c>
    </row>
    <row r="36" spans="1:13" ht="10.5" customHeight="1" x14ac:dyDescent="0.2">
      <c r="A36" s="504" t="s">
        <v>259</v>
      </c>
      <c r="B36" s="497" t="s">
        <v>260</v>
      </c>
      <c r="C36" s="497"/>
      <c r="D36" s="497"/>
      <c r="E36" s="498"/>
      <c r="H36" s="490" t="s">
        <v>849</v>
      </c>
      <c r="I36" s="491" t="s">
        <v>826</v>
      </c>
      <c r="J36" s="492">
        <v>5.8799999999999998E-2</v>
      </c>
      <c r="K36" s="492">
        <v>8.3500000000000005E-2</v>
      </c>
      <c r="L36" s="493">
        <v>0.13350000000000001</v>
      </c>
      <c r="M36" s="492">
        <v>0.2</v>
      </c>
    </row>
    <row r="37" spans="1:13" ht="10.5" customHeight="1" x14ac:dyDescent="0.2">
      <c r="A37" s="505"/>
      <c r="B37" s="452" t="s">
        <v>261</v>
      </c>
      <c r="C37" s="452"/>
      <c r="D37" s="506">
        <f>Assumption!E28/100</f>
        <v>0.7</v>
      </c>
      <c r="E37" s="507"/>
      <c r="H37" s="490" t="s">
        <v>850</v>
      </c>
      <c r="I37" s="491" t="s">
        <v>826</v>
      </c>
      <c r="J37" s="492">
        <v>5.8799999999999998E-2</v>
      </c>
      <c r="K37" s="492">
        <v>8.3500000000000005E-2</v>
      </c>
      <c r="L37" s="493">
        <v>0.13350000000000001</v>
      </c>
      <c r="M37" s="492">
        <v>0.33</v>
      </c>
    </row>
    <row r="38" spans="1:13" ht="10.5" customHeight="1" x14ac:dyDescent="0.2">
      <c r="A38" s="505"/>
      <c r="B38" s="452" t="s">
        <v>415</v>
      </c>
      <c r="C38" s="452"/>
      <c r="D38" s="506">
        <f>Assumption!E29/100</f>
        <v>0.3</v>
      </c>
      <c r="E38" s="507"/>
      <c r="H38" s="490" t="s">
        <v>851</v>
      </c>
      <c r="I38" s="491" t="s">
        <v>818</v>
      </c>
      <c r="J38" s="492">
        <v>0</v>
      </c>
      <c r="K38" s="492">
        <v>0</v>
      </c>
      <c r="L38" s="493">
        <v>0.05</v>
      </c>
      <c r="M38" s="492">
        <v>0.25</v>
      </c>
    </row>
    <row r="39" spans="1:13" ht="10.5" customHeight="1" x14ac:dyDescent="0.2">
      <c r="A39" s="505"/>
      <c r="B39" s="452" t="s">
        <v>262</v>
      </c>
      <c r="C39" s="452"/>
      <c r="D39" s="508">
        <f>Assumption!E30/100</f>
        <v>0.13500000000000001</v>
      </c>
      <c r="E39" s="507"/>
      <c r="H39" s="490" t="s">
        <v>852</v>
      </c>
      <c r="I39" s="491" t="s">
        <v>807</v>
      </c>
      <c r="J39" s="492">
        <v>6.9500000000000006E-2</v>
      </c>
      <c r="K39" s="492">
        <v>9.8599999999999993E-2</v>
      </c>
      <c r="L39" s="493">
        <v>0.14860000000000001</v>
      </c>
      <c r="M39" s="492">
        <v>0</v>
      </c>
    </row>
    <row r="40" spans="1:13" ht="10.5" customHeight="1" x14ac:dyDescent="0.2">
      <c r="A40" s="505"/>
      <c r="B40" s="452" t="s">
        <v>258</v>
      </c>
      <c r="C40" s="452"/>
      <c r="D40" s="508">
        <f>Assumption!E36/100</f>
        <v>0.11</v>
      </c>
      <c r="E40" s="507"/>
      <c r="H40" s="490" t="s">
        <v>853</v>
      </c>
      <c r="I40" s="491" t="s">
        <v>832</v>
      </c>
      <c r="J40" s="492">
        <v>6.4000000000000003E-3</v>
      </c>
      <c r="K40" s="492">
        <v>9.1000000000000004E-3</v>
      </c>
      <c r="L40" s="493">
        <v>5.91E-2</v>
      </c>
      <c r="M40" s="492">
        <v>0</v>
      </c>
    </row>
    <row r="41" spans="1:13" ht="10.5" customHeight="1" x14ac:dyDescent="0.2">
      <c r="A41" s="505"/>
      <c r="B41" s="452" t="s">
        <v>416</v>
      </c>
      <c r="C41" s="452"/>
      <c r="D41" s="509">
        <f>C32</f>
        <v>6.54E-2</v>
      </c>
      <c r="E41" s="510" t="s">
        <v>418</v>
      </c>
      <c r="H41" s="490" t="s">
        <v>854</v>
      </c>
      <c r="I41" s="491" t="s">
        <v>837</v>
      </c>
      <c r="J41" s="492">
        <v>9.1000000000000004E-3</v>
      </c>
      <c r="K41" s="492">
        <v>1.2800000000000001E-2</v>
      </c>
      <c r="L41" s="493">
        <v>6.2799999999999995E-2</v>
      </c>
      <c r="M41" s="492">
        <v>0.27</v>
      </c>
    </row>
    <row r="42" spans="1:13" ht="10.5" customHeight="1" x14ac:dyDescent="0.2">
      <c r="A42" s="505"/>
      <c r="B42" s="452" t="s">
        <v>417</v>
      </c>
      <c r="C42" s="452"/>
      <c r="D42" s="509">
        <f>C34</f>
        <v>2.8899999999999999E-2</v>
      </c>
      <c r="E42" s="510" t="s">
        <v>418</v>
      </c>
      <c r="H42" s="490" t="s">
        <v>855</v>
      </c>
      <c r="I42" s="491" t="s">
        <v>856</v>
      </c>
      <c r="J42" s="492">
        <v>7.4999999999999997E-3</v>
      </c>
      <c r="K42" s="492">
        <v>1.0699999999999999E-2</v>
      </c>
      <c r="L42" s="493">
        <v>6.0699999999999997E-2</v>
      </c>
      <c r="M42" s="492">
        <v>0.25</v>
      </c>
    </row>
    <row r="43" spans="1:13" ht="10.5" customHeight="1" x14ac:dyDescent="0.2">
      <c r="A43" s="505"/>
      <c r="B43" s="452" t="s">
        <v>419</v>
      </c>
      <c r="C43" s="452"/>
      <c r="D43" s="506">
        <f>D41+D42</f>
        <v>9.4299999999999995E-2</v>
      </c>
      <c r="E43" s="511" t="s">
        <v>511</v>
      </c>
      <c r="H43" s="490" t="s">
        <v>857</v>
      </c>
      <c r="I43" s="491" t="s">
        <v>804</v>
      </c>
      <c r="J43" s="492">
        <v>2.0400000000000001E-2</v>
      </c>
      <c r="K43" s="492">
        <v>2.8899999999999999E-2</v>
      </c>
      <c r="L43" s="493">
        <v>7.8899999999999998E-2</v>
      </c>
      <c r="M43" s="492">
        <v>0.35</v>
      </c>
    </row>
    <row r="44" spans="1:13" ht="10.5" customHeight="1" x14ac:dyDescent="0.2">
      <c r="A44" s="505"/>
      <c r="B44" s="452" t="s">
        <v>263</v>
      </c>
      <c r="C44" s="452"/>
      <c r="D44" s="512"/>
      <c r="E44" s="507"/>
      <c r="H44" s="490" t="s">
        <v>858</v>
      </c>
      <c r="I44" s="491" t="s">
        <v>807</v>
      </c>
      <c r="J44" s="492">
        <v>6.9500000000000006E-2</v>
      </c>
      <c r="K44" s="492">
        <v>9.8599999999999993E-2</v>
      </c>
      <c r="L44" s="493">
        <v>0.14860000000000001</v>
      </c>
      <c r="M44" s="492">
        <v>0.3</v>
      </c>
    </row>
    <row r="45" spans="1:13" ht="10.5" customHeight="1" x14ac:dyDescent="0.2">
      <c r="A45" s="513"/>
      <c r="B45" s="502" t="s">
        <v>251</v>
      </c>
      <c r="C45" s="502"/>
      <c r="D45" s="514">
        <f>ROUND((D38*D43)+(D37*D39*(1-D40)),2)</f>
        <v>0.11</v>
      </c>
      <c r="E45" s="515"/>
      <c r="H45" s="490" t="s">
        <v>859</v>
      </c>
      <c r="I45" s="491" t="s">
        <v>834</v>
      </c>
      <c r="J45" s="492">
        <v>9.6299999999999997E-2</v>
      </c>
      <c r="K45" s="492">
        <v>0.1366</v>
      </c>
      <c r="L45" s="493">
        <v>0.18659999999999999</v>
      </c>
      <c r="M45" s="492">
        <v>0.28000000000000003</v>
      </c>
    </row>
    <row r="46" spans="1:13" x14ac:dyDescent="0.2">
      <c r="H46" s="490" t="s">
        <v>860</v>
      </c>
      <c r="I46" s="491" t="s">
        <v>826</v>
      </c>
      <c r="J46" s="492">
        <v>5.8799999999999998E-2</v>
      </c>
      <c r="K46" s="492">
        <v>8.3500000000000005E-2</v>
      </c>
      <c r="L46" s="493">
        <v>0.13350000000000001</v>
      </c>
      <c r="M46" s="492">
        <v>0.2843</v>
      </c>
    </row>
    <row r="47" spans="1:13" x14ac:dyDescent="0.2">
      <c r="H47" s="490" t="s">
        <v>861</v>
      </c>
      <c r="I47" s="491" t="s">
        <v>826</v>
      </c>
      <c r="J47" s="492">
        <v>5.8799999999999998E-2</v>
      </c>
      <c r="K47" s="492">
        <v>8.3500000000000005E-2</v>
      </c>
      <c r="L47" s="493">
        <v>0.13350000000000001</v>
      </c>
      <c r="M47" s="492">
        <v>0.3</v>
      </c>
    </row>
    <row r="48" spans="1:13" x14ac:dyDescent="0.2">
      <c r="H48" s="490" t="s">
        <v>862</v>
      </c>
      <c r="I48" s="491" t="s">
        <v>813</v>
      </c>
      <c r="J48" s="492">
        <v>3.85E-2</v>
      </c>
      <c r="K48" s="492">
        <v>5.4600000000000003E-2</v>
      </c>
      <c r="L48" s="493">
        <v>0.1046</v>
      </c>
      <c r="M48" s="492">
        <v>0.25</v>
      </c>
    </row>
    <row r="49" spans="8:13" x14ac:dyDescent="0.2">
      <c r="H49" s="490" t="s">
        <v>863</v>
      </c>
      <c r="I49" s="491" t="s">
        <v>804</v>
      </c>
      <c r="J49" s="492">
        <v>2.0400000000000001E-2</v>
      </c>
      <c r="K49" s="492">
        <v>2.8899999999999999E-2</v>
      </c>
      <c r="L49" s="493">
        <v>7.8899999999999998E-2</v>
      </c>
      <c r="M49" s="492">
        <v>0.18</v>
      </c>
    </row>
    <row r="50" spans="8:13" x14ac:dyDescent="0.2">
      <c r="H50" s="490" t="s">
        <v>864</v>
      </c>
      <c r="I50" s="491" t="s">
        <v>810</v>
      </c>
      <c r="J50" s="492">
        <v>0.12839999999999999</v>
      </c>
      <c r="K50" s="492">
        <v>0.18210000000000001</v>
      </c>
      <c r="L50" s="493">
        <v>0.2321</v>
      </c>
      <c r="M50" s="492">
        <v>0.27179999999999999</v>
      </c>
    </row>
    <row r="51" spans="8:13" x14ac:dyDescent="0.2">
      <c r="H51" s="490" t="s">
        <v>865</v>
      </c>
      <c r="I51" s="491" t="s">
        <v>804</v>
      </c>
      <c r="J51" s="492">
        <v>2.0400000000000001E-2</v>
      </c>
      <c r="K51" s="492">
        <v>2.8899999999999999E-2</v>
      </c>
      <c r="L51" s="493">
        <v>7.8899999999999998E-2</v>
      </c>
      <c r="M51" s="492">
        <v>0.22</v>
      </c>
    </row>
    <row r="52" spans="8:13" x14ac:dyDescent="0.2">
      <c r="H52" s="490" t="s">
        <v>866</v>
      </c>
      <c r="I52" s="491" t="s">
        <v>823</v>
      </c>
      <c r="J52" s="492">
        <v>2.6800000000000001E-2</v>
      </c>
      <c r="K52" s="492">
        <v>3.7999999999999999E-2</v>
      </c>
      <c r="L52" s="493">
        <v>8.7999999999999995E-2</v>
      </c>
      <c r="M52" s="492">
        <v>0.125</v>
      </c>
    </row>
    <row r="53" spans="8:13" x14ac:dyDescent="0.2">
      <c r="H53" s="490" t="s">
        <v>867</v>
      </c>
      <c r="I53" s="491" t="s">
        <v>832</v>
      </c>
      <c r="J53" s="492">
        <v>6.4000000000000003E-3</v>
      </c>
      <c r="K53" s="492">
        <v>9.1000000000000004E-3</v>
      </c>
      <c r="L53" s="493">
        <v>5.91E-2</v>
      </c>
      <c r="M53" s="492">
        <v>0.19</v>
      </c>
    </row>
    <row r="54" spans="8:13" x14ac:dyDescent="0.2">
      <c r="H54" s="490" t="s">
        <v>868</v>
      </c>
      <c r="I54" s="491" t="s">
        <v>818</v>
      </c>
      <c r="J54" s="492">
        <v>0</v>
      </c>
      <c r="K54" s="492">
        <v>0</v>
      </c>
      <c r="L54" s="493">
        <v>0.05</v>
      </c>
      <c r="M54" s="492">
        <v>0.22</v>
      </c>
    </row>
    <row r="55" spans="8:13" x14ac:dyDescent="0.2">
      <c r="H55" s="490" t="s">
        <v>869</v>
      </c>
      <c r="I55" s="491" t="s">
        <v>813</v>
      </c>
      <c r="J55" s="492">
        <v>3.85E-2</v>
      </c>
      <c r="K55" s="492">
        <v>5.4600000000000003E-2</v>
      </c>
      <c r="L55" s="493">
        <v>0.1046</v>
      </c>
      <c r="M55" s="492">
        <v>0.27</v>
      </c>
    </row>
    <row r="56" spans="8:13" x14ac:dyDescent="0.2">
      <c r="H56" s="490" t="s">
        <v>870</v>
      </c>
      <c r="I56" s="491" t="s">
        <v>871</v>
      </c>
      <c r="J56" s="492">
        <v>0.107</v>
      </c>
      <c r="K56" s="492">
        <v>0.15179999999999999</v>
      </c>
      <c r="L56" s="493">
        <v>0.20180000000000001</v>
      </c>
      <c r="M56" s="492">
        <v>0.25</v>
      </c>
    </row>
    <row r="57" spans="8:13" x14ac:dyDescent="0.2">
      <c r="H57" s="490" t="s">
        <v>872</v>
      </c>
      <c r="I57" s="491" t="s">
        <v>807</v>
      </c>
      <c r="J57" s="492">
        <v>6.9500000000000006E-2</v>
      </c>
      <c r="K57" s="492">
        <v>9.8599999999999993E-2</v>
      </c>
      <c r="L57" s="493">
        <v>0.14860000000000001</v>
      </c>
      <c r="M57" s="492">
        <v>0.22500000000000001</v>
      </c>
    </row>
    <row r="58" spans="8:13" x14ac:dyDescent="0.2">
      <c r="H58" s="490" t="s">
        <v>873</v>
      </c>
      <c r="I58" s="491" t="s">
        <v>871</v>
      </c>
      <c r="J58" s="492">
        <v>0.107</v>
      </c>
      <c r="K58" s="492">
        <v>0.15179999999999999</v>
      </c>
      <c r="L58" s="493">
        <v>0.20180000000000001</v>
      </c>
      <c r="M58" s="492">
        <v>0.3</v>
      </c>
    </row>
    <row r="59" spans="8:13" x14ac:dyDescent="0.2">
      <c r="H59" s="490" t="s">
        <v>874</v>
      </c>
      <c r="I59" s="491" t="s">
        <v>856</v>
      </c>
      <c r="J59" s="492">
        <v>7.4999999999999997E-3</v>
      </c>
      <c r="K59" s="492">
        <v>1.0699999999999999E-2</v>
      </c>
      <c r="L59" s="493">
        <v>6.0699999999999997E-2</v>
      </c>
      <c r="M59" s="492">
        <v>0.2</v>
      </c>
    </row>
    <row r="60" spans="8:13" x14ac:dyDescent="0.2">
      <c r="H60" s="490" t="s">
        <v>875</v>
      </c>
      <c r="I60" s="491" t="s">
        <v>834</v>
      </c>
      <c r="J60" s="492">
        <v>9.6299999999999997E-2</v>
      </c>
      <c r="K60" s="492">
        <v>0.1366</v>
      </c>
      <c r="L60" s="493">
        <v>0.18659999999999999</v>
      </c>
      <c r="M60" s="492">
        <v>0.3</v>
      </c>
    </row>
    <row r="61" spans="8:13" x14ac:dyDescent="0.2">
      <c r="H61" s="490" t="s">
        <v>876</v>
      </c>
      <c r="I61" s="491" t="s">
        <v>799</v>
      </c>
      <c r="J61" s="492">
        <v>4.82E-2</v>
      </c>
      <c r="K61" s="492">
        <v>6.83E-2</v>
      </c>
      <c r="L61" s="493">
        <v>0.1183</v>
      </c>
      <c r="M61" s="492">
        <v>0.2</v>
      </c>
    </row>
    <row r="62" spans="8:13" x14ac:dyDescent="0.2">
      <c r="H62" s="490" t="s">
        <v>877</v>
      </c>
      <c r="I62" s="491" t="s">
        <v>821</v>
      </c>
      <c r="J62" s="492">
        <v>4.3E-3</v>
      </c>
      <c r="K62" s="492">
        <v>6.1000000000000004E-3</v>
      </c>
      <c r="L62" s="493">
        <v>5.6099999999999997E-2</v>
      </c>
      <c r="M62" s="492">
        <v>0.2</v>
      </c>
    </row>
    <row r="63" spans="8:13" x14ac:dyDescent="0.2">
      <c r="H63" s="490" t="s">
        <v>878</v>
      </c>
      <c r="I63" s="491" t="s">
        <v>797</v>
      </c>
      <c r="J63" s="492">
        <v>5.3E-3</v>
      </c>
      <c r="K63" s="492">
        <v>7.4999999999999997E-3</v>
      </c>
      <c r="L63" s="493">
        <v>5.7500000000000002E-2</v>
      </c>
      <c r="M63" s="492">
        <v>0.25</v>
      </c>
    </row>
    <row r="64" spans="8:13" x14ac:dyDescent="0.2">
      <c r="H64" s="490" t="s">
        <v>879</v>
      </c>
      <c r="I64" s="491" t="s">
        <v>829</v>
      </c>
      <c r="J64" s="492">
        <v>8.0199999999999994E-2</v>
      </c>
      <c r="K64" s="492">
        <v>0.1138</v>
      </c>
      <c r="L64" s="493">
        <v>0.1638</v>
      </c>
      <c r="M64" s="492">
        <v>0.3</v>
      </c>
    </row>
    <row r="65" spans="8:13" x14ac:dyDescent="0.2">
      <c r="H65" s="490" t="s">
        <v>880</v>
      </c>
      <c r="I65" s="491" t="s">
        <v>802</v>
      </c>
      <c r="J65" s="492">
        <v>5.8799999999999998E-2</v>
      </c>
      <c r="K65" s="492">
        <v>8.3500000000000005E-2</v>
      </c>
      <c r="L65" s="493">
        <v>0.13350000000000001</v>
      </c>
      <c r="M65" s="492">
        <v>0.31</v>
      </c>
    </row>
    <row r="66" spans="8:13" x14ac:dyDescent="0.2">
      <c r="H66" s="490" t="s">
        <v>881</v>
      </c>
      <c r="I66" s="491" t="s">
        <v>844</v>
      </c>
      <c r="J66" s="492">
        <v>3.2199999999999999E-2</v>
      </c>
      <c r="K66" s="492">
        <v>4.5699999999999998E-2</v>
      </c>
      <c r="L66" s="493">
        <v>9.5699999999999993E-2</v>
      </c>
      <c r="M66" s="492">
        <v>0.15</v>
      </c>
    </row>
    <row r="67" spans="8:13" x14ac:dyDescent="0.2">
      <c r="H67" s="490" t="s">
        <v>882</v>
      </c>
      <c r="I67" s="491" t="s">
        <v>818</v>
      </c>
      <c r="J67" s="492">
        <v>0</v>
      </c>
      <c r="K67" s="492">
        <v>0</v>
      </c>
      <c r="L67" s="493">
        <v>0.05</v>
      </c>
      <c r="M67" s="492">
        <v>0.3</v>
      </c>
    </row>
    <row r="68" spans="8:13" x14ac:dyDescent="0.2">
      <c r="H68" s="490" t="s">
        <v>883</v>
      </c>
      <c r="I68" s="491" t="s">
        <v>810</v>
      </c>
      <c r="J68" s="492">
        <v>0.12839999999999999</v>
      </c>
      <c r="K68" s="492">
        <v>0.18210000000000001</v>
      </c>
      <c r="L68" s="493">
        <v>0.2321</v>
      </c>
      <c r="M68" s="492">
        <v>0.25</v>
      </c>
    </row>
    <row r="69" spans="8:13" x14ac:dyDescent="0.2">
      <c r="H69" s="490" t="s">
        <v>884</v>
      </c>
      <c r="I69" s="491" t="s">
        <v>813</v>
      </c>
      <c r="J69" s="492">
        <v>3.85E-2</v>
      </c>
      <c r="K69" s="492">
        <v>5.4600000000000003E-2</v>
      </c>
      <c r="L69" s="493">
        <v>0.1046</v>
      </c>
      <c r="M69" s="492">
        <v>0.22</v>
      </c>
    </row>
    <row r="70" spans="8:13" x14ac:dyDescent="0.2">
      <c r="H70" s="490" t="s">
        <v>885</v>
      </c>
      <c r="I70" s="491" t="s">
        <v>823</v>
      </c>
      <c r="J70" s="492">
        <v>2.6800000000000001E-2</v>
      </c>
      <c r="K70" s="492">
        <v>3.7999999999999999E-2</v>
      </c>
      <c r="L70" s="493">
        <v>8.7999999999999995E-2</v>
      </c>
      <c r="M70" s="492">
        <v>0.25</v>
      </c>
    </row>
    <row r="71" spans="8:13" x14ac:dyDescent="0.2">
      <c r="H71" s="490" t="s">
        <v>886</v>
      </c>
      <c r="I71" s="491" t="s">
        <v>797</v>
      </c>
      <c r="J71" s="492">
        <v>5.3E-3</v>
      </c>
      <c r="K71" s="492">
        <v>7.4999999999999997E-3</v>
      </c>
      <c r="L71" s="493">
        <v>5.7500000000000002E-2</v>
      </c>
      <c r="M71" s="492">
        <v>0</v>
      </c>
    </row>
    <row r="72" spans="8:13" x14ac:dyDescent="0.2">
      <c r="H72" s="490" t="s">
        <v>887</v>
      </c>
      <c r="I72" s="491" t="s">
        <v>802</v>
      </c>
      <c r="J72" s="492">
        <v>9.6299999999999997E-2</v>
      </c>
      <c r="K72" s="492">
        <v>0.1366</v>
      </c>
      <c r="L72" s="493">
        <v>0.18659999999999999</v>
      </c>
      <c r="M72" s="492">
        <v>0.29149999999999998</v>
      </c>
    </row>
    <row r="73" spans="8:13" x14ac:dyDescent="0.2">
      <c r="H73" s="490" t="s">
        <v>888</v>
      </c>
      <c r="I73" s="491" t="s">
        <v>802</v>
      </c>
      <c r="J73" s="492">
        <v>5.8799999999999998E-2</v>
      </c>
      <c r="K73" s="492">
        <v>8.3500000000000005E-2</v>
      </c>
      <c r="L73" s="493">
        <v>0.13350000000000001</v>
      </c>
      <c r="M73" s="492">
        <v>0.29149999999999998</v>
      </c>
    </row>
    <row r="74" spans="8:13" x14ac:dyDescent="0.2">
      <c r="H74" s="490" t="s">
        <v>889</v>
      </c>
      <c r="I74" s="491" t="s">
        <v>802</v>
      </c>
      <c r="J74" s="492">
        <v>1.7100000000000001E-2</v>
      </c>
      <c r="K74" s="492">
        <v>2.4299999999999999E-2</v>
      </c>
      <c r="L74" s="493">
        <v>7.4300000000000005E-2</v>
      </c>
      <c r="M74" s="492">
        <v>0.18640000000000001</v>
      </c>
    </row>
    <row r="75" spans="8:13" x14ac:dyDescent="0.2">
      <c r="H75" s="490" t="s">
        <v>890</v>
      </c>
      <c r="I75" s="491" t="s">
        <v>802</v>
      </c>
      <c r="J75" s="492">
        <v>0.12839999999999999</v>
      </c>
      <c r="K75" s="492">
        <v>0.18210000000000001</v>
      </c>
      <c r="L75" s="493">
        <v>0.2321</v>
      </c>
      <c r="M75" s="492">
        <v>0.18640000000000001</v>
      </c>
    </row>
    <row r="76" spans="8:13" x14ac:dyDescent="0.2">
      <c r="H76" s="490" t="s">
        <v>891</v>
      </c>
      <c r="I76" s="491" t="s">
        <v>799</v>
      </c>
      <c r="J76" s="492">
        <v>4.82E-2</v>
      </c>
      <c r="K76" s="492">
        <v>6.83E-2</v>
      </c>
      <c r="L76" s="493">
        <v>0.1183</v>
      </c>
      <c r="M76" s="492">
        <v>0.25</v>
      </c>
    </row>
    <row r="77" spans="8:13" x14ac:dyDescent="0.2">
      <c r="H77" s="490" t="s">
        <v>892</v>
      </c>
      <c r="I77" s="491" t="s">
        <v>832</v>
      </c>
      <c r="J77" s="492">
        <v>6.4000000000000003E-3</v>
      </c>
      <c r="K77" s="492">
        <v>9.1000000000000004E-3</v>
      </c>
      <c r="L77" s="493">
        <v>5.91E-2</v>
      </c>
      <c r="M77" s="492">
        <v>0.16500000000000001</v>
      </c>
    </row>
    <row r="78" spans="8:13" x14ac:dyDescent="0.2">
      <c r="H78" s="490" t="s">
        <v>893</v>
      </c>
      <c r="I78" s="491" t="s">
        <v>804</v>
      </c>
      <c r="J78" s="492">
        <v>2.0400000000000001E-2</v>
      </c>
      <c r="K78" s="492">
        <v>2.8899999999999999E-2</v>
      </c>
      <c r="L78" s="493">
        <v>7.8899999999999998E-2</v>
      </c>
      <c r="M78" s="492">
        <v>0.09</v>
      </c>
    </row>
    <row r="79" spans="8:13" x14ac:dyDescent="0.2">
      <c r="H79" s="490" t="s">
        <v>894</v>
      </c>
      <c r="I79" s="491" t="s">
        <v>837</v>
      </c>
      <c r="J79" s="492">
        <v>9.1000000000000004E-3</v>
      </c>
      <c r="K79" s="492">
        <v>1.2800000000000001E-2</v>
      </c>
      <c r="L79" s="493">
        <v>6.2799999999999995E-2</v>
      </c>
      <c r="M79" s="492">
        <v>0.2</v>
      </c>
    </row>
    <row r="80" spans="8:13" x14ac:dyDescent="0.2">
      <c r="H80" s="490" t="s">
        <v>895</v>
      </c>
      <c r="I80" s="491" t="s">
        <v>896</v>
      </c>
      <c r="J80" s="492">
        <v>2.35E-2</v>
      </c>
      <c r="K80" s="492">
        <v>3.3300000000000003E-2</v>
      </c>
      <c r="L80" s="493">
        <v>8.3299999999999999E-2</v>
      </c>
      <c r="M80" s="492">
        <v>0.3</v>
      </c>
    </row>
    <row r="81" spans="8:13" x14ac:dyDescent="0.2">
      <c r="H81" s="516" t="s">
        <v>897</v>
      </c>
      <c r="I81" s="517" t="s">
        <v>804</v>
      </c>
      <c r="J81" s="518">
        <v>2.0400000000000001E-2</v>
      </c>
      <c r="K81" s="518">
        <v>2.8899999999999999E-2</v>
      </c>
      <c r="L81" s="518">
        <v>7.8899999999999998E-2</v>
      </c>
      <c r="M81" s="518">
        <v>0.22</v>
      </c>
    </row>
    <row r="82" spans="8:13" x14ac:dyDescent="0.2">
      <c r="H82" s="490" t="s">
        <v>898</v>
      </c>
      <c r="I82" s="491" t="s">
        <v>802</v>
      </c>
      <c r="J82" s="492">
        <v>6.9500000000000006E-2</v>
      </c>
      <c r="K82" s="492">
        <v>9.8599999999999993E-2</v>
      </c>
      <c r="L82" s="493">
        <v>0.14860000000000001</v>
      </c>
      <c r="M82" s="492">
        <v>0.20230000000000001</v>
      </c>
    </row>
    <row r="83" spans="8:13" x14ac:dyDescent="0.2">
      <c r="H83" s="490" t="s">
        <v>899</v>
      </c>
      <c r="I83" s="491" t="s">
        <v>829</v>
      </c>
      <c r="J83" s="492">
        <v>8.0199999999999994E-2</v>
      </c>
      <c r="K83" s="492">
        <v>0.1138</v>
      </c>
      <c r="L83" s="493">
        <v>0.1638</v>
      </c>
      <c r="M83" s="492">
        <v>0.15</v>
      </c>
    </row>
    <row r="84" spans="8:13" x14ac:dyDescent="0.2">
      <c r="H84" s="490" t="s">
        <v>900</v>
      </c>
      <c r="I84" s="491" t="s">
        <v>832</v>
      </c>
      <c r="J84" s="492">
        <v>6.4000000000000003E-3</v>
      </c>
      <c r="K84" s="492">
        <v>9.1000000000000004E-3</v>
      </c>
      <c r="L84" s="493">
        <v>5.91E-2</v>
      </c>
      <c r="M84" s="492">
        <v>0.125</v>
      </c>
    </row>
    <row r="85" spans="8:13" x14ac:dyDescent="0.2">
      <c r="H85" s="490" t="s">
        <v>901</v>
      </c>
      <c r="I85" s="491" t="s">
        <v>832</v>
      </c>
      <c r="J85" s="492">
        <v>6.4000000000000003E-3</v>
      </c>
      <c r="K85" s="492">
        <v>9.1000000000000004E-3</v>
      </c>
      <c r="L85" s="493">
        <v>5.91E-2</v>
      </c>
      <c r="M85" s="492">
        <v>0</v>
      </c>
    </row>
    <row r="86" spans="8:13" x14ac:dyDescent="0.2">
      <c r="H86" s="490" t="s">
        <v>902</v>
      </c>
      <c r="I86" s="491" t="s">
        <v>856</v>
      </c>
      <c r="J86" s="492">
        <v>7.4999999999999997E-3</v>
      </c>
      <c r="K86" s="492">
        <v>1.0699999999999999E-2</v>
      </c>
      <c r="L86" s="493">
        <v>6.0699999999999997E-2</v>
      </c>
      <c r="M86" s="492">
        <v>0.23</v>
      </c>
    </row>
    <row r="87" spans="8:13" x14ac:dyDescent="0.2">
      <c r="H87" s="490" t="s">
        <v>903</v>
      </c>
      <c r="I87" s="491" t="s">
        <v>896</v>
      </c>
      <c r="J87" s="492">
        <v>2.35E-2</v>
      </c>
      <c r="K87" s="492">
        <v>3.3300000000000003E-2</v>
      </c>
      <c r="L87" s="493">
        <v>8.3299999999999999E-2</v>
      </c>
      <c r="M87" s="492">
        <v>0.24</v>
      </c>
    </row>
    <row r="88" spans="8:13" x14ac:dyDescent="0.2">
      <c r="H88" s="490" t="s">
        <v>904</v>
      </c>
      <c r="I88" s="491" t="s">
        <v>826</v>
      </c>
      <c r="J88" s="492">
        <v>5.8799999999999998E-2</v>
      </c>
      <c r="K88" s="492">
        <v>8.3500000000000005E-2</v>
      </c>
      <c r="L88" s="493">
        <v>0.13350000000000001</v>
      </c>
      <c r="M88" s="492">
        <v>0.25</v>
      </c>
    </row>
    <row r="89" spans="8:13" x14ac:dyDescent="0.2">
      <c r="H89" s="490" t="s">
        <v>905</v>
      </c>
      <c r="I89" s="491" t="s">
        <v>856</v>
      </c>
      <c r="J89" s="492">
        <v>7.4999999999999997E-3</v>
      </c>
      <c r="K89" s="492">
        <v>1.0699999999999999E-2</v>
      </c>
      <c r="L89" s="493">
        <v>6.0699999999999997E-2</v>
      </c>
      <c r="M89" s="492">
        <v>0.23200000000000001</v>
      </c>
    </row>
    <row r="90" spans="8:13" x14ac:dyDescent="0.2">
      <c r="H90" s="490" t="s">
        <v>906</v>
      </c>
      <c r="I90" s="491" t="s">
        <v>832</v>
      </c>
      <c r="J90" s="492">
        <v>6.4000000000000003E-3</v>
      </c>
      <c r="K90" s="492">
        <v>9.1000000000000004E-3</v>
      </c>
      <c r="L90" s="493">
        <v>5.91E-2</v>
      </c>
      <c r="M90" s="492">
        <v>0</v>
      </c>
    </row>
    <row r="91" spans="8:13" x14ac:dyDescent="0.2">
      <c r="H91" s="490" t="s">
        <v>907</v>
      </c>
      <c r="I91" s="491" t="s">
        <v>799</v>
      </c>
      <c r="J91" s="492">
        <v>4.82E-2</v>
      </c>
      <c r="K91" s="492">
        <v>6.83E-2</v>
      </c>
      <c r="L91" s="493">
        <v>0.1183</v>
      </c>
      <c r="M91" s="492">
        <v>0.2</v>
      </c>
    </row>
    <row r="92" spans="8:13" x14ac:dyDescent="0.2">
      <c r="H92" s="490" t="s">
        <v>908</v>
      </c>
      <c r="I92" s="491" t="s">
        <v>804</v>
      </c>
      <c r="J92" s="492">
        <v>2.0400000000000001E-2</v>
      </c>
      <c r="K92" s="492">
        <v>2.8899999999999999E-2</v>
      </c>
      <c r="L92" s="493">
        <v>7.8899999999999998E-2</v>
      </c>
      <c r="M92" s="492">
        <v>0.2</v>
      </c>
    </row>
    <row r="93" spans="8:13" x14ac:dyDescent="0.2">
      <c r="H93" s="490" t="s">
        <v>909</v>
      </c>
      <c r="I93" s="491" t="s">
        <v>807</v>
      </c>
      <c r="J93" s="492">
        <v>6.9500000000000006E-2</v>
      </c>
      <c r="K93" s="492">
        <v>9.8599999999999993E-2</v>
      </c>
      <c r="L93" s="493">
        <v>0.14860000000000001</v>
      </c>
      <c r="M93" s="492">
        <v>0.3</v>
      </c>
    </row>
    <row r="94" spans="8:13" x14ac:dyDescent="0.2">
      <c r="H94" s="490" t="s">
        <v>910</v>
      </c>
      <c r="I94" s="491" t="s">
        <v>797</v>
      </c>
      <c r="J94" s="492">
        <v>5.3E-3</v>
      </c>
      <c r="K94" s="492">
        <v>7.4999999999999997E-3</v>
      </c>
      <c r="L94" s="493">
        <v>5.7500000000000002E-2</v>
      </c>
      <c r="M94" s="492">
        <v>0.25</v>
      </c>
    </row>
    <row r="95" spans="8:13" x14ac:dyDescent="0.2">
      <c r="H95" s="490" t="s">
        <v>911</v>
      </c>
      <c r="I95" s="491" t="s">
        <v>802</v>
      </c>
      <c r="J95" s="492">
        <v>0.12839999999999999</v>
      </c>
      <c r="K95" s="492">
        <v>0.18210000000000001</v>
      </c>
      <c r="L95" s="493">
        <v>0.2321</v>
      </c>
      <c r="M95" s="492">
        <v>0.23100000000000001</v>
      </c>
    </row>
    <row r="96" spans="8:13" x14ac:dyDescent="0.2">
      <c r="H96" s="490" t="s">
        <v>912</v>
      </c>
      <c r="I96" s="491" t="s">
        <v>856</v>
      </c>
      <c r="J96" s="492">
        <v>7.4999999999999997E-3</v>
      </c>
      <c r="K96" s="492">
        <v>1.0699999999999999E-2</v>
      </c>
      <c r="L96" s="493">
        <v>6.0699999999999997E-2</v>
      </c>
      <c r="M96" s="492">
        <v>0.15</v>
      </c>
    </row>
    <row r="97" spans="8:13" x14ac:dyDescent="0.2">
      <c r="H97" s="490" t="s">
        <v>913</v>
      </c>
      <c r="I97" s="491" t="s">
        <v>807</v>
      </c>
      <c r="J97" s="492">
        <v>6.9500000000000006E-2</v>
      </c>
      <c r="K97" s="492">
        <v>9.8599999999999993E-2</v>
      </c>
      <c r="L97" s="493">
        <v>0.14860000000000001</v>
      </c>
      <c r="M97" s="492">
        <v>0.1</v>
      </c>
    </row>
    <row r="98" spans="8:13" x14ac:dyDescent="0.2">
      <c r="H98" s="490" t="s">
        <v>914</v>
      </c>
      <c r="I98" s="491" t="s">
        <v>871</v>
      </c>
      <c r="J98" s="492">
        <v>0.107</v>
      </c>
      <c r="K98" s="492">
        <v>0.15179999999999999</v>
      </c>
      <c r="L98" s="493">
        <v>0.20180000000000001</v>
      </c>
      <c r="M98" s="492">
        <v>0.2281</v>
      </c>
    </row>
    <row r="99" spans="8:13" x14ac:dyDescent="0.2">
      <c r="H99" s="490" t="s">
        <v>915</v>
      </c>
      <c r="I99" s="491" t="s">
        <v>842</v>
      </c>
      <c r="J99" s="492">
        <v>1.2800000000000001E-2</v>
      </c>
      <c r="K99" s="492">
        <v>1.8200000000000001E-2</v>
      </c>
      <c r="L99" s="493">
        <v>6.8199999999999997E-2</v>
      </c>
      <c r="M99" s="492">
        <v>0.2</v>
      </c>
    </row>
    <row r="100" spans="8:13" x14ac:dyDescent="0.2">
      <c r="H100" s="490" t="s">
        <v>916</v>
      </c>
      <c r="I100" s="491" t="s">
        <v>582</v>
      </c>
      <c r="J100" s="492">
        <v>0.17499999999999999</v>
      </c>
      <c r="K100" s="492">
        <v>0.2482</v>
      </c>
      <c r="L100" s="493">
        <v>0.29820000000000002</v>
      </c>
      <c r="M100" s="492">
        <v>0.17</v>
      </c>
    </row>
    <row r="101" spans="8:13" x14ac:dyDescent="0.2">
      <c r="H101" s="490" t="s">
        <v>917</v>
      </c>
      <c r="I101" s="491" t="s">
        <v>802</v>
      </c>
      <c r="J101" s="492">
        <v>0.107</v>
      </c>
      <c r="K101" s="492">
        <v>0.15179999999999999</v>
      </c>
      <c r="L101" s="493">
        <v>0.20180000000000001</v>
      </c>
      <c r="M101" s="492">
        <v>0.29149999999999998</v>
      </c>
    </row>
    <row r="102" spans="8:13" x14ac:dyDescent="0.2">
      <c r="H102" s="490" t="s">
        <v>918</v>
      </c>
      <c r="I102" s="491" t="s">
        <v>802</v>
      </c>
      <c r="J102" s="492">
        <v>2.0400000000000001E-2</v>
      </c>
      <c r="K102" s="492">
        <v>2.8899999999999999E-2</v>
      </c>
      <c r="L102" s="493">
        <v>7.8899999999999998E-2</v>
      </c>
      <c r="M102" s="492">
        <v>0.2</v>
      </c>
    </row>
    <row r="103" spans="8:13" x14ac:dyDescent="0.2">
      <c r="H103" s="490" t="s">
        <v>919</v>
      </c>
      <c r="I103" s="491" t="s">
        <v>818</v>
      </c>
      <c r="J103" s="492">
        <v>0</v>
      </c>
      <c r="K103" s="492">
        <v>0</v>
      </c>
      <c r="L103" s="493">
        <v>0.05</v>
      </c>
      <c r="M103" s="492">
        <v>0.125</v>
      </c>
    </row>
    <row r="104" spans="8:13" x14ac:dyDescent="0.2">
      <c r="H104" s="490" t="s">
        <v>920</v>
      </c>
      <c r="I104" s="491" t="s">
        <v>837</v>
      </c>
      <c r="J104" s="492">
        <v>9.1000000000000004E-3</v>
      </c>
      <c r="K104" s="492">
        <v>1.2800000000000001E-2</v>
      </c>
      <c r="L104" s="493">
        <v>6.2799999999999995E-2</v>
      </c>
      <c r="M104" s="492">
        <v>0.15</v>
      </c>
    </row>
    <row r="105" spans="8:13" x14ac:dyDescent="0.2">
      <c r="H105" s="490" t="s">
        <v>921</v>
      </c>
      <c r="I105" s="491" t="s">
        <v>818</v>
      </c>
      <c r="J105" s="492">
        <v>0</v>
      </c>
      <c r="K105" s="492">
        <v>0</v>
      </c>
      <c r="L105" s="493">
        <v>0.05</v>
      </c>
      <c r="M105" s="492">
        <v>0.24940000000000001</v>
      </c>
    </row>
    <row r="106" spans="8:13" x14ac:dyDescent="0.2">
      <c r="H106" s="490" t="s">
        <v>922</v>
      </c>
      <c r="I106" s="491" t="s">
        <v>832</v>
      </c>
      <c r="J106" s="492">
        <v>6.4000000000000003E-3</v>
      </c>
      <c r="K106" s="492">
        <v>9.1000000000000004E-3</v>
      </c>
      <c r="L106" s="493">
        <v>5.91E-2</v>
      </c>
      <c r="M106" s="492">
        <v>0.2281</v>
      </c>
    </row>
    <row r="107" spans="8:13" x14ac:dyDescent="0.2">
      <c r="H107" s="490" t="s">
        <v>923</v>
      </c>
      <c r="I107" s="491" t="s">
        <v>813</v>
      </c>
      <c r="J107" s="492">
        <v>3.85E-2</v>
      </c>
      <c r="K107" s="492">
        <v>5.4600000000000003E-2</v>
      </c>
      <c r="L107" s="493">
        <v>0.1046</v>
      </c>
      <c r="M107" s="492">
        <v>0.1</v>
      </c>
    </row>
    <row r="108" spans="8:13" x14ac:dyDescent="0.2">
      <c r="H108" s="490" t="s">
        <v>924</v>
      </c>
      <c r="I108" s="491" t="s">
        <v>802</v>
      </c>
      <c r="J108" s="492">
        <v>6.9500000000000006E-2</v>
      </c>
      <c r="K108" s="492">
        <v>9.8599999999999993E-2</v>
      </c>
      <c r="L108" s="493">
        <v>0.14860000000000001</v>
      </c>
      <c r="M108" s="492">
        <v>0.2</v>
      </c>
    </row>
    <row r="109" spans="8:13" x14ac:dyDescent="0.2">
      <c r="H109" s="490" t="s">
        <v>925</v>
      </c>
      <c r="I109" s="491" t="s">
        <v>802</v>
      </c>
      <c r="J109" s="492">
        <v>0.12839999999999999</v>
      </c>
      <c r="K109" s="492">
        <v>0.18210000000000001</v>
      </c>
      <c r="L109" s="493">
        <v>0.2321</v>
      </c>
      <c r="M109" s="492">
        <v>0.3</v>
      </c>
    </row>
    <row r="110" spans="8:13" x14ac:dyDescent="0.2">
      <c r="H110" s="490" t="s">
        <v>926</v>
      </c>
      <c r="I110" s="491" t="s">
        <v>842</v>
      </c>
      <c r="J110" s="492">
        <v>1.2800000000000001E-2</v>
      </c>
      <c r="K110" s="492">
        <v>1.8200000000000001E-2</v>
      </c>
      <c r="L110" s="493">
        <v>6.8199999999999997E-2</v>
      </c>
      <c r="M110" s="492">
        <v>0.24</v>
      </c>
    </row>
    <row r="111" spans="8:13" x14ac:dyDescent="0.2">
      <c r="H111" s="490" t="s">
        <v>927</v>
      </c>
      <c r="I111" s="491" t="s">
        <v>829</v>
      </c>
      <c r="J111" s="492">
        <v>8.0199999999999994E-2</v>
      </c>
      <c r="K111" s="492">
        <v>0.1138</v>
      </c>
      <c r="L111" s="493">
        <v>0.1638</v>
      </c>
      <c r="M111" s="492">
        <v>0.2281</v>
      </c>
    </row>
    <row r="112" spans="8:13" x14ac:dyDescent="0.2">
      <c r="H112" s="490" t="s">
        <v>928</v>
      </c>
      <c r="I112" s="491" t="s">
        <v>834</v>
      </c>
      <c r="J112" s="492">
        <v>9.6299999999999997E-2</v>
      </c>
      <c r="K112" s="492">
        <v>0.1366</v>
      </c>
      <c r="L112" s="493">
        <v>0.18659999999999999</v>
      </c>
      <c r="M112" s="492">
        <v>0.2281</v>
      </c>
    </row>
    <row r="113" spans="8:13" x14ac:dyDescent="0.2">
      <c r="H113" s="490" t="s">
        <v>929</v>
      </c>
      <c r="I113" s="491" t="s">
        <v>837</v>
      </c>
      <c r="J113" s="492">
        <v>9.1000000000000004E-3</v>
      </c>
      <c r="K113" s="492">
        <v>1.2800000000000001E-2</v>
      </c>
      <c r="L113" s="493">
        <v>6.2799999999999995E-2</v>
      </c>
      <c r="M113" s="492">
        <v>0.35</v>
      </c>
    </row>
    <row r="114" spans="8:13" x14ac:dyDescent="0.2">
      <c r="H114" s="490" t="s">
        <v>930</v>
      </c>
      <c r="I114" s="491" t="s">
        <v>896</v>
      </c>
      <c r="J114" s="492">
        <v>2.35E-2</v>
      </c>
      <c r="K114" s="492">
        <v>3.3300000000000003E-2</v>
      </c>
      <c r="L114" s="493">
        <v>8.3299999999999999E-2</v>
      </c>
      <c r="M114" s="492">
        <v>0.15</v>
      </c>
    </row>
    <row r="115" spans="8:13" x14ac:dyDescent="0.2">
      <c r="H115" s="490" t="s">
        <v>931</v>
      </c>
      <c r="I115" s="491" t="s">
        <v>804</v>
      </c>
      <c r="J115" s="492">
        <v>2.0400000000000001E-2</v>
      </c>
      <c r="K115" s="492">
        <v>2.8899999999999999E-2</v>
      </c>
      <c r="L115" s="493">
        <v>7.8899999999999998E-2</v>
      </c>
      <c r="M115" s="492">
        <v>0.3</v>
      </c>
    </row>
    <row r="116" spans="8:13" x14ac:dyDescent="0.2">
      <c r="H116" s="490" t="s">
        <v>932</v>
      </c>
      <c r="I116" s="491" t="s">
        <v>807</v>
      </c>
      <c r="J116" s="492">
        <v>6.9500000000000006E-2</v>
      </c>
      <c r="K116" s="492">
        <v>9.8599999999999993E-2</v>
      </c>
      <c r="L116" s="493">
        <v>0.14860000000000001</v>
      </c>
      <c r="M116" s="492">
        <v>0.12</v>
      </c>
    </row>
    <row r="117" spans="8:13" x14ac:dyDescent="0.2">
      <c r="H117" s="490" t="s">
        <v>933</v>
      </c>
      <c r="I117" s="491" t="s">
        <v>807</v>
      </c>
      <c r="J117" s="492">
        <v>6.9500000000000006E-2</v>
      </c>
      <c r="K117" s="492">
        <v>9.8599999999999993E-2</v>
      </c>
      <c r="L117" s="493">
        <v>0.14860000000000001</v>
      </c>
      <c r="M117" s="492">
        <v>0.25</v>
      </c>
    </row>
    <row r="118" spans="8:13" x14ac:dyDescent="0.2">
      <c r="H118" s="490" t="s">
        <v>934</v>
      </c>
      <c r="I118" s="491" t="s">
        <v>799</v>
      </c>
      <c r="J118" s="492">
        <v>4.82E-2</v>
      </c>
      <c r="K118" s="492">
        <v>6.83E-2</v>
      </c>
      <c r="L118" s="493">
        <v>0.1183</v>
      </c>
      <c r="M118" s="492">
        <v>0.15</v>
      </c>
    </row>
    <row r="119" spans="8:13" x14ac:dyDescent="0.2">
      <c r="H119" s="490" t="s">
        <v>935</v>
      </c>
      <c r="I119" s="491" t="s">
        <v>896</v>
      </c>
      <c r="J119" s="492">
        <v>2.35E-2</v>
      </c>
      <c r="K119" s="492">
        <v>3.3300000000000003E-2</v>
      </c>
      <c r="L119" s="493">
        <v>8.3299999999999999E-2</v>
      </c>
      <c r="M119" s="492">
        <v>0.27179999999999999</v>
      </c>
    </row>
    <row r="120" spans="8:13" x14ac:dyDescent="0.2">
      <c r="H120" s="490" t="s">
        <v>936</v>
      </c>
      <c r="I120" s="491" t="s">
        <v>823</v>
      </c>
      <c r="J120" s="492">
        <v>2.6800000000000001E-2</v>
      </c>
      <c r="K120" s="492">
        <v>3.7999999999999999E-2</v>
      </c>
      <c r="L120" s="493">
        <v>8.7999999999999995E-2</v>
      </c>
      <c r="M120" s="492">
        <v>0.31</v>
      </c>
    </row>
    <row r="121" spans="8:13" x14ac:dyDescent="0.2">
      <c r="H121" s="490" t="s">
        <v>937</v>
      </c>
      <c r="I121" s="491" t="s">
        <v>834</v>
      </c>
      <c r="J121" s="492">
        <v>9.6299999999999997E-2</v>
      </c>
      <c r="K121" s="492">
        <v>0.1366</v>
      </c>
      <c r="L121" s="493">
        <v>0.18659999999999999</v>
      </c>
      <c r="M121" s="492">
        <v>0.32</v>
      </c>
    </row>
    <row r="122" spans="8:13" x14ac:dyDescent="0.2">
      <c r="H122" s="490" t="s">
        <v>938</v>
      </c>
      <c r="I122" s="491" t="s">
        <v>802</v>
      </c>
      <c r="J122" s="492">
        <v>0.107</v>
      </c>
      <c r="K122" s="492">
        <v>0.15179999999999999</v>
      </c>
      <c r="L122" s="493">
        <v>0.20180000000000001</v>
      </c>
      <c r="M122" s="492">
        <v>0.25</v>
      </c>
    </row>
    <row r="123" spans="8:13" x14ac:dyDescent="0.2">
      <c r="H123" s="490" t="s">
        <v>939</v>
      </c>
      <c r="I123" s="491" t="s">
        <v>799</v>
      </c>
      <c r="J123" s="492">
        <v>4.82E-2</v>
      </c>
      <c r="K123" s="492">
        <v>6.83E-2</v>
      </c>
      <c r="L123" s="493">
        <v>0.1183</v>
      </c>
      <c r="M123" s="492">
        <v>0.32</v>
      </c>
    </row>
    <row r="124" spans="8:13" x14ac:dyDescent="0.2">
      <c r="H124" s="490" t="s">
        <v>940</v>
      </c>
      <c r="I124" s="491" t="s">
        <v>818</v>
      </c>
      <c r="J124" s="492">
        <v>0</v>
      </c>
      <c r="K124" s="492">
        <v>0</v>
      </c>
      <c r="L124" s="493">
        <v>0.05</v>
      </c>
      <c r="M124" s="492">
        <v>0.25800000000000001</v>
      </c>
    </row>
    <row r="125" spans="8:13" x14ac:dyDescent="0.2">
      <c r="H125" s="490" t="s">
        <v>941</v>
      </c>
      <c r="I125" s="491" t="s">
        <v>818</v>
      </c>
      <c r="J125" s="492">
        <v>0</v>
      </c>
      <c r="K125" s="492">
        <v>0</v>
      </c>
      <c r="L125" s="493">
        <v>0.05</v>
      </c>
      <c r="M125" s="492">
        <v>0.28000000000000003</v>
      </c>
    </row>
    <row r="126" spans="8:13" x14ac:dyDescent="0.2">
      <c r="H126" s="490" t="s">
        <v>942</v>
      </c>
      <c r="I126" s="491" t="s">
        <v>807</v>
      </c>
      <c r="J126" s="492">
        <v>6.9500000000000006E-2</v>
      </c>
      <c r="K126" s="492">
        <v>9.8599999999999993E-2</v>
      </c>
      <c r="L126" s="493">
        <v>0.14860000000000001</v>
      </c>
      <c r="M126" s="492">
        <v>0.3</v>
      </c>
    </row>
    <row r="127" spans="8:13" x14ac:dyDescent="0.2">
      <c r="H127" s="490" t="s">
        <v>943</v>
      </c>
      <c r="I127" s="491" t="s">
        <v>807</v>
      </c>
      <c r="J127" s="492">
        <v>6.9500000000000006E-2</v>
      </c>
      <c r="K127" s="492">
        <v>9.8599999999999993E-2</v>
      </c>
      <c r="L127" s="493">
        <v>0.14860000000000001</v>
      </c>
      <c r="M127" s="492">
        <v>0.2281</v>
      </c>
    </row>
    <row r="128" spans="8:13" x14ac:dyDescent="0.2">
      <c r="H128" s="490" t="s">
        <v>944</v>
      </c>
      <c r="I128" s="491" t="s">
        <v>829</v>
      </c>
      <c r="J128" s="492">
        <v>8.0199999999999994E-2</v>
      </c>
      <c r="K128" s="492">
        <v>0.1138</v>
      </c>
      <c r="L128" s="493">
        <v>0.1638</v>
      </c>
      <c r="M128" s="492">
        <v>0.3</v>
      </c>
    </row>
    <row r="129" spans="8:13" x14ac:dyDescent="0.2">
      <c r="H129" s="490" t="s">
        <v>945</v>
      </c>
      <c r="I129" s="491" t="s">
        <v>818</v>
      </c>
      <c r="J129" s="492">
        <v>0</v>
      </c>
      <c r="K129" s="492">
        <v>0</v>
      </c>
      <c r="L129" s="493">
        <v>0.05</v>
      </c>
      <c r="M129" s="492">
        <v>0.22</v>
      </c>
    </row>
    <row r="130" spans="8:13" x14ac:dyDescent="0.2">
      <c r="H130" s="490" t="s">
        <v>946</v>
      </c>
      <c r="I130" s="491" t="s">
        <v>844</v>
      </c>
      <c r="J130" s="492">
        <v>3.2199999999999999E-2</v>
      </c>
      <c r="K130" s="492">
        <v>4.5699999999999998E-2</v>
      </c>
      <c r="L130" s="493">
        <v>9.5699999999999993E-2</v>
      </c>
      <c r="M130" s="492">
        <v>0.15</v>
      </c>
    </row>
    <row r="131" spans="8:13" x14ac:dyDescent="0.2">
      <c r="H131" s="490" t="s">
        <v>947</v>
      </c>
      <c r="I131" s="491" t="s">
        <v>871</v>
      </c>
      <c r="J131" s="492">
        <v>0.107</v>
      </c>
      <c r="K131" s="492">
        <v>0.15179999999999999</v>
      </c>
      <c r="L131" s="493">
        <v>0.20180000000000001</v>
      </c>
      <c r="M131" s="492">
        <v>0.28999999999999998</v>
      </c>
    </row>
    <row r="132" spans="8:13" x14ac:dyDescent="0.2">
      <c r="H132" s="490" t="s">
        <v>948</v>
      </c>
      <c r="I132" s="491" t="s">
        <v>804</v>
      </c>
      <c r="J132" s="492">
        <v>2.0400000000000001E-2</v>
      </c>
      <c r="K132" s="492">
        <v>2.8899999999999999E-2</v>
      </c>
      <c r="L132" s="493">
        <v>7.8899999999999998E-2</v>
      </c>
      <c r="M132" s="492">
        <v>0.25</v>
      </c>
    </row>
    <row r="133" spans="8:13" x14ac:dyDescent="0.2">
      <c r="H133" s="490" t="s">
        <v>949</v>
      </c>
      <c r="I133" s="491" t="s">
        <v>826</v>
      </c>
      <c r="J133" s="492">
        <v>5.8799999999999998E-2</v>
      </c>
      <c r="K133" s="492">
        <v>8.3500000000000005E-2</v>
      </c>
      <c r="L133" s="493">
        <v>0.13350000000000001</v>
      </c>
      <c r="M133" s="492">
        <v>0.3</v>
      </c>
    </row>
    <row r="134" spans="8:13" x14ac:dyDescent="0.2">
      <c r="H134" s="490" t="s">
        <v>950</v>
      </c>
      <c r="I134" s="491" t="s">
        <v>823</v>
      </c>
      <c r="J134" s="492">
        <v>2.6800000000000001E-2</v>
      </c>
      <c r="K134" s="492">
        <v>3.7999999999999999E-2</v>
      </c>
      <c r="L134" s="493">
        <v>8.7999999999999995E-2</v>
      </c>
      <c r="M134" s="492">
        <v>0.1</v>
      </c>
    </row>
    <row r="135" spans="8:13" x14ac:dyDescent="0.2">
      <c r="H135" s="490" t="s">
        <v>951</v>
      </c>
      <c r="I135" s="491" t="s">
        <v>847</v>
      </c>
      <c r="J135" s="492">
        <v>1.7100000000000001E-2</v>
      </c>
      <c r="K135" s="492">
        <v>2.4299999999999999E-2</v>
      </c>
      <c r="L135" s="493">
        <v>7.4300000000000005E-2</v>
      </c>
      <c r="M135" s="492">
        <v>0.29499999999999998</v>
      </c>
    </row>
    <row r="136" spans="8:13" x14ac:dyDescent="0.2">
      <c r="H136" s="490" t="s">
        <v>952</v>
      </c>
      <c r="I136" s="491" t="s">
        <v>804</v>
      </c>
      <c r="J136" s="492">
        <v>2.0400000000000001E-2</v>
      </c>
      <c r="K136" s="492">
        <v>2.8899999999999999E-2</v>
      </c>
      <c r="L136" s="493">
        <v>7.8899999999999998E-2</v>
      </c>
      <c r="M136" s="492">
        <v>0.25</v>
      </c>
    </row>
    <row r="137" spans="8:13" x14ac:dyDescent="0.2">
      <c r="H137" s="490" t="s">
        <v>953</v>
      </c>
      <c r="I137" s="491" t="s">
        <v>837</v>
      </c>
      <c r="J137" s="492">
        <v>9.1000000000000004E-3</v>
      </c>
      <c r="K137" s="492">
        <v>1.2800000000000001E-2</v>
      </c>
      <c r="L137" s="493">
        <v>6.2799999999999995E-2</v>
      </c>
      <c r="M137" s="492">
        <v>0.19</v>
      </c>
    </row>
    <row r="138" spans="8:13" x14ac:dyDescent="0.2">
      <c r="H138" s="490" t="s">
        <v>954</v>
      </c>
      <c r="I138" s="491" t="s">
        <v>804</v>
      </c>
      <c r="J138" s="492">
        <v>2.0400000000000001E-2</v>
      </c>
      <c r="K138" s="492">
        <v>2.8899999999999999E-2</v>
      </c>
      <c r="L138" s="493">
        <v>7.8899999999999998E-2</v>
      </c>
      <c r="M138" s="492">
        <v>0.21</v>
      </c>
    </row>
    <row r="139" spans="8:13" x14ac:dyDescent="0.2">
      <c r="H139" s="490" t="s">
        <v>955</v>
      </c>
      <c r="I139" s="491" t="s">
        <v>832</v>
      </c>
      <c r="J139" s="492">
        <v>6.4000000000000003E-3</v>
      </c>
      <c r="K139" s="492">
        <v>9.1000000000000004E-3</v>
      </c>
      <c r="L139" s="493">
        <v>5.91E-2</v>
      </c>
      <c r="M139" s="492">
        <v>0.1</v>
      </c>
    </row>
    <row r="140" spans="8:13" x14ac:dyDescent="0.2">
      <c r="H140" s="490" t="s">
        <v>956</v>
      </c>
      <c r="I140" s="491" t="s">
        <v>842</v>
      </c>
      <c r="J140" s="492">
        <v>1.2800000000000001E-2</v>
      </c>
      <c r="K140" s="492">
        <v>1.8200000000000001E-2</v>
      </c>
      <c r="L140" s="493">
        <v>6.8199999999999997E-2</v>
      </c>
      <c r="M140" s="492">
        <v>0</v>
      </c>
    </row>
    <row r="141" spans="8:13" x14ac:dyDescent="0.2">
      <c r="H141" s="490" t="s">
        <v>957</v>
      </c>
      <c r="I141" s="491" t="s">
        <v>896</v>
      </c>
      <c r="J141" s="492">
        <v>2.35E-2</v>
      </c>
      <c r="K141" s="492">
        <v>3.3300000000000003E-2</v>
      </c>
      <c r="L141" s="493">
        <v>8.3299999999999999E-2</v>
      </c>
      <c r="M141" s="492">
        <v>0.16</v>
      </c>
    </row>
    <row r="142" spans="8:13" x14ac:dyDescent="0.2">
      <c r="H142" s="490" t="s">
        <v>958</v>
      </c>
      <c r="I142" s="491" t="s">
        <v>810</v>
      </c>
      <c r="J142" s="492">
        <v>0.12839999999999999</v>
      </c>
      <c r="K142" s="492">
        <v>0.18210000000000001</v>
      </c>
      <c r="L142" s="493">
        <v>0.2321</v>
      </c>
      <c r="M142" s="492">
        <v>0.2</v>
      </c>
    </row>
    <row r="143" spans="8:13" x14ac:dyDescent="0.2">
      <c r="H143" s="490" t="s">
        <v>959</v>
      </c>
      <c r="I143" s="491" t="s">
        <v>826</v>
      </c>
      <c r="J143" s="492">
        <v>5.8799999999999998E-2</v>
      </c>
      <c r="K143" s="492">
        <v>8.3500000000000005E-2</v>
      </c>
      <c r="L143" s="493">
        <v>0.13350000000000001</v>
      </c>
      <c r="M143" s="492">
        <v>0.3</v>
      </c>
    </row>
    <row r="144" spans="8:13" x14ac:dyDescent="0.2">
      <c r="H144" s="490" t="s">
        <v>960</v>
      </c>
      <c r="I144" s="491" t="s">
        <v>856</v>
      </c>
      <c r="J144" s="492">
        <v>7.4999999999999997E-3</v>
      </c>
      <c r="K144" s="492">
        <v>1.0699999999999999E-2</v>
      </c>
      <c r="L144" s="493">
        <v>6.0699999999999997E-2</v>
      </c>
      <c r="M144" s="492">
        <v>0.2</v>
      </c>
    </row>
    <row r="145" spans="8:13" x14ac:dyDescent="0.2">
      <c r="H145" s="490" t="s">
        <v>961</v>
      </c>
      <c r="I145" s="491" t="s">
        <v>813</v>
      </c>
      <c r="J145" s="492">
        <v>3.85E-2</v>
      </c>
      <c r="K145" s="492">
        <v>5.4600000000000003E-2</v>
      </c>
      <c r="L145" s="493">
        <v>0.1046</v>
      </c>
      <c r="M145" s="492">
        <v>0.3</v>
      </c>
    </row>
    <row r="146" spans="8:13" x14ac:dyDescent="0.2">
      <c r="H146" s="490" t="s">
        <v>962</v>
      </c>
      <c r="I146" s="491" t="s">
        <v>844</v>
      </c>
      <c r="J146" s="492">
        <v>3.2199999999999999E-2</v>
      </c>
      <c r="K146" s="492">
        <v>4.5699999999999998E-2</v>
      </c>
      <c r="L146" s="493">
        <v>9.5699999999999993E-2</v>
      </c>
      <c r="M146" s="492">
        <v>0.15</v>
      </c>
    </row>
    <row r="147" spans="8:13" x14ac:dyDescent="0.2">
      <c r="H147" s="490" t="s">
        <v>963</v>
      </c>
      <c r="I147" s="491" t="s">
        <v>823</v>
      </c>
      <c r="J147" s="492">
        <v>2.6800000000000001E-2</v>
      </c>
      <c r="K147" s="492">
        <v>3.7999999999999999E-2</v>
      </c>
      <c r="L147" s="493">
        <v>8.7999999999999995E-2</v>
      </c>
      <c r="M147" s="492">
        <v>0</v>
      </c>
    </row>
    <row r="148" spans="8:13" x14ac:dyDescent="0.2">
      <c r="H148" s="490" t="s">
        <v>964</v>
      </c>
      <c r="I148" s="491" t="s">
        <v>802</v>
      </c>
      <c r="J148" s="492">
        <v>0.12839999999999999</v>
      </c>
      <c r="K148" s="492">
        <v>0.18210000000000001</v>
      </c>
      <c r="L148" s="493">
        <v>0.2321</v>
      </c>
      <c r="M148" s="492">
        <v>0.3</v>
      </c>
    </row>
    <row r="149" spans="8:13" x14ac:dyDescent="0.2">
      <c r="H149" s="490" t="s">
        <v>965</v>
      </c>
      <c r="I149" s="491" t="s">
        <v>818</v>
      </c>
      <c r="J149" s="492">
        <v>0</v>
      </c>
      <c r="K149" s="492">
        <v>0</v>
      </c>
      <c r="L149" s="493">
        <v>0.05</v>
      </c>
      <c r="M149" s="492">
        <v>0.17</v>
      </c>
    </row>
    <row r="150" spans="8:13" x14ac:dyDescent="0.2">
      <c r="H150" s="490" t="s">
        <v>966</v>
      </c>
      <c r="I150" s="491" t="s">
        <v>837</v>
      </c>
      <c r="J150" s="492">
        <v>9.1000000000000004E-3</v>
      </c>
      <c r="K150" s="492">
        <v>1.2800000000000001E-2</v>
      </c>
      <c r="L150" s="493">
        <v>6.2799999999999995E-2</v>
      </c>
      <c r="M150" s="492">
        <v>0.21</v>
      </c>
    </row>
    <row r="151" spans="8:13" x14ac:dyDescent="0.2">
      <c r="H151" s="490" t="s">
        <v>967</v>
      </c>
      <c r="I151" s="491" t="s">
        <v>842</v>
      </c>
      <c r="J151" s="492">
        <v>1.2800000000000001E-2</v>
      </c>
      <c r="K151" s="492">
        <v>1.8200000000000001E-2</v>
      </c>
      <c r="L151" s="493">
        <v>6.8199999999999997E-2</v>
      </c>
      <c r="M151" s="492">
        <v>0.19</v>
      </c>
    </row>
    <row r="152" spans="8:13" x14ac:dyDescent="0.2">
      <c r="H152" s="490" t="s">
        <v>968</v>
      </c>
      <c r="I152" s="491" t="s">
        <v>829</v>
      </c>
      <c r="J152" s="492">
        <v>8.0199999999999994E-2</v>
      </c>
      <c r="K152" s="492">
        <v>0.1138</v>
      </c>
      <c r="L152" s="493">
        <v>0.1638</v>
      </c>
      <c r="M152" s="492">
        <v>0.3</v>
      </c>
    </row>
    <row r="153" spans="8:13" x14ac:dyDescent="0.2">
      <c r="H153" s="490" t="s">
        <v>969</v>
      </c>
      <c r="I153" s="491" t="s">
        <v>802</v>
      </c>
      <c r="J153" s="492">
        <v>0.12839999999999999</v>
      </c>
      <c r="K153" s="492">
        <v>0.18210000000000001</v>
      </c>
      <c r="L153" s="493">
        <v>0.2321</v>
      </c>
      <c r="M153" s="492">
        <v>0.29149999999999998</v>
      </c>
    </row>
    <row r="154" spans="8:13" x14ac:dyDescent="0.2">
      <c r="H154" s="490" t="s">
        <v>970</v>
      </c>
      <c r="I154" s="491" t="s">
        <v>844</v>
      </c>
      <c r="J154" s="492">
        <v>3.2199999999999999E-2</v>
      </c>
      <c r="K154" s="492">
        <v>4.5699999999999998E-2</v>
      </c>
      <c r="L154" s="493">
        <v>9.5699999999999993E-2</v>
      </c>
      <c r="M154" s="492">
        <v>0.27</v>
      </c>
    </row>
    <row r="155" spans="8:13" x14ac:dyDescent="0.2">
      <c r="H155" s="490" t="s">
        <v>971</v>
      </c>
      <c r="I155" s="491" t="s">
        <v>847</v>
      </c>
      <c r="J155" s="492">
        <v>1.7100000000000001E-2</v>
      </c>
      <c r="K155" s="492">
        <v>2.4299999999999999E-2</v>
      </c>
      <c r="L155" s="493">
        <v>7.4300000000000005E-2</v>
      </c>
      <c r="M155" s="492">
        <v>0.25</v>
      </c>
    </row>
    <row r="156" spans="8:13" x14ac:dyDescent="0.2">
      <c r="H156" s="490" t="s">
        <v>972</v>
      </c>
      <c r="I156" s="491" t="s">
        <v>810</v>
      </c>
      <c r="J156" s="492">
        <v>0.12839999999999999</v>
      </c>
      <c r="K156" s="492">
        <v>0.18210000000000001</v>
      </c>
      <c r="L156" s="493">
        <v>0.2321</v>
      </c>
      <c r="M156" s="492">
        <v>0.24</v>
      </c>
    </row>
    <row r="157" spans="8:13" x14ac:dyDescent="0.2">
      <c r="H157" s="490" t="s">
        <v>973</v>
      </c>
      <c r="I157" s="491" t="s">
        <v>844</v>
      </c>
      <c r="J157" s="492">
        <v>3.2199999999999999E-2</v>
      </c>
      <c r="K157" s="492">
        <v>4.5699999999999998E-2</v>
      </c>
      <c r="L157" s="493">
        <v>9.5699999999999993E-2</v>
      </c>
      <c r="M157" s="492">
        <v>0.27179999999999999</v>
      </c>
    </row>
    <row r="158" spans="8:13" x14ac:dyDescent="0.2">
      <c r="H158" s="490" t="s">
        <v>974</v>
      </c>
      <c r="I158" s="491" t="s">
        <v>807</v>
      </c>
      <c r="J158" s="492">
        <v>6.9500000000000006E-2</v>
      </c>
      <c r="K158" s="492">
        <v>9.8599999999999993E-2</v>
      </c>
      <c r="L158" s="493">
        <v>0.14860000000000001</v>
      </c>
      <c r="M158" s="492">
        <v>0.27179999999999999</v>
      </c>
    </row>
    <row r="159" spans="8:13" x14ac:dyDescent="0.2">
      <c r="H159" s="490" t="s">
        <v>975</v>
      </c>
      <c r="I159" s="491" t="s">
        <v>802</v>
      </c>
      <c r="J159" s="492">
        <v>0.17499999999999999</v>
      </c>
      <c r="K159" s="492">
        <v>0.2482</v>
      </c>
      <c r="L159" s="493">
        <v>0.29820000000000002</v>
      </c>
      <c r="M159" s="492">
        <v>0.35</v>
      </c>
    </row>
    <row r="160" spans="8:13" x14ac:dyDescent="0.2">
      <c r="H160" s="490" t="s">
        <v>976</v>
      </c>
      <c r="I160" s="491" t="s">
        <v>871</v>
      </c>
      <c r="J160" s="492">
        <v>0.107</v>
      </c>
      <c r="K160" s="492">
        <v>0.15179999999999999</v>
      </c>
      <c r="L160" s="493">
        <v>0.20180000000000001</v>
      </c>
      <c r="M160" s="492">
        <v>0.36</v>
      </c>
    </row>
    <row r="161" spans="8:13" x14ac:dyDescent="0.2">
      <c r="H161" s="490" t="s">
        <v>977</v>
      </c>
      <c r="I161" s="491" t="s">
        <v>807</v>
      </c>
      <c r="J161" s="492">
        <v>6.9500000000000006E-2</v>
      </c>
      <c r="K161" s="492">
        <v>9.8599999999999993E-2</v>
      </c>
      <c r="L161" s="493">
        <v>0.14860000000000001</v>
      </c>
      <c r="M161" s="492">
        <v>0.27500000000000002</v>
      </c>
    </row>
    <row r="162" spans="8:13" x14ac:dyDescent="0.2">
      <c r="H162" s="490" t="s">
        <v>978</v>
      </c>
      <c r="I162" s="491" t="s">
        <v>818</v>
      </c>
      <c r="J162" s="492">
        <v>0</v>
      </c>
      <c r="K162" s="492">
        <v>0</v>
      </c>
      <c r="L162" s="493">
        <v>0.05</v>
      </c>
      <c r="M162" s="492">
        <v>0.20599999999999999</v>
      </c>
    </row>
    <row r="163" spans="8:13" x14ac:dyDescent="0.2">
      <c r="H163" s="490" t="s">
        <v>979</v>
      </c>
      <c r="I163" s="491" t="s">
        <v>818</v>
      </c>
      <c r="J163" s="492">
        <v>0</v>
      </c>
      <c r="K163" s="492">
        <v>0</v>
      </c>
      <c r="L163" s="493">
        <v>0.05</v>
      </c>
      <c r="M163" s="492">
        <v>0.18</v>
      </c>
    </row>
    <row r="164" spans="8:13" x14ac:dyDescent="0.2">
      <c r="H164" s="490" t="s">
        <v>980</v>
      </c>
      <c r="I164" s="491" t="s">
        <v>802</v>
      </c>
      <c r="J164" s="492">
        <v>0.17499999999999999</v>
      </c>
      <c r="K164" s="492">
        <v>0.2482</v>
      </c>
      <c r="L164" s="493">
        <v>0.29820000000000002</v>
      </c>
      <c r="M164" s="492">
        <v>0.28000000000000003</v>
      </c>
    </row>
    <row r="165" spans="8:13" x14ac:dyDescent="0.2">
      <c r="H165" s="490" t="s">
        <v>981</v>
      </c>
      <c r="I165" s="491" t="s">
        <v>832</v>
      </c>
      <c r="J165" s="492">
        <v>6.4000000000000003E-3</v>
      </c>
      <c r="K165" s="492">
        <v>9.1000000000000004E-3</v>
      </c>
      <c r="L165" s="493">
        <v>5.91E-2</v>
      </c>
      <c r="M165" s="492">
        <v>0.2</v>
      </c>
    </row>
    <row r="166" spans="8:13" x14ac:dyDescent="0.2">
      <c r="H166" s="490" t="s">
        <v>982</v>
      </c>
      <c r="I166" s="491" t="s">
        <v>807</v>
      </c>
      <c r="J166" s="492">
        <v>6.9500000000000006E-2</v>
      </c>
      <c r="K166" s="492">
        <v>9.8599999999999993E-2</v>
      </c>
      <c r="L166" s="493">
        <v>0.14860000000000001</v>
      </c>
      <c r="M166" s="492">
        <v>0.18</v>
      </c>
    </row>
    <row r="167" spans="8:13" x14ac:dyDescent="0.2">
      <c r="H167" s="490" t="s">
        <v>983</v>
      </c>
      <c r="I167" s="491" t="s">
        <v>826</v>
      </c>
      <c r="J167" s="492">
        <v>5.8799999999999998E-2</v>
      </c>
      <c r="K167" s="492">
        <v>8.3500000000000005E-2</v>
      </c>
      <c r="L167" s="493">
        <v>0.13350000000000001</v>
      </c>
      <c r="M167" s="492">
        <v>0.3</v>
      </c>
    </row>
    <row r="168" spans="8:13" x14ac:dyDescent="0.2">
      <c r="H168" s="490" t="s">
        <v>984</v>
      </c>
      <c r="I168" s="491" t="s">
        <v>847</v>
      </c>
      <c r="J168" s="492">
        <v>1.7100000000000001E-2</v>
      </c>
      <c r="K168" s="492">
        <v>2.4299999999999999E-2</v>
      </c>
      <c r="L168" s="493">
        <v>7.4300000000000005E-2</v>
      </c>
      <c r="M168" s="492">
        <v>0.2</v>
      </c>
    </row>
    <row r="169" spans="8:13" x14ac:dyDescent="0.2">
      <c r="H169" s="490" t="s">
        <v>985</v>
      </c>
      <c r="I169" s="491" t="s">
        <v>807</v>
      </c>
      <c r="J169" s="492">
        <v>6.9500000000000006E-2</v>
      </c>
      <c r="K169" s="492">
        <v>9.8599999999999993E-2</v>
      </c>
      <c r="L169" s="493">
        <v>0.14860000000000001</v>
      </c>
      <c r="M169" s="492">
        <v>0.2281</v>
      </c>
    </row>
    <row r="170" spans="8:13" x14ac:dyDescent="0.2">
      <c r="H170" s="490" t="s">
        <v>986</v>
      </c>
      <c r="I170" s="491" t="s">
        <v>844</v>
      </c>
      <c r="J170" s="492">
        <v>3.2199999999999999E-2</v>
      </c>
      <c r="K170" s="492">
        <v>4.5699999999999998E-2</v>
      </c>
      <c r="L170" s="493">
        <v>9.5699999999999993E-2</v>
      </c>
      <c r="M170" s="492">
        <v>0.3</v>
      </c>
    </row>
    <row r="171" spans="8:13" x14ac:dyDescent="0.2">
      <c r="H171" s="490" t="s">
        <v>987</v>
      </c>
      <c r="I171" s="491" t="s">
        <v>834</v>
      </c>
      <c r="J171" s="492">
        <v>9.6299999999999997E-2</v>
      </c>
      <c r="K171" s="492">
        <v>0.1366</v>
      </c>
      <c r="L171" s="493">
        <v>0.18659999999999999</v>
      </c>
      <c r="M171" s="492">
        <v>0.15</v>
      </c>
    </row>
    <row r="172" spans="8:13" x14ac:dyDescent="0.2">
      <c r="H172" s="490" t="s">
        <v>988</v>
      </c>
      <c r="I172" s="491" t="s">
        <v>807</v>
      </c>
      <c r="J172" s="492">
        <v>6.9500000000000006E-2</v>
      </c>
      <c r="K172" s="492">
        <v>9.8599999999999993E-2</v>
      </c>
      <c r="L172" s="493">
        <v>0.14860000000000001</v>
      </c>
      <c r="M172" s="492">
        <v>0.23</v>
      </c>
    </row>
    <row r="173" spans="8:13" x14ac:dyDescent="0.2">
      <c r="H173" s="490" t="s">
        <v>989</v>
      </c>
      <c r="I173" s="491" t="s">
        <v>847</v>
      </c>
      <c r="J173" s="492">
        <v>1.7100000000000001E-2</v>
      </c>
      <c r="K173" s="492">
        <v>2.4299999999999999E-2</v>
      </c>
      <c r="L173" s="493">
        <v>7.4300000000000005E-2</v>
      </c>
      <c r="M173" s="492">
        <v>0</v>
      </c>
    </row>
    <row r="174" spans="8:13" x14ac:dyDescent="0.2">
      <c r="H174" s="490" t="s">
        <v>990</v>
      </c>
      <c r="I174" s="491" t="s">
        <v>826</v>
      </c>
      <c r="J174" s="492">
        <v>5.8799999999999998E-2</v>
      </c>
      <c r="K174" s="492">
        <v>8.3500000000000005E-2</v>
      </c>
      <c r="L174" s="493">
        <v>0.13350000000000001</v>
      </c>
      <c r="M174" s="492">
        <v>0.3</v>
      </c>
    </row>
    <row r="175" spans="8:13" x14ac:dyDescent="0.2">
      <c r="H175" s="490" t="s">
        <v>991</v>
      </c>
      <c r="I175" s="491" t="s">
        <v>810</v>
      </c>
      <c r="J175" s="492">
        <v>0.12839999999999999</v>
      </c>
      <c r="K175" s="492">
        <v>0.18210000000000001</v>
      </c>
      <c r="L175" s="493">
        <v>0.2321</v>
      </c>
      <c r="M175" s="492">
        <v>0.18</v>
      </c>
    </row>
    <row r="176" spans="8:13" x14ac:dyDescent="0.2">
      <c r="H176" s="490" t="s">
        <v>992</v>
      </c>
      <c r="I176" s="491" t="s">
        <v>797</v>
      </c>
      <c r="J176" s="492">
        <v>5.3E-3</v>
      </c>
      <c r="K176" s="492">
        <v>7.4999999999999997E-3</v>
      </c>
      <c r="L176" s="493">
        <v>5.7500000000000002E-2</v>
      </c>
      <c r="M176" s="492">
        <v>0</v>
      </c>
    </row>
    <row r="177" spans="8:13" x14ac:dyDescent="0.2">
      <c r="H177" s="490" t="s">
        <v>993</v>
      </c>
      <c r="I177" s="491" t="s">
        <v>832</v>
      </c>
      <c r="J177" s="492">
        <v>6.4000000000000003E-3</v>
      </c>
      <c r="K177" s="492">
        <v>9.1000000000000004E-3</v>
      </c>
      <c r="L177" s="493">
        <v>5.91E-2</v>
      </c>
      <c r="M177" s="492">
        <v>0.25</v>
      </c>
    </row>
    <row r="178" spans="8:13" x14ac:dyDescent="0.2">
      <c r="H178" s="490" t="s">
        <v>994</v>
      </c>
      <c r="I178" s="491" t="s">
        <v>818</v>
      </c>
      <c r="J178" s="492">
        <v>0</v>
      </c>
      <c r="K178" s="492">
        <v>0</v>
      </c>
      <c r="L178" s="493">
        <v>0.05</v>
      </c>
      <c r="M178" s="492">
        <v>0.25</v>
      </c>
    </row>
    <row r="179" spans="8:13" x14ac:dyDescent="0.2">
      <c r="H179" s="490" t="s">
        <v>995</v>
      </c>
      <c r="I179" s="491" t="s">
        <v>804</v>
      </c>
      <c r="J179" s="492">
        <v>2.0400000000000001E-2</v>
      </c>
      <c r="K179" s="492">
        <v>2.8899999999999999E-2</v>
      </c>
      <c r="L179" s="493">
        <v>7.8899999999999998E-2</v>
      </c>
      <c r="M179" s="492">
        <v>0.25</v>
      </c>
    </row>
    <row r="180" spans="8:13" x14ac:dyDescent="0.2">
      <c r="H180" s="490" t="s">
        <v>996</v>
      </c>
      <c r="I180" s="491" t="s">
        <v>813</v>
      </c>
      <c r="J180" s="492">
        <v>3.85E-2</v>
      </c>
      <c r="K180" s="492">
        <v>5.4600000000000003E-2</v>
      </c>
      <c r="L180" s="493">
        <v>0.1046</v>
      </c>
      <c r="M180" s="492">
        <v>0.15</v>
      </c>
    </row>
    <row r="181" spans="8:13" x14ac:dyDescent="0.2">
      <c r="H181" s="490" t="s">
        <v>997</v>
      </c>
      <c r="I181" s="491" t="s">
        <v>582</v>
      </c>
      <c r="J181" s="492">
        <v>0.17499999999999999</v>
      </c>
      <c r="K181" s="492">
        <v>0.2482</v>
      </c>
      <c r="L181" s="493">
        <v>0.29820000000000002</v>
      </c>
      <c r="M181" s="492">
        <v>0.34</v>
      </c>
    </row>
    <row r="182" spans="8:13" x14ac:dyDescent="0.2">
      <c r="H182" s="490" t="s">
        <v>998</v>
      </c>
      <c r="I182" s="491" t="s">
        <v>844</v>
      </c>
      <c r="J182" s="492">
        <v>3.2199999999999999E-2</v>
      </c>
      <c r="K182" s="492">
        <v>4.5699999999999998E-2</v>
      </c>
      <c r="L182" s="493">
        <v>9.5699999999999993E-2</v>
      </c>
      <c r="M182" s="492">
        <v>0.2</v>
      </c>
    </row>
    <row r="183" spans="8:13" x14ac:dyDescent="0.2">
      <c r="H183" s="490" t="s">
        <v>999</v>
      </c>
      <c r="I183" s="491" t="s">
        <v>802</v>
      </c>
      <c r="J183" s="492">
        <v>0.107</v>
      </c>
      <c r="K183" s="492">
        <v>0.15179999999999999</v>
      </c>
      <c r="L183" s="493">
        <v>0.20180000000000001</v>
      </c>
      <c r="M183" s="492">
        <v>0.2</v>
      </c>
    </row>
    <row r="184" spans="8:13" x14ac:dyDescent="0.2">
      <c r="H184" s="490" t="s">
        <v>1000</v>
      </c>
      <c r="I184" s="491" t="s">
        <v>810</v>
      </c>
      <c r="J184" s="492">
        <v>0.12839999999999999</v>
      </c>
      <c r="K184" s="492">
        <v>0.18210000000000001</v>
      </c>
      <c r="L184" s="493">
        <v>0.2321</v>
      </c>
      <c r="M184" s="492">
        <v>0.35</v>
      </c>
    </row>
    <row r="185" spans="8:13" x14ac:dyDescent="0.2">
      <c r="H185" s="490" t="s">
        <v>1001</v>
      </c>
      <c r="I185" s="491" t="s">
        <v>802</v>
      </c>
      <c r="J185" s="492">
        <v>8.0199999999999994E-2</v>
      </c>
      <c r="K185" s="492">
        <v>0.1138</v>
      </c>
      <c r="L185" s="493">
        <v>0.1638</v>
      </c>
      <c r="M185" s="492">
        <v>0.25</v>
      </c>
    </row>
    <row r="211" spans="8:8" x14ac:dyDescent="0.2">
      <c r="H211" s="519" t="s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P25"/>
  <sheetViews>
    <sheetView showGridLines="0" zoomScaleNormal="100" workbookViewId="0">
      <pane ySplit="6" topLeftCell="A7" activePane="bottomLeft" state="frozen"/>
      <selection pane="bottomLeft" activeCell="L7" sqref="L7"/>
    </sheetView>
  </sheetViews>
  <sheetFormatPr defaultColWidth="9.125" defaultRowHeight="11.25" x14ac:dyDescent="0.25"/>
  <cols>
    <col min="1" max="1" width="2.25" style="271" customWidth="1"/>
    <col min="2" max="2" width="12.75" style="271" bestFit="1" customWidth="1"/>
    <col min="3" max="3" width="11" style="271" bestFit="1" customWidth="1"/>
    <col min="4" max="4" width="6.875" style="271" customWidth="1"/>
    <col min="5" max="5" width="16.25" style="271" customWidth="1"/>
    <col min="6" max="6" width="5.625" style="271" customWidth="1"/>
    <col min="7" max="7" width="9.125" style="271"/>
    <col min="8" max="8" width="8.125" style="271" bestFit="1" customWidth="1"/>
    <col min="9" max="9" width="8.125" style="271" customWidth="1"/>
    <col min="10" max="10" width="9.375" style="271" customWidth="1"/>
    <col min="11" max="12" width="9.25" style="271" customWidth="1"/>
    <col min="13" max="13" width="8.75" style="271" customWidth="1"/>
    <col min="14" max="14" width="12.5" style="271" bestFit="1" customWidth="1"/>
    <col min="15" max="15" width="11" style="271" customWidth="1"/>
    <col min="16" max="16" width="16.625" style="271" bestFit="1" customWidth="1"/>
    <col min="17" max="16384" width="9.125" style="271"/>
  </cols>
  <sheetData>
    <row r="1" spans="1:15" x14ac:dyDescent="0.2">
      <c r="A1" s="274" t="str">
        <f>Assumption!A1</f>
        <v>Bisnis Truk Thermoking</v>
      </c>
    </row>
    <row r="2" spans="1:15" x14ac:dyDescent="0.2">
      <c r="A2" s="274" t="str">
        <f>Assumption!A2</f>
        <v>Financial Pre-Feasibility Study</v>
      </c>
    </row>
    <row r="3" spans="1:15" x14ac:dyDescent="0.25">
      <c r="A3" s="276" t="s">
        <v>604</v>
      </c>
    </row>
    <row r="4" spans="1:15" ht="10.5" customHeight="1" x14ac:dyDescent="0.25"/>
    <row r="5" spans="1:15" x14ac:dyDescent="0.25">
      <c r="O5" s="312" t="s">
        <v>601</v>
      </c>
    </row>
    <row r="6" spans="1:15" ht="24.75" customHeight="1" x14ac:dyDescent="0.25">
      <c r="A6" s="263" t="s">
        <v>562</v>
      </c>
      <c r="B6" s="281"/>
      <c r="C6" s="281"/>
      <c r="D6" s="281"/>
      <c r="E6" s="281"/>
      <c r="G6" s="614" t="s">
        <v>536</v>
      </c>
      <c r="H6" s="615" t="s">
        <v>603</v>
      </c>
      <c r="I6" s="615" t="s">
        <v>773</v>
      </c>
      <c r="J6" s="613" t="s">
        <v>774</v>
      </c>
      <c r="K6" s="613" t="s">
        <v>1262</v>
      </c>
      <c r="L6" s="614" t="s">
        <v>1266</v>
      </c>
      <c r="M6" s="614" t="s">
        <v>364</v>
      </c>
    </row>
    <row r="7" spans="1:15" x14ac:dyDescent="0.25">
      <c r="A7" s="315" t="s">
        <v>709</v>
      </c>
      <c r="F7" s="313"/>
      <c r="G7" s="282">
        <v>1</v>
      </c>
      <c r="H7" s="410">
        <f>C9</f>
        <v>221000000</v>
      </c>
      <c r="I7" s="410">
        <f>C10</f>
        <v>25000000</v>
      </c>
      <c r="J7" s="410">
        <f>C11</f>
        <v>12000000</v>
      </c>
      <c r="K7" s="289">
        <f>C12</f>
        <v>12000000</v>
      </c>
      <c r="L7" s="289">
        <f>C13</f>
        <v>30000000</v>
      </c>
      <c r="M7" s="411">
        <f>SUM(H7:L7)</f>
        <v>300000000</v>
      </c>
      <c r="N7" s="723">
        <f>M7/12</f>
        <v>25000000</v>
      </c>
    </row>
    <row r="8" spans="1:15" x14ac:dyDescent="0.25">
      <c r="A8" s="268" t="s">
        <v>1263</v>
      </c>
      <c r="F8" s="313"/>
      <c r="G8" s="282">
        <f>G7+1</f>
        <v>2</v>
      </c>
      <c r="H8" s="164">
        <f t="shared" ref="H8:H16" si="0">H7*(1+$C$20)</f>
        <v>225420000</v>
      </c>
      <c r="I8" s="164">
        <f t="shared" ref="I8:I16" si="1">I7*(1+$C$21)</f>
        <v>25500000</v>
      </c>
      <c r="J8" s="164">
        <f t="shared" ref="J8:J16" si="2">J7*(1+$C$22)</f>
        <v>12240000</v>
      </c>
      <c r="K8" s="164">
        <f t="shared" ref="K8:K16" si="3">K7*(1+$C$23)</f>
        <v>12240000</v>
      </c>
      <c r="L8" s="164"/>
      <c r="M8" s="411">
        <f t="shared" ref="M8:M16" si="4">SUM(H8:L8)</f>
        <v>275400000</v>
      </c>
    </row>
    <row r="9" spans="1:15" x14ac:dyDescent="0.25">
      <c r="A9" s="314" t="s">
        <v>252</v>
      </c>
      <c r="B9" s="268" t="s">
        <v>698</v>
      </c>
      <c r="C9" s="164">
        <f>Salary!I19</f>
        <v>221000000</v>
      </c>
      <c r="D9" s="271" t="s">
        <v>605</v>
      </c>
      <c r="E9" s="271" t="s">
        <v>1019</v>
      </c>
      <c r="F9" s="317"/>
      <c r="G9" s="282">
        <f t="shared" ref="G9:G16" si="5">G8+1</f>
        <v>3</v>
      </c>
      <c r="H9" s="164">
        <f t="shared" si="0"/>
        <v>229928400</v>
      </c>
      <c r="I9" s="164">
        <f t="shared" si="1"/>
        <v>26010000</v>
      </c>
      <c r="J9" s="164">
        <f t="shared" si="2"/>
        <v>12484800</v>
      </c>
      <c r="K9" s="164">
        <f t="shared" si="3"/>
        <v>12484800</v>
      </c>
      <c r="L9" s="164"/>
      <c r="M9" s="411">
        <f t="shared" si="4"/>
        <v>280908000</v>
      </c>
    </row>
    <row r="10" spans="1:15" x14ac:dyDescent="0.25">
      <c r="A10" s="314" t="s">
        <v>253</v>
      </c>
      <c r="B10" s="224" t="s">
        <v>773</v>
      </c>
      <c r="C10" s="537">
        <v>25000000</v>
      </c>
      <c r="D10" s="271" t="s">
        <v>605</v>
      </c>
      <c r="F10" s="318"/>
      <c r="G10" s="282">
        <f t="shared" si="5"/>
        <v>4</v>
      </c>
      <c r="H10" s="164">
        <f t="shared" si="0"/>
        <v>234526968</v>
      </c>
      <c r="I10" s="164">
        <f t="shared" si="1"/>
        <v>26530200</v>
      </c>
      <c r="J10" s="164">
        <f t="shared" si="2"/>
        <v>12734496</v>
      </c>
      <c r="K10" s="164">
        <f t="shared" si="3"/>
        <v>12734496</v>
      </c>
      <c r="L10" s="164"/>
      <c r="M10" s="411">
        <f t="shared" si="4"/>
        <v>286526160</v>
      </c>
    </row>
    <row r="11" spans="1:15" x14ac:dyDescent="0.25">
      <c r="A11" s="314" t="s">
        <v>696</v>
      </c>
      <c r="B11" s="268" t="s">
        <v>774</v>
      </c>
      <c r="C11" s="537">
        <v>12000000</v>
      </c>
      <c r="D11" s="271" t="s">
        <v>605</v>
      </c>
      <c r="F11" s="317"/>
      <c r="G11" s="282">
        <f t="shared" si="5"/>
        <v>5</v>
      </c>
      <c r="H11" s="164">
        <f t="shared" si="0"/>
        <v>239217507.36000001</v>
      </c>
      <c r="I11" s="164">
        <f t="shared" si="1"/>
        <v>27060804</v>
      </c>
      <c r="J11" s="164">
        <f t="shared" si="2"/>
        <v>12989185.92</v>
      </c>
      <c r="K11" s="164">
        <f t="shared" si="3"/>
        <v>12989185.92</v>
      </c>
      <c r="L11" s="164"/>
      <c r="M11" s="411">
        <f t="shared" si="4"/>
        <v>292256683.20000005</v>
      </c>
    </row>
    <row r="12" spans="1:15" x14ac:dyDescent="0.2">
      <c r="A12" s="268" t="s">
        <v>697</v>
      </c>
      <c r="B12" s="213" t="s">
        <v>1261</v>
      </c>
      <c r="C12" s="537">
        <v>12000000</v>
      </c>
      <c r="D12" s="271" t="s">
        <v>605</v>
      </c>
      <c r="F12" s="317"/>
      <c r="G12" s="282">
        <f t="shared" si="5"/>
        <v>6</v>
      </c>
      <c r="H12" s="164">
        <f t="shared" si="0"/>
        <v>244001857.50720003</v>
      </c>
      <c r="I12" s="164">
        <f t="shared" si="1"/>
        <v>27602020.080000002</v>
      </c>
      <c r="J12" s="164">
        <f t="shared" si="2"/>
        <v>13248969.6384</v>
      </c>
      <c r="K12" s="164">
        <f t="shared" si="3"/>
        <v>13248969.6384</v>
      </c>
      <c r="L12" s="164"/>
      <c r="M12" s="411">
        <f t="shared" si="4"/>
        <v>298101816.86400008</v>
      </c>
    </row>
    <row r="13" spans="1:15" x14ac:dyDescent="0.2">
      <c r="A13" s="268" t="s">
        <v>1267</v>
      </c>
      <c r="B13" s="213" t="s">
        <v>1266</v>
      </c>
      <c r="C13" s="537">
        <v>30000000</v>
      </c>
      <c r="D13" s="271" t="s">
        <v>605</v>
      </c>
      <c r="F13" s="317"/>
      <c r="G13" s="282">
        <f>G12+1</f>
        <v>7</v>
      </c>
      <c r="H13" s="164">
        <f t="shared" si="0"/>
        <v>248881894.65734404</v>
      </c>
      <c r="I13" s="164">
        <f t="shared" si="1"/>
        <v>28154060.481600001</v>
      </c>
      <c r="J13" s="164">
        <f t="shared" si="2"/>
        <v>13513949.031167999</v>
      </c>
      <c r="K13" s="164">
        <f t="shared" si="3"/>
        <v>13513949.031167999</v>
      </c>
      <c r="L13" s="164"/>
      <c r="M13" s="411">
        <f t="shared" si="4"/>
        <v>304063853.20128</v>
      </c>
    </row>
    <row r="14" spans="1:15" x14ac:dyDescent="0.25">
      <c r="A14" s="319"/>
      <c r="B14" s="319"/>
      <c r="C14" s="319"/>
      <c r="D14" s="319"/>
      <c r="E14" s="319"/>
      <c r="F14" s="317"/>
      <c r="G14" s="282">
        <f t="shared" si="5"/>
        <v>8</v>
      </c>
      <c r="H14" s="164">
        <f t="shared" si="0"/>
        <v>253859532.55049092</v>
      </c>
      <c r="I14" s="164">
        <f t="shared" si="1"/>
        <v>28717141.691232003</v>
      </c>
      <c r="J14" s="164">
        <f t="shared" si="2"/>
        <v>13784228.01179136</v>
      </c>
      <c r="K14" s="164">
        <f t="shared" si="3"/>
        <v>13784228.01179136</v>
      </c>
      <c r="L14" s="164"/>
      <c r="M14" s="411">
        <f t="shared" si="4"/>
        <v>310145130.26530564</v>
      </c>
    </row>
    <row r="15" spans="1:15" x14ac:dyDescent="0.2">
      <c r="A15" s="277" t="s">
        <v>66</v>
      </c>
      <c r="B15" s="213"/>
      <c r="F15" s="317"/>
      <c r="G15" s="282">
        <f t="shared" si="5"/>
        <v>9</v>
      </c>
      <c r="H15" s="164">
        <f t="shared" si="0"/>
        <v>258936723.20150074</v>
      </c>
      <c r="I15" s="164">
        <f t="shared" si="1"/>
        <v>29291484.525056645</v>
      </c>
      <c r="J15" s="164">
        <f t="shared" si="2"/>
        <v>14059912.572027188</v>
      </c>
      <c r="K15" s="164">
        <f t="shared" si="3"/>
        <v>14059912.572027188</v>
      </c>
      <c r="L15" s="164"/>
      <c r="M15" s="411">
        <f t="shared" si="4"/>
        <v>316348032.87061179</v>
      </c>
    </row>
    <row r="16" spans="1:15" x14ac:dyDescent="0.25">
      <c r="A16" s="271" t="s">
        <v>699</v>
      </c>
      <c r="F16" s="317"/>
      <c r="G16" s="282">
        <f t="shared" si="5"/>
        <v>10</v>
      </c>
      <c r="H16" s="164">
        <f t="shared" si="0"/>
        <v>264115457.66553077</v>
      </c>
      <c r="I16" s="164">
        <f t="shared" si="1"/>
        <v>29877314.21555778</v>
      </c>
      <c r="J16" s="164">
        <f t="shared" si="2"/>
        <v>14341110.823467731</v>
      </c>
      <c r="K16" s="164">
        <f t="shared" si="3"/>
        <v>14341110.823467731</v>
      </c>
      <c r="L16" s="164"/>
      <c r="M16" s="411">
        <f t="shared" si="4"/>
        <v>322674993.52802402</v>
      </c>
    </row>
    <row r="17" spans="2:16" x14ac:dyDescent="0.25">
      <c r="G17" s="319" t="s">
        <v>392</v>
      </c>
      <c r="H17" s="291"/>
      <c r="I17" s="291"/>
      <c r="J17" s="291"/>
      <c r="K17" s="291"/>
      <c r="L17" s="291"/>
      <c r="M17" s="412">
        <f>AVERAGE(M7:M16)</f>
        <v>298642466.99292219</v>
      </c>
    </row>
    <row r="18" spans="2:16" x14ac:dyDescent="0.25">
      <c r="B18" s="277" t="s">
        <v>66</v>
      </c>
      <c r="C18" s="290"/>
      <c r="D18" s="290"/>
      <c r="E18" s="290"/>
    </row>
    <row r="19" spans="2:16" x14ac:dyDescent="0.25">
      <c r="B19" s="271" t="s">
        <v>175</v>
      </c>
      <c r="C19" s="320"/>
      <c r="D19" s="320"/>
      <c r="E19" s="320"/>
      <c r="N19" s="316"/>
    </row>
    <row r="20" spans="2:16" x14ac:dyDescent="0.25">
      <c r="B20" s="268" t="s">
        <v>779</v>
      </c>
      <c r="C20" s="321">
        <v>0.02</v>
      </c>
      <c r="D20" s="322" t="s">
        <v>177</v>
      </c>
    </row>
    <row r="21" spans="2:16" x14ac:dyDescent="0.25">
      <c r="B21" s="224" t="s">
        <v>775</v>
      </c>
      <c r="C21" s="321">
        <v>0.02</v>
      </c>
      <c r="D21" s="322" t="s">
        <v>177</v>
      </c>
    </row>
    <row r="22" spans="2:16" x14ac:dyDescent="0.25">
      <c r="B22" s="268" t="s">
        <v>776</v>
      </c>
      <c r="C22" s="321">
        <v>0.02</v>
      </c>
      <c r="D22" s="322" t="s">
        <v>177</v>
      </c>
    </row>
    <row r="23" spans="2:16" x14ac:dyDescent="0.2">
      <c r="B23" s="469" t="s">
        <v>777</v>
      </c>
      <c r="C23" s="321">
        <v>0.02</v>
      </c>
      <c r="D23" s="322" t="s">
        <v>177</v>
      </c>
      <c r="I23" s="271">
        <f>H7/12</f>
        <v>18416666.666666668</v>
      </c>
    </row>
    <row r="24" spans="2:16" x14ac:dyDescent="0.25">
      <c r="P24" s="723"/>
    </row>
    <row r="25" spans="2:16" x14ac:dyDescent="0.25">
      <c r="P25" s="316"/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0"/>
  <sheetViews>
    <sheetView showGridLines="0" zoomScaleNormal="100" workbookViewId="0">
      <pane ySplit="7" topLeftCell="A8" activePane="bottomLeft" state="frozen"/>
      <selection pane="bottomLeft" activeCell="I17" sqref="I17"/>
    </sheetView>
  </sheetViews>
  <sheetFormatPr defaultColWidth="8.25" defaultRowHeight="10.5" x14ac:dyDescent="0.25"/>
  <cols>
    <col min="1" max="1" width="3" style="94" customWidth="1"/>
    <col min="2" max="2" width="18.125" style="94" customWidth="1"/>
    <col min="3" max="3" width="7.125" style="94" customWidth="1"/>
    <col min="4" max="4" width="2.625" style="94" customWidth="1"/>
    <col min="5" max="5" width="8.25" style="94"/>
    <col min="6" max="6" width="2.625" style="94" customWidth="1"/>
    <col min="7" max="7" width="4.75" style="94" customWidth="1"/>
    <col min="8" max="8" width="13.75" style="94" customWidth="1"/>
    <col min="9" max="9" width="8.25" style="94"/>
    <col min="10" max="10" width="9.25" style="87" customWidth="1"/>
    <col min="11" max="13" width="8.25" style="94"/>
    <col min="14" max="15" width="10.25" style="94" bestFit="1" customWidth="1"/>
    <col min="16" max="17" width="11" style="94" bestFit="1" customWidth="1"/>
    <col min="18" max="21" width="8.25" style="94"/>
    <col min="22" max="22" width="3.25" style="94" customWidth="1"/>
    <col min="23" max="23" width="17.5" style="94" customWidth="1"/>
    <col min="24" max="24" width="16.125" style="94" bestFit="1" customWidth="1"/>
    <col min="25" max="25" width="10.75" style="109" customWidth="1"/>
    <col min="26" max="16384" width="8.25" style="94"/>
  </cols>
  <sheetData>
    <row r="1" spans="1:25" x14ac:dyDescent="0.25">
      <c r="A1" s="88" t="str">
        <f>'SG&amp;A'!A1</f>
        <v>Bisnis Truk Thermoking</v>
      </c>
    </row>
    <row r="2" spans="1:25" x14ac:dyDescent="0.25">
      <c r="A2" s="88" t="str">
        <f>'SG&amp;A'!A2</f>
        <v>Financial Pre-Feasibility Study</v>
      </c>
    </row>
    <row r="3" spans="1:25" x14ac:dyDescent="0.25">
      <c r="A3" s="110" t="s">
        <v>505</v>
      </c>
    </row>
    <row r="6" spans="1:25" ht="21" x14ac:dyDescent="0.25">
      <c r="A6" s="86" t="s">
        <v>67</v>
      </c>
      <c r="B6" s="86"/>
      <c r="C6" s="86"/>
      <c r="D6" s="86"/>
      <c r="E6" s="86"/>
      <c r="F6" s="86"/>
      <c r="G6" s="86"/>
      <c r="H6" s="86"/>
      <c r="J6" s="799" t="s">
        <v>79</v>
      </c>
      <c r="K6" s="799" t="s">
        <v>463</v>
      </c>
      <c r="L6" s="799"/>
      <c r="M6" s="799"/>
      <c r="N6" s="799" t="s">
        <v>506</v>
      </c>
      <c r="O6" s="799"/>
      <c r="P6" s="799"/>
      <c r="Q6" s="799"/>
      <c r="V6" s="95" t="s">
        <v>58</v>
      </c>
      <c r="W6" s="95" t="s">
        <v>472</v>
      </c>
      <c r="X6" s="95" t="s">
        <v>473</v>
      </c>
      <c r="Y6" s="95" t="s">
        <v>477</v>
      </c>
    </row>
    <row r="7" spans="1:25" ht="21" x14ac:dyDescent="0.15">
      <c r="A7" s="128"/>
      <c r="B7" s="128"/>
      <c r="C7" s="128"/>
      <c r="D7" s="128"/>
      <c r="E7" s="128"/>
      <c r="F7" s="128"/>
      <c r="G7" s="128"/>
      <c r="H7" s="128"/>
      <c r="J7" s="799"/>
      <c r="K7" s="131" t="s">
        <v>448</v>
      </c>
      <c r="L7" s="131" t="s">
        <v>449</v>
      </c>
      <c r="M7" s="131" t="s">
        <v>450</v>
      </c>
      <c r="N7" s="131" t="s">
        <v>448</v>
      </c>
      <c r="O7" s="131" t="s">
        <v>449</v>
      </c>
      <c r="P7" s="131" t="s">
        <v>450</v>
      </c>
      <c r="Q7" s="131" t="s">
        <v>23</v>
      </c>
      <c r="V7" s="114"/>
      <c r="W7" s="114"/>
      <c r="X7" s="114"/>
      <c r="Y7" s="115"/>
    </row>
    <row r="8" spans="1:25" x14ac:dyDescent="0.15">
      <c r="A8" s="130" t="s">
        <v>150</v>
      </c>
      <c r="B8" s="141" t="s">
        <v>507</v>
      </c>
      <c r="C8" s="147">
        <v>0</v>
      </c>
      <c r="D8" s="141" t="s">
        <v>509</v>
      </c>
      <c r="E8" s="133"/>
      <c r="F8" s="129" t="s">
        <v>465</v>
      </c>
      <c r="H8" s="129"/>
      <c r="J8" s="89">
        <v>-1</v>
      </c>
      <c r="V8" s="96">
        <v>1</v>
      </c>
      <c r="W8" s="97" t="s">
        <v>464</v>
      </c>
      <c r="X8" s="98" t="s">
        <v>438</v>
      </c>
      <c r="Y8" s="108">
        <v>27.5</v>
      </c>
    </row>
    <row r="9" spans="1:25" x14ac:dyDescent="0.15">
      <c r="A9" s="130" t="s">
        <v>151</v>
      </c>
      <c r="B9" s="129" t="s">
        <v>462</v>
      </c>
      <c r="C9" s="148" t="s">
        <v>474</v>
      </c>
      <c r="J9" s="89">
        <v>0</v>
      </c>
      <c r="V9" s="104">
        <v>2</v>
      </c>
      <c r="W9" s="97" t="s">
        <v>464</v>
      </c>
      <c r="X9" s="98" t="s">
        <v>439</v>
      </c>
      <c r="Y9" s="108">
        <v>162.5</v>
      </c>
    </row>
    <row r="10" spans="1:25" x14ac:dyDescent="0.15">
      <c r="B10" s="130" t="s">
        <v>470</v>
      </c>
      <c r="C10" s="149">
        <f>Y18</f>
        <v>160.5</v>
      </c>
      <c r="D10" s="141" t="s">
        <v>510</v>
      </c>
      <c r="E10" s="149">
        <f>$C$8*C10</f>
        <v>0</v>
      </c>
      <c r="F10" s="141" t="s">
        <v>372</v>
      </c>
      <c r="J10" s="89">
        <v>1</v>
      </c>
      <c r="K10" s="132" t="e">
        <f>#REF!</f>
        <v>#REF!</v>
      </c>
      <c r="L10" s="132" t="e">
        <f>#REF!</f>
        <v>#REF!</v>
      </c>
      <c r="M10" s="132" t="e">
        <f>#REF!</f>
        <v>#REF!</v>
      </c>
      <c r="N10" s="134" t="e">
        <f>$C$8*K10*$C$10*1000</f>
        <v>#REF!</v>
      </c>
      <c r="O10" s="134" t="e">
        <f>$C$8*L10*$C$11*1000</f>
        <v>#REF!</v>
      </c>
      <c r="P10" s="134" t="e">
        <f>$C$8*M10*$C$12*1000</f>
        <v>#REF!</v>
      </c>
      <c r="Q10" s="134" t="e">
        <f>N10+O10+P10</f>
        <v>#REF!</v>
      </c>
      <c r="V10" s="96">
        <v>3</v>
      </c>
      <c r="W10" s="97" t="s">
        <v>464</v>
      </c>
      <c r="X10" s="98" t="s">
        <v>440</v>
      </c>
      <c r="Y10" s="108">
        <v>171.5</v>
      </c>
    </row>
    <row r="11" spans="1:25" x14ac:dyDescent="0.15">
      <c r="B11" s="130" t="s">
        <v>469</v>
      </c>
      <c r="C11" s="149">
        <f>Y19</f>
        <v>239.6</v>
      </c>
      <c r="D11" s="141" t="s">
        <v>510</v>
      </c>
      <c r="E11" s="149">
        <f>$C$8*C11</f>
        <v>0</v>
      </c>
      <c r="F11" s="141" t="s">
        <v>372</v>
      </c>
      <c r="J11" s="89">
        <f>J10+1</f>
        <v>2</v>
      </c>
      <c r="K11" s="132" t="e">
        <f>#REF!</f>
        <v>#REF!</v>
      </c>
      <c r="L11" s="132" t="e">
        <f>#REF!</f>
        <v>#REF!</v>
      </c>
      <c r="M11" s="132" t="e">
        <f>#REF!</f>
        <v>#REF!</v>
      </c>
      <c r="N11" s="134" t="e">
        <f t="shared" ref="N11:N24" si="0">$C$8*K11*$C$10*1000</f>
        <v>#REF!</v>
      </c>
      <c r="O11" s="134" t="e">
        <f t="shared" ref="O11:O24" si="1">$C$8*L11*$C$11*1000</f>
        <v>#REF!</v>
      </c>
      <c r="P11" s="134" t="e">
        <f t="shared" ref="P11:P24" si="2">$C$8*M11*$C$12*1000</f>
        <v>#REF!</v>
      </c>
      <c r="Q11" s="134" t="e">
        <f t="shared" ref="Q11:Q24" si="3">N11+O11+P11</f>
        <v>#REF!</v>
      </c>
      <c r="V11" s="104">
        <v>4</v>
      </c>
      <c r="W11" s="97" t="s">
        <v>464</v>
      </c>
      <c r="X11" s="98" t="s">
        <v>441</v>
      </c>
      <c r="Y11" s="108">
        <v>219.3</v>
      </c>
    </row>
    <row r="12" spans="1:25" x14ac:dyDescent="0.15">
      <c r="B12" s="130" t="s">
        <v>471</v>
      </c>
      <c r="C12" s="149">
        <f>Y20</f>
        <v>296.60000000000002</v>
      </c>
      <c r="D12" s="141" t="s">
        <v>510</v>
      </c>
      <c r="E12" s="149">
        <f>$C$8*C12</f>
        <v>0</v>
      </c>
      <c r="F12" s="141" t="s">
        <v>372</v>
      </c>
      <c r="J12" s="89">
        <f t="shared" ref="J12:J24" si="4">J11+1</f>
        <v>3</v>
      </c>
      <c r="K12" s="132" t="e">
        <f>#REF!</f>
        <v>#REF!</v>
      </c>
      <c r="L12" s="132" t="e">
        <f>#REF!</f>
        <v>#REF!</v>
      </c>
      <c r="M12" s="132" t="e">
        <f>#REF!</f>
        <v>#REF!</v>
      </c>
      <c r="N12" s="134" t="e">
        <f t="shared" si="0"/>
        <v>#REF!</v>
      </c>
      <c r="O12" s="134" t="e">
        <f t="shared" si="1"/>
        <v>#REF!</v>
      </c>
      <c r="P12" s="134" t="e">
        <f t="shared" si="2"/>
        <v>#REF!</v>
      </c>
      <c r="Q12" s="134" t="e">
        <f t="shared" si="3"/>
        <v>#REF!</v>
      </c>
      <c r="V12" s="96">
        <v>5</v>
      </c>
      <c r="W12" s="97" t="s">
        <v>464</v>
      </c>
      <c r="X12" s="98" t="s">
        <v>442</v>
      </c>
      <c r="Y12" s="108">
        <v>273.8</v>
      </c>
    </row>
    <row r="13" spans="1:25" x14ac:dyDescent="0.15">
      <c r="A13" s="138" t="s">
        <v>152</v>
      </c>
      <c r="B13" s="133" t="s">
        <v>478</v>
      </c>
      <c r="J13" s="89">
        <f t="shared" si="4"/>
        <v>4</v>
      </c>
      <c r="K13" s="132" t="e">
        <f>#REF!</f>
        <v>#REF!</v>
      </c>
      <c r="L13" s="132" t="e">
        <f>#REF!</f>
        <v>#REF!</v>
      </c>
      <c r="M13" s="132" t="e">
        <f>#REF!</f>
        <v>#REF!</v>
      </c>
      <c r="N13" s="134" t="e">
        <f t="shared" si="0"/>
        <v>#REF!</v>
      </c>
      <c r="O13" s="134" t="e">
        <f t="shared" si="1"/>
        <v>#REF!</v>
      </c>
      <c r="P13" s="134" t="e">
        <f t="shared" si="2"/>
        <v>#REF!</v>
      </c>
      <c r="Q13" s="134" t="e">
        <f t="shared" si="3"/>
        <v>#REF!</v>
      </c>
      <c r="V13" s="104">
        <v>6</v>
      </c>
      <c r="W13" s="97" t="s">
        <v>464</v>
      </c>
      <c r="X13" s="98" t="s">
        <v>443</v>
      </c>
      <c r="Y13" s="108">
        <v>304.39999999999998</v>
      </c>
    </row>
    <row r="14" spans="1:25" x14ac:dyDescent="0.15">
      <c r="B14" s="133" t="s">
        <v>479</v>
      </c>
      <c r="C14" s="144" t="s">
        <v>464</v>
      </c>
      <c r="D14" s="144"/>
      <c r="E14" s="144"/>
      <c r="J14" s="89">
        <f t="shared" si="4"/>
        <v>5</v>
      </c>
      <c r="K14" s="132" t="e">
        <f>#REF!</f>
        <v>#REF!</v>
      </c>
      <c r="L14" s="132" t="e">
        <f>#REF!</f>
        <v>#REF!</v>
      </c>
      <c r="M14" s="132" t="e">
        <f>#REF!</f>
        <v>#REF!</v>
      </c>
      <c r="N14" s="134" t="e">
        <f t="shared" si="0"/>
        <v>#REF!</v>
      </c>
      <c r="O14" s="134" t="e">
        <f t="shared" si="1"/>
        <v>#REF!</v>
      </c>
      <c r="P14" s="134" t="e">
        <f t="shared" si="2"/>
        <v>#REF!</v>
      </c>
      <c r="Q14" s="134" t="e">
        <f t="shared" si="3"/>
        <v>#REF!</v>
      </c>
      <c r="V14" s="96">
        <v>7</v>
      </c>
      <c r="W14" s="97" t="s">
        <v>464</v>
      </c>
      <c r="X14" s="98" t="s">
        <v>444</v>
      </c>
      <c r="Y14" s="108">
        <v>424.1</v>
      </c>
    </row>
    <row r="15" spans="1:25" x14ac:dyDescent="0.15">
      <c r="B15" s="133" t="s">
        <v>480</v>
      </c>
      <c r="C15" s="142" t="s">
        <v>508</v>
      </c>
      <c r="D15" s="143"/>
      <c r="E15" s="142" t="s">
        <v>509</v>
      </c>
      <c r="F15" s="145"/>
      <c r="G15" s="142" t="s">
        <v>372</v>
      </c>
      <c r="J15" s="89">
        <f t="shared" si="4"/>
        <v>6</v>
      </c>
      <c r="K15" s="132" t="e">
        <f>#REF!</f>
        <v>#REF!</v>
      </c>
      <c r="L15" s="132" t="e">
        <f>#REF!</f>
        <v>#REF!</v>
      </c>
      <c r="M15" s="132" t="e">
        <f>#REF!</f>
        <v>#REF!</v>
      </c>
      <c r="N15" s="134" t="e">
        <f t="shared" si="0"/>
        <v>#REF!</v>
      </c>
      <c r="O15" s="134" t="e">
        <f t="shared" si="1"/>
        <v>#REF!</v>
      </c>
      <c r="P15" s="134" t="e">
        <f t="shared" si="2"/>
        <v>#REF!</v>
      </c>
      <c r="Q15" s="134" t="e">
        <f t="shared" si="3"/>
        <v>#REF!</v>
      </c>
      <c r="V15" s="104">
        <v>8</v>
      </c>
      <c r="W15" s="97" t="s">
        <v>464</v>
      </c>
      <c r="X15" s="98" t="s">
        <v>445</v>
      </c>
      <c r="Y15" s="108">
        <v>470.2</v>
      </c>
    </row>
    <row r="16" spans="1:25" x14ac:dyDescent="0.15">
      <c r="A16" s="133"/>
      <c r="B16" s="139" t="s">
        <v>481</v>
      </c>
      <c r="C16" s="150">
        <v>27.5</v>
      </c>
      <c r="D16" s="151"/>
      <c r="E16" s="153" t="e">
        <f>Assumption!#REF!</f>
        <v>#REF!</v>
      </c>
      <c r="F16" s="151"/>
      <c r="G16" s="149" t="e">
        <f>E16*C16</f>
        <v>#REF!</v>
      </c>
      <c r="J16" s="89">
        <f t="shared" si="4"/>
        <v>7</v>
      </c>
      <c r="K16" s="132" t="e">
        <f>#REF!</f>
        <v>#REF!</v>
      </c>
      <c r="L16" s="132" t="e">
        <f>#REF!</f>
        <v>#REF!</v>
      </c>
      <c r="M16" s="132" t="e">
        <f>#REF!</f>
        <v>#REF!</v>
      </c>
      <c r="N16" s="134" t="e">
        <f t="shared" si="0"/>
        <v>#REF!</v>
      </c>
      <c r="O16" s="134" t="e">
        <f t="shared" si="1"/>
        <v>#REF!</v>
      </c>
      <c r="P16" s="134" t="e">
        <f t="shared" si="2"/>
        <v>#REF!</v>
      </c>
      <c r="Q16" s="134" t="e">
        <f t="shared" si="3"/>
        <v>#REF!</v>
      </c>
      <c r="V16" s="96">
        <v>9</v>
      </c>
      <c r="W16" s="97" t="s">
        <v>464</v>
      </c>
      <c r="X16" s="98" t="s">
        <v>446</v>
      </c>
      <c r="Y16" s="108">
        <v>353.6</v>
      </c>
    </row>
    <row r="17" spans="1:25" x14ac:dyDescent="0.15">
      <c r="A17" s="135"/>
      <c r="B17" s="139" t="s">
        <v>482</v>
      </c>
      <c r="C17" s="152">
        <v>162.5</v>
      </c>
      <c r="D17" s="151"/>
      <c r="E17" s="154" t="e">
        <f>E16</f>
        <v>#REF!</v>
      </c>
      <c r="F17" s="151"/>
      <c r="G17" s="149" t="e">
        <f>E16*C17</f>
        <v>#REF!</v>
      </c>
      <c r="J17" s="89">
        <f t="shared" si="4"/>
        <v>8</v>
      </c>
      <c r="K17" s="132" t="e">
        <f>#REF!</f>
        <v>#REF!</v>
      </c>
      <c r="L17" s="132" t="e">
        <f>#REF!</f>
        <v>#REF!</v>
      </c>
      <c r="M17" s="132" t="e">
        <f>#REF!</f>
        <v>#REF!</v>
      </c>
      <c r="N17" s="134" t="e">
        <f t="shared" si="0"/>
        <v>#REF!</v>
      </c>
      <c r="O17" s="134" t="e">
        <f t="shared" si="1"/>
        <v>#REF!</v>
      </c>
      <c r="P17" s="134" t="e">
        <f t="shared" si="2"/>
        <v>#REF!</v>
      </c>
      <c r="Q17" s="134" t="e">
        <f t="shared" si="3"/>
        <v>#REF!</v>
      </c>
      <c r="V17" s="104">
        <v>10</v>
      </c>
      <c r="W17" s="97" t="s">
        <v>464</v>
      </c>
      <c r="X17" s="98" t="s">
        <v>447</v>
      </c>
      <c r="Y17" s="108">
        <v>322.2</v>
      </c>
    </row>
    <row r="18" spans="1:25" x14ac:dyDescent="0.15">
      <c r="A18" s="137"/>
      <c r="B18" s="139" t="s">
        <v>483</v>
      </c>
      <c r="C18" s="152">
        <v>171.5</v>
      </c>
      <c r="D18" s="151"/>
      <c r="E18" s="154" t="e">
        <f t="shared" ref="E18:E38" si="5">E17</f>
        <v>#REF!</v>
      </c>
      <c r="F18" s="151"/>
      <c r="G18" s="149" t="e">
        <f t="shared" ref="G18:G38" si="6">E17*C18</f>
        <v>#REF!</v>
      </c>
      <c r="J18" s="89">
        <f t="shared" si="4"/>
        <v>9</v>
      </c>
      <c r="K18" s="132" t="e">
        <f>#REF!</f>
        <v>#REF!</v>
      </c>
      <c r="L18" s="132" t="e">
        <f>#REF!</f>
        <v>#REF!</v>
      </c>
      <c r="M18" s="132" t="e">
        <f>#REF!</f>
        <v>#REF!</v>
      </c>
      <c r="N18" s="134" t="e">
        <f t="shared" si="0"/>
        <v>#REF!</v>
      </c>
      <c r="O18" s="134" t="e">
        <f t="shared" si="1"/>
        <v>#REF!</v>
      </c>
      <c r="P18" s="134" t="e">
        <f t="shared" si="2"/>
        <v>#REF!</v>
      </c>
      <c r="Q18" s="134" t="e">
        <f t="shared" si="3"/>
        <v>#REF!</v>
      </c>
      <c r="V18" s="96">
        <v>11</v>
      </c>
      <c r="W18" s="97" t="s">
        <v>464</v>
      </c>
      <c r="X18" s="125" t="s">
        <v>448</v>
      </c>
      <c r="Y18" s="108">
        <v>160.5</v>
      </c>
    </row>
    <row r="19" spans="1:25" x14ac:dyDescent="0.15">
      <c r="A19" s="135"/>
      <c r="B19" s="139" t="s">
        <v>484</v>
      </c>
      <c r="C19" s="152">
        <v>219.3</v>
      </c>
      <c r="D19" s="151"/>
      <c r="E19" s="154" t="e">
        <f t="shared" si="5"/>
        <v>#REF!</v>
      </c>
      <c r="F19" s="151"/>
      <c r="G19" s="149" t="e">
        <f t="shared" si="6"/>
        <v>#REF!</v>
      </c>
      <c r="J19" s="89">
        <f t="shared" si="4"/>
        <v>10</v>
      </c>
      <c r="K19" s="132" t="e">
        <f>#REF!</f>
        <v>#REF!</v>
      </c>
      <c r="L19" s="132" t="e">
        <f>#REF!</f>
        <v>#REF!</v>
      </c>
      <c r="M19" s="132" t="e">
        <f>#REF!</f>
        <v>#REF!</v>
      </c>
      <c r="N19" s="134" t="e">
        <f t="shared" si="0"/>
        <v>#REF!</v>
      </c>
      <c r="O19" s="134" t="e">
        <f t="shared" si="1"/>
        <v>#REF!</v>
      </c>
      <c r="P19" s="134" t="e">
        <f t="shared" si="2"/>
        <v>#REF!</v>
      </c>
      <c r="Q19" s="134" t="e">
        <f t="shared" si="3"/>
        <v>#REF!</v>
      </c>
      <c r="V19" s="104">
        <v>12</v>
      </c>
      <c r="W19" s="97" t="s">
        <v>464</v>
      </c>
      <c r="X19" s="125" t="s">
        <v>449</v>
      </c>
      <c r="Y19" s="108">
        <v>239.6</v>
      </c>
    </row>
    <row r="20" spans="1:25" x14ac:dyDescent="0.15">
      <c r="A20" s="137"/>
      <c r="B20" s="139" t="s">
        <v>485</v>
      </c>
      <c r="C20" s="152">
        <v>273.8</v>
      </c>
      <c r="D20" s="151"/>
      <c r="E20" s="154" t="e">
        <f t="shared" si="5"/>
        <v>#REF!</v>
      </c>
      <c r="F20" s="151"/>
      <c r="G20" s="149" t="e">
        <f t="shared" si="6"/>
        <v>#REF!</v>
      </c>
      <c r="J20" s="89">
        <f t="shared" si="4"/>
        <v>11</v>
      </c>
      <c r="K20" s="132" t="e">
        <f>#REF!</f>
        <v>#REF!</v>
      </c>
      <c r="L20" s="132" t="e">
        <f>#REF!</f>
        <v>#REF!</v>
      </c>
      <c r="M20" s="132" t="e">
        <f>#REF!</f>
        <v>#REF!</v>
      </c>
      <c r="N20" s="134" t="e">
        <f t="shared" si="0"/>
        <v>#REF!</v>
      </c>
      <c r="O20" s="134" t="e">
        <f t="shared" si="1"/>
        <v>#REF!</v>
      </c>
      <c r="P20" s="134" t="e">
        <f t="shared" si="2"/>
        <v>#REF!</v>
      </c>
      <c r="Q20" s="134" t="e">
        <f t="shared" si="3"/>
        <v>#REF!</v>
      </c>
      <c r="V20" s="96">
        <v>13</v>
      </c>
      <c r="W20" s="97" t="s">
        <v>464</v>
      </c>
      <c r="X20" s="125" t="s">
        <v>450</v>
      </c>
      <c r="Y20" s="108">
        <v>296.60000000000002</v>
      </c>
    </row>
    <row r="21" spans="1:25" x14ac:dyDescent="0.15">
      <c r="A21" s="135"/>
      <c r="B21" s="139" t="s">
        <v>486</v>
      </c>
      <c r="C21" s="152">
        <v>304.39999999999998</v>
      </c>
      <c r="D21" s="151"/>
      <c r="E21" s="154" t="e">
        <f t="shared" si="5"/>
        <v>#REF!</v>
      </c>
      <c r="F21" s="151"/>
      <c r="G21" s="149" t="e">
        <f t="shared" si="6"/>
        <v>#REF!</v>
      </c>
      <c r="J21" s="89">
        <f t="shared" si="4"/>
        <v>12</v>
      </c>
      <c r="K21" s="132" t="e">
        <f>#REF!</f>
        <v>#REF!</v>
      </c>
      <c r="L21" s="132" t="e">
        <f>#REF!</f>
        <v>#REF!</v>
      </c>
      <c r="M21" s="132" t="e">
        <f>#REF!</f>
        <v>#REF!</v>
      </c>
      <c r="N21" s="134" t="e">
        <f t="shared" si="0"/>
        <v>#REF!</v>
      </c>
      <c r="O21" s="134" t="e">
        <f t="shared" si="1"/>
        <v>#REF!</v>
      </c>
      <c r="P21" s="134" t="e">
        <f t="shared" si="2"/>
        <v>#REF!</v>
      </c>
      <c r="Q21" s="134" t="e">
        <f t="shared" si="3"/>
        <v>#REF!</v>
      </c>
      <c r="V21" s="104">
        <v>14</v>
      </c>
      <c r="W21" s="97" t="s">
        <v>464</v>
      </c>
      <c r="X21" s="98" t="s">
        <v>451</v>
      </c>
      <c r="Y21" s="108">
        <v>364.7</v>
      </c>
    </row>
    <row r="22" spans="1:25" x14ac:dyDescent="0.15">
      <c r="A22" s="137"/>
      <c r="B22" s="139" t="s">
        <v>487</v>
      </c>
      <c r="C22" s="152">
        <v>424.1</v>
      </c>
      <c r="D22" s="151"/>
      <c r="E22" s="154" t="e">
        <f t="shared" si="5"/>
        <v>#REF!</v>
      </c>
      <c r="F22" s="151"/>
      <c r="G22" s="149" t="e">
        <f t="shared" si="6"/>
        <v>#REF!</v>
      </c>
      <c r="J22" s="89">
        <f t="shared" si="4"/>
        <v>13</v>
      </c>
      <c r="K22" s="132" t="e">
        <f>#REF!</f>
        <v>#REF!</v>
      </c>
      <c r="L22" s="132" t="e">
        <f>#REF!</f>
        <v>#REF!</v>
      </c>
      <c r="M22" s="132" t="e">
        <f>#REF!</f>
        <v>#REF!</v>
      </c>
      <c r="N22" s="134" t="e">
        <f t="shared" si="0"/>
        <v>#REF!</v>
      </c>
      <c r="O22" s="134" t="e">
        <f t="shared" si="1"/>
        <v>#REF!</v>
      </c>
      <c r="P22" s="134" t="e">
        <f t="shared" si="2"/>
        <v>#REF!</v>
      </c>
      <c r="Q22" s="134" t="e">
        <f t="shared" si="3"/>
        <v>#REF!</v>
      </c>
      <c r="V22" s="96">
        <v>15</v>
      </c>
      <c r="W22" s="97" t="s">
        <v>464</v>
      </c>
      <c r="X22" s="98" t="s">
        <v>452</v>
      </c>
      <c r="Y22" s="108">
        <v>421</v>
      </c>
    </row>
    <row r="23" spans="1:25" x14ac:dyDescent="0.15">
      <c r="A23" s="135"/>
      <c r="B23" s="139" t="s">
        <v>488</v>
      </c>
      <c r="C23" s="152">
        <v>470.2</v>
      </c>
      <c r="D23" s="151"/>
      <c r="E23" s="154" t="e">
        <f t="shared" si="5"/>
        <v>#REF!</v>
      </c>
      <c r="F23" s="151"/>
      <c r="G23" s="149" t="e">
        <f t="shared" si="6"/>
        <v>#REF!</v>
      </c>
      <c r="J23" s="89">
        <f t="shared" si="4"/>
        <v>14</v>
      </c>
      <c r="K23" s="132" t="e">
        <f>#REF!</f>
        <v>#REF!</v>
      </c>
      <c r="L23" s="132" t="e">
        <f>#REF!</f>
        <v>#REF!</v>
      </c>
      <c r="M23" s="132" t="e">
        <f>#REF!</f>
        <v>#REF!</v>
      </c>
      <c r="N23" s="134" t="e">
        <f t="shared" si="0"/>
        <v>#REF!</v>
      </c>
      <c r="O23" s="134" t="e">
        <f t="shared" si="1"/>
        <v>#REF!</v>
      </c>
      <c r="P23" s="134" t="e">
        <f t="shared" si="2"/>
        <v>#REF!</v>
      </c>
      <c r="Q23" s="134" t="e">
        <f t="shared" si="3"/>
        <v>#REF!</v>
      </c>
      <c r="V23" s="104">
        <v>16</v>
      </c>
      <c r="W23" s="97" t="s">
        <v>464</v>
      </c>
      <c r="X23" s="98" t="s">
        <v>453</v>
      </c>
      <c r="Y23" s="108">
        <v>579.5</v>
      </c>
    </row>
    <row r="24" spans="1:25" x14ac:dyDescent="0.15">
      <c r="A24" s="137"/>
      <c r="B24" s="139" t="s">
        <v>489</v>
      </c>
      <c r="C24" s="152">
        <v>353.6</v>
      </c>
      <c r="D24" s="151"/>
      <c r="E24" s="154" t="e">
        <f t="shared" si="5"/>
        <v>#REF!</v>
      </c>
      <c r="F24" s="151"/>
      <c r="G24" s="149" t="e">
        <f t="shared" si="6"/>
        <v>#REF!</v>
      </c>
      <c r="J24" s="89">
        <f t="shared" si="4"/>
        <v>15</v>
      </c>
      <c r="K24" s="132" t="e">
        <f>#REF!</f>
        <v>#REF!</v>
      </c>
      <c r="L24" s="132" t="e">
        <f>#REF!</f>
        <v>#REF!</v>
      </c>
      <c r="M24" s="132" t="e">
        <f>#REF!</f>
        <v>#REF!</v>
      </c>
      <c r="N24" s="134" t="e">
        <f t="shared" si="0"/>
        <v>#REF!</v>
      </c>
      <c r="O24" s="134" t="e">
        <f t="shared" si="1"/>
        <v>#REF!</v>
      </c>
      <c r="P24" s="134" t="e">
        <f t="shared" si="2"/>
        <v>#REF!</v>
      </c>
      <c r="Q24" s="134" t="e">
        <f t="shared" si="3"/>
        <v>#REF!</v>
      </c>
      <c r="V24" s="96">
        <v>17</v>
      </c>
      <c r="W24" s="97" t="s">
        <v>464</v>
      </c>
      <c r="X24" s="98" t="s">
        <v>454</v>
      </c>
      <c r="Y24" s="108">
        <v>639.4</v>
      </c>
    </row>
    <row r="25" spans="1:25" x14ac:dyDescent="0.15">
      <c r="A25" s="135"/>
      <c r="B25" s="139" t="s">
        <v>490</v>
      </c>
      <c r="C25" s="152">
        <v>322.2</v>
      </c>
      <c r="D25" s="151"/>
      <c r="E25" s="154" t="e">
        <f t="shared" si="5"/>
        <v>#REF!</v>
      </c>
      <c r="F25" s="151"/>
      <c r="G25" s="149" t="e">
        <f t="shared" si="6"/>
        <v>#REF!</v>
      </c>
      <c r="V25" s="104">
        <v>18</v>
      </c>
      <c r="W25" s="97" t="s">
        <v>464</v>
      </c>
      <c r="X25" s="98" t="s">
        <v>455</v>
      </c>
      <c r="Y25" s="108">
        <v>296.60000000000002</v>
      </c>
    </row>
    <row r="26" spans="1:25" x14ac:dyDescent="0.15">
      <c r="A26" s="137"/>
      <c r="B26" s="140" t="s">
        <v>466</v>
      </c>
      <c r="C26" s="152">
        <v>160.5</v>
      </c>
      <c r="D26" s="151"/>
      <c r="E26" s="154" t="e">
        <f t="shared" si="5"/>
        <v>#REF!</v>
      </c>
      <c r="F26" s="151"/>
      <c r="G26" s="149" t="e">
        <f t="shared" si="6"/>
        <v>#REF!</v>
      </c>
      <c r="J26" s="90"/>
      <c r="K26" s="90"/>
      <c r="L26" s="90"/>
      <c r="M26" s="90"/>
      <c r="N26" s="90"/>
      <c r="O26" s="90"/>
      <c r="P26" s="90"/>
      <c r="Q26" s="90"/>
      <c r="V26" s="96">
        <v>19</v>
      </c>
      <c r="W26" s="97" t="s">
        <v>464</v>
      </c>
      <c r="X26" s="98" t="s">
        <v>456</v>
      </c>
      <c r="Y26" s="108">
        <v>451.7</v>
      </c>
    </row>
    <row r="27" spans="1:25" x14ac:dyDescent="0.15">
      <c r="A27" s="135"/>
      <c r="B27" s="140" t="s">
        <v>467</v>
      </c>
      <c r="C27" s="152">
        <v>239.6</v>
      </c>
      <c r="D27" s="151"/>
      <c r="E27" s="154" t="e">
        <f t="shared" si="5"/>
        <v>#REF!</v>
      </c>
      <c r="F27" s="151"/>
      <c r="G27" s="149" t="e">
        <f t="shared" si="6"/>
        <v>#REF!</v>
      </c>
      <c r="V27" s="104">
        <v>20</v>
      </c>
      <c r="W27" s="97" t="s">
        <v>464</v>
      </c>
      <c r="X27" s="98" t="s">
        <v>457</v>
      </c>
      <c r="Y27" s="108"/>
    </row>
    <row r="28" spans="1:25" x14ac:dyDescent="0.15">
      <c r="A28" s="137"/>
      <c r="B28" s="140" t="s">
        <v>468</v>
      </c>
      <c r="C28" s="152">
        <v>296.60000000000002</v>
      </c>
      <c r="D28" s="151"/>
      <c r="E28" s="154" t="e">
        <f t="shared" si="5"/>
        <v>#REF!</v>
      </c>
      <c r="F28" s="151"/>
      <c r="G28" s="149" t="e">
        <f t="shared" si="6"/>
        <v>#REF!</v>
      </c>
      <c r="V28" s="96">
        <v>21</v>
      </c>
      <c r="W28" s="97" t="s">
        <v>464</v>
      </c>
      <c r="X28" s="98" t="s">
        <v>458</v>
      </c>
      <c r="Y28" s="108"/>
    </row>
    <row r="29" spans="1:25" x14ac:dyDescent="0.15">
      <c r="A29" s="135"/>
      <c r="B29" s="139" t="s">
        <v>491</v>
      </c>
      <c r="C29" s="152">
        <v>364.7</v>
      </c>
      <c r="D29" s="151"/>
      <c r="E29" s="154" t="e">
        <f t="shared" si="5"/>
        <v>#REF!</v>
      </c>
      <c r="F29" s="151"/>
      <c r="G29" s="149" t="e">
        <f t="shared" si="6"/>
        <v>#REF!</v>
      </c>
      <c r="V29" s="104">
        <v>22</v>
      </c>
      <c r="W29" s="97" t="s">
        <v>464</v>
      </c>
      <c r="X29" s="98" t="s">
        <v>459</v>
      </c>
      <c r="Y29" s="108">
        <v>1233.2</v>
      </c>
    </row>
    <row r="30" spans="1:25" x14ac:dyDescent="0.15">
      <c r="A30" s="137"/>
      <c r="B30" s="139" t="s">
        <v>492</v>
      </c>
      <c r="C30" s="152">
        <v>421</v>
      </c>
      <c r="D30" s="151"/>
      <c r="E30" s="154" t="e">
        <f t="shared" si="5"/>
        <v>#REF!</v>
      </c>
      <c r="F30" s="151"/>
      <c r="G30" s="149" t="e">
        <f t="shared" si="6"/>
        <v>#REF!</v>
      </c>
      <c r="V30" s="96">
        <v>23</v>
      </c>
      <c r="W30" s="97" t="s">
        <v>464</v>
      </c>
      <c r="X30" s="98" t="s">
        <v>460</v>
      </c>
      <c r="Y30" s="108">
        <v>1256.0999999999999</v>
      </c>
    </row>
    <row r="31" spans="1:25" x14ac:dyDescent="0.15">
      <c r="A31" s="135"/>
      <c r="B31" s="139" t="s">
        <v>493</v>
      </c>
      <c r="C31" s="152">
        <v>579.5</v>
      </c>
      <c r="D31" s="151"/>
      <c r="E31" s="154" t="e">
        <f t="shared" si="5"/>
        <v>#REF!</v>
      </c>
      <c r="F31" s="151"/>
      <c r="G31" s="149" t="e">
        <f t="shared" si="6"/>
        <v>#REF!</v>
      </c>
      <c r="V31" s="104"/>
      <c r="W31" s="105"/>
      <c r="X31" s="98"/>
      <c r="Y31" s="108"/>
    </row>
    <row r="32" spans="1:25" x14ac:dyDescent="0.15">
      <c r="A32" s="137"/>
      <c r="B32" s="139" t="s">
        <v>494</v>
      </c>
      <c r="C32" s="152">
        <v>639.4</v>
      </c>
      <c r="D32" s="151"/>
      <c r="E32" s="154" t="e">
        <f t="shared" si="5"/>
        <v>#REF!</v>
      </c>
      <c r="F32" s="151"/>
      <c r="G32" s="149" t="e">
        <f t="shared" si="6"/>
        <v>#REF!</v>
      </c>
      <c r="V32" s="121"/>
      <c r="W32" s="114"/>
      <c r="X32" s="114"/>
      <c r="Y32" s="115"/>
    </row>
    <row r="33" spans="1:8" x14ac:dyDescent="0.15">
      <c r="A33" s="135"/>
      <c r="B33" s="139" t="s">
        <v>495</v>
      </c>
      <c r="C33" s="152">
        <v>296.60000000000002</v>
      </c>
      <c r="D33" s="151"/>
      <c r="E33" s="154" t="e">
        <f t="shared" si="5"/>
        <v>#REF!</v>
      </c>
      <c r="F33" s="151"/>
      <c r="G33" s="149" t="e">
        <f t="shared" si="6"/>
        <v>#REF!</v>
      </c>
    </row>
    <row r="34" spans="1:8" x14ac:dyDescent="0.15">
      <c r="A34" s="137"/>
      <c r="B34" s="139" t="s">
        <v>496</v>
      </c>
      <c r="C34" s="152">
        <v>451.7</v>
      </c>
      <c r="D34" s="151"/>
      <c r="E34" s="154" t="e">
        <f t="shared" si="5"/>
        <v>#REF!</v>
      </c>
      <c r="F34" s="151"/>
      <c r="G34" s="149" t="e">
        <f t="shared" si="6"/>
        <v>#REF!</v>
      </c>
    </row>
    <row r="35" spans="1:8" x14ac:dyDescent="0.15">
      <c r="A35" s="135"/>
      <c r="B35" s="139" t="s">
        <v>497</v>
      </c>
      <c r="C35" s="152"/>
      <c r="D35" s="151"/>
      <c r="E35" s="154" t="e">
        <f t="shared" si="5"/>
        <v>#REF!</v>
      </c>
      <c r="F35" s="151"/>
      <c r="G35" s="149" t="e">
        <f t="shared" si="6"/>
        <v>#REF!</v>
      </c>
    </row>
    <row r="36" spans="1:8" x14ac:dyDescent="0.15">
      <c r="A36" s="137"/>
      <c r="B36" s="139" t="s">
        <v>498</v>
      </c>
      <c r="C36" s="152"/>
      <c r="D36" s="151"/>
      <c r="E36" s="154" t="e">
        <f t="shared" si="5"/>
        <v>#REF!</v>
      </c>
      <c r="F36" s="151"/>
      <c r="G36" s="149" t="e">
        <f t="shared" si="6"/>
        <v>#REF!</v>
      </c>
    </row>
    <row r="37" spans="1:8" x14ac:dyDescent="0.15">
      <c r="A37" s="135"/>
      <c r="B37" s="139" t="s">
        <v>499</v>
      </c>
      <c r="C37" s="152">
        <v>1233.2</v>
      </c>
      <c r="D37" s="151"/>
      <c r="E37" s="154" t="e">
        <f t="shared" si="5"/>
        <v>#REF!</v>
      </c>
      <c r="F37" s="151"/>
      <c r="G37" s="149" t="e">
        <f t="shared" si="6"/>
        <v>#REF!</v>
      </c>
    </row>
    <row r="38" spans="1:8" x14ac:dyDescent="0.15">
      <c r="A38" s="137"/>
      <c r="B38" s="139" t="s">
        <v>500</v>
      </c>
      <c r="C38" s="152">
        <v>1256.0999999999999</v>
      </c>
      <c r="D38" s="151"/>
      <c r="E38" s="154" t="e">
        <f t="shared" si="5"/>
        <v>#REF!</v>
      </c>
      <c r="F38" s="151"/>
      <c r="G38" s="149" t="e">
        <f t="shared" si="6"/>
        <v>#REF!</v>
      </c>
    </row>
    <row r="39" spans="1:8" x14ac:dyDescent="0.15">
      <c r="A39" s="135"/>
      <c r="B39" s="136"/>
    </row>
    <row r="40" spans="1:8" x14ac:dyDescent="0.25">
      <c r="A40" s="90"/>
      <c r="B40" s="90"/>
      <c r="C40" s="90"/>
      <c r="D40" s="90"/>
      <c r="E40" s="90"/>
      <c r="F40" s="90"/>
      <c r="G40" s="90"/>
      <c r="H40" s="90"/>
    </row>
  </sheetData>
  <mergeCells count="3">
    <mergeCell ref="K6:M6"/>
    <mergeCell ref="N6:Q6"/>
    <mergeCell ref="J6:J7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S75"/>
  <sheetViews>
    <sheetView showGridLines="0" zoomScale="110" zoomScaleNormal="110" workbookViewId="0">
      <pane ySplit="6" topLeftCell="A7" activePane="bottomLeft" state="frozen"/>
      <selection pane="bottomLeft" activeCell="A10" sqref="A10"/>
    </sheetView>
  </sheetViews>
  <sheetFormatPr defaultColWidth="9.125" defaultRowHeight="11.25" x14ac:dyDescent="0.2"/>
  <cols>
    <col min="1" max="1" width="33.375" style="156" bestFit="1" customWidth="1"/>
    <col min="2" max="2" width="4.75" style="156" customWidth="1"/>
    <col min="3" max="3" width="4.75" style="174" customWidth="1"/>
    <col min="4" max="4" width="23.25" style="156" bestFit="1" customWidth="1"/>
    <col min="5" max="5" width="4.75" style="157" customWidth="1"/>
    <col min="6" max="6" width="7.25" style="157" customWidth="1"/>
    <col min="7" max="8" width="6.875" style="158" bestFit="1" customWidth="1"/>
    <col min="9" max="9" width="8.25" style="156" bestFit="1" customWidth="1"/>
    <col min="10" max="10" width="5.75" style="156" bestFit="1" customWidth="1"/>
    <col min="11" max="11" width="8.25" style="156" bestFit="1" customWidth="1"/>
    <col min="12" max="12" width="4.75" style="156" bestFit="1" customWidth="1"/>
    <col min="13" max="13" width="8.5" style="156" bestFit="1" customWidth="1"/>
    <col min="14" max="14" width="9.125" style="156"/>
    <col min="15" max="15" width="12.375" style="156" customWidth="1"/>
    <col min="16" max="18" width="9.125" style="156"/>
    <col min="19" max="19" width="19.25" style="156" customWidth="1"/>
    <col min="20" max="16384" width="9.125" style="156"/>
  </cols>
  <sheetData>
    <row r="1" spans="1:9" x14ac:dyDescent="0.2">
      <c r="A1" s="323" t="str">
        <f>Assumption!A1</f>
        <v>Bisnis Truk Thermoking</v>
      </c>
    </row>
    <row r="2" spans="1:9" x14ac:dyDescent="0.2">
      <c r="A2" s="323" t="str">
        <f>Assumption!A2</f>
        <v>Financial Pre-Feasibility Study</v>
      </c>
    </row>
    <row r="3" spans="1:9" x14ac:dyDescent="0.2">
      <c r="A3" s="324" t="s">
        <v>603</v>
      </c>
    </row>
    <row r="5" spans="1:9" x14ac:dyDescent="0.2">
      <c r="I5" s="165" t="s">
        <v>391</v>
      </c>
    </row>
    <row r="6" spans="1:9" ht="24" customHeight="1" x14ac:dyDescent="0.2">
      <c r="A6" s="325" t="s">
        <v>562</v>
      </c>
      <c r="B6" s="326"/>
      <c r="C6" s="327"/>
      <c r="D6" s="325" t="s">
        <v>606</v>
      </c>
      <c r="E6" s="328"/>
      <c r="F6" s="328"/>
      <c r="G6" s="329"/>
      <c r="H6" s="329"/>
      <c r="I6" s="161"/>
    </row>
    <row r="7" spans="1:9" x14ac:dyDescent="0.2">
      <c r="A7" s="164" t="s">
        <v>693</v>
      </c>
      <c r="D7" s="163" t="s">
        <v>69</v>
      </c>
      <c r="E7" s="801" t="s">
        <v>70</v>
      </c>
      <c r="F7" s="801"/>
      <c r="G7" s="330" t="s">
        <v>690</v>
      </c>
      <c r="H7" s="800" t="s">
        <v>255</v>
      </c>
      <c r="I7" s="800"/>
    </row>
    <row r="8" spans="1:9" x14ac:dyDescent="0.2">
      <c r="A8" s="409" t="s">
        <v>692</v>
      </c>
      <c r="D8" s="163"/>
      <c r="E8" s="162"/>
      <c r="F8" s="162"/>
      <c r="G8" s="330" t="s">
        <v>254</v>
      </c>
      <c r="H8" s="330" t="s">
        <v>71</v>
      </c>
      <c r="I8" s="330" t="s">
        <v>72</v>
      </c>
    </row>
    <row r="9" spans="1:9" x14ac:dyDescent="0.2">
      <c r="A9" s="409" t="s">
        <v>1264</v>
      </c>
      <c r="C9" s="331"/>
      <c r="D9" s="156" t="s">
        <v>768</v>
      </c>
      <c r="E9" s="159">
        <v>0</v>
      </c>
      <c r="F9" s="157" t="s">
        <v>687</v>
      </c>
      <c r="G9" s="332">
        <v>6000000</v>
      </c>
      <c r="H9" s="158">
        <f t="shared" ref="H9" si="0">E9*G9</f>
        <v>0</v>
      </c>
      <c r="I9" s="156">
        <f>H9*13</f>
        <v>0</v>
      </c>
    </row>
    <row r="10" spans="1:9" x14ac:dyDescent="0.2">
      <c r="A10" s="409" t="s">
        <v>694</v>
      </c>
      <c r="D10" s="156" t="s">
        <v>1260</v>
      </c>
      <c r="E10" s="159">
        <v>1</v>
      </c>
      <c r="F10" s="157" t="s">
        <v>687</v>
      </c>
      <c r="G10" s="332">
        <v>7000000</v>
      </c>
      <c r="H10" s="158">
        <f>E10*G10</f>
        <v>7000000</v>
      </c>
      <c r="I10" s="156">
        <f>H10*13</f>
        <v>91000000</v>
      </c>
    </row>
    <row r="11" spans="1:9" x14ac:dyDescent="0.2">
      <c r="A11" s="156" t="s">
        <v>695</v>
      </c>
      <c r="D11" s="156" t="s">
        <v>1060</v>
      </c>
      <c r="E11" s="159">
        <v>1</v>
      </c>
      <c r="F11" s="157" t="s">
        <v>687</v>
      </c>
      <c r="G11" s="272">
        <v>5000000</v>
      </c>
      <c r="H11" s="158">
        <f t="shared" ref="H11:H12" si="1">E11*G11</f>
        <v>5000000</v>
      </c>
      <c r="I11" s="156">
        <f t="shared" ref="I11:I12" si="2">H11*13</f>
        <v>65000000</v>
      </c>
    </row>
    <row r="12" spans="1:9" x14ac:dyDescent="0.2">
      <c r="D12" s="156" t="s">
        <v>1151</v>
      </c>
      <c r="E12" s="159">
        <v>1</v>
      </c>
      <c r="F12" s="157" t="s">
        <v>687</v>
      </c>
      <c r="G12" s="332">
        <v>5000000</v>
      </c>
      <c r="H12" s="158">
        <f t="shared" si="1"/>
        <v>5000000</v>
      </c>
      <c r="I12" s="156">
        <f t="shared" si="2"/>
        <v>65000000</v>
      </c>
    </row>
    <row r="13" spans="1:9" x14ac:dyDescent="0.2">
      <c r="D13" s="156" t="s">
        <v>772</v>
      </c>
      <c r="E13" s="159">
        <v>0</v>
      </c>
      <c r="F13" s="157" t="s">
        <v>687</v>
      </c>
      <c r="G13" s="332">
        <v>3500000</v>
      </c>
      <c r="H13" s="158">
        <f>E13*G13</f>
        <v>0</v>
      </c>
      <c r="I13" s="156">
        <f>H13*13</f>
        <v>0</v>
      </c>
    </row>
    <row r="14" spans="1:9" x14ac:dyDescent="0.2">
      <c r="D14" s="156" t="s">
        <v>771</v>
      </c>
      <c r="E14" s="159">
        <v>0</v>
      </c>
      <c r="F14" s="157" t="s">
        <v>687</v>
      </c>
      <c r="G14" s="332">
        <v>3500000</v>
      </c>
      <c r="H14" s="158">
        <f>E14*G14</f>
        <v>0</v>
      </c>
      <c r="I14" s="156">
        <f>H14*12</f>
        <v>0</v>
      </c>
    </row>
    <row r="15" spans="1:9" x14ac:dyDescent="0.2">
      <c r="D15" s="156" t="s">
        <v>770</v>
      </c>
      <c r="E15" s="159">
        <v>0</v>
      </c>
      <c r="F15" s="157" t="s">
        <v>687</v>
      </c>
      <c r="G15" s="332">
        <v>2500000</v>
      </c>
      <c r="H15" s="158">
        <f>E15*G15</f>
        <v>0</v>
      </c>
      <c r="I15" s="156">
        <f>H15*12</f>
        <v>0</v>
      </c>
    </row>
    <row r="16" spans="1:9" x14ac:dyDescent="0.2">
      <c r="D16" s="622" t="s">
        <v>769</v>
      </c>
      <c r="E16" s="623">
        <v>0</v>
      </c>
      <c r="F16" s="624" t="s">
        <v>687</v>
      </c>
      <c r="G16" s="625">
        <v>3000000</v>
      </c>
      <c r="H16" s="626">
        <f>E16*G16</f>
        <v>0</v>
      </c>
      <c r="I16" s="622">
        <f>H16*13</f>
        <v>0</v>
      </c>
    </row>
    <row r="18" spans="1:19" x14ac:dyDescent="0.2">
      <c r="A18" s="163"/>
      <c r="B18" s="163"/>
      <c r="D18" s="163"/>
      <c r="E18" s="162"/>
      <c r="F18" s="162"/>
      <c r="G18" s="333"/>
      <c r="H18" s="333"/>
      <c r="I18" s="163"/>
    </row>
    <row r="19" spans="1:19" x14ac:dyDescent="0.2">
      <c r="D19" s="334" t="s">
        <v>523</v>
      </c>
      <c r="E19" s="160">
        <f>SUM(E9:E16)</f>
        <v>3</v>
      </c>
      <c r="G19" s="157"/>
      <c r="H19" s="157"/>
      <c r="I19" s="173">
        <f>SUM(I9:I15)</f>
        <v>221000000</v>
      </c>
    </row>
    <row r="23" spans="1:19" x14ac:dyDescent="0.2">
      <c r="O23" s="467"/>
      <c r="S23" s="467"/>
    </row>
    <row r="24" spans="1:19" x14ac:dyDescent="0.2">
      <c r="O24" s="467"/>
      <c r="S24" s="467"/>
    </row>
    <row r="25" spans="1:19" x14ac:dyDescent="0.2">
      <c r="O25" s="467"/>
      <c r="S25" s="467"/>
    </row>
    <row r="26" spans="1:19" x14ac:dyDescent="0.2">
      <c r="S26" s="467"/>
    </row>
    <row r="56" spans="5:8" x14ac:dyDescent="0.2">
      <c r="E56" s="156"/>
      <c r="F56" s="156"/>
      <c r="G56" s="156"/>
      <c r="H56" s="156"/>
    </row>
    <row r="57" spans="5:8" x14ac:dyDescent="0.2">
      <c r="E57" s="156"/>
      <c r="F57" s="156"/>
      <c r="G57" s="156"/>
      <c r="H57" s="156"/>
    </row>
    <row r="58" spans="5:8" x14ac:dyDescent="0.2">
      <c r="E58" s="156"/>
      <c r="F58" s="156"/>
      <c r="G58" s="156"/>
      <c r="H58" s="156"/>
    </row>
    <row r="59" spans="5:8" x14ac:dyDescent="0.2">
      <c r="E59" s="156"/>
      <c r="F59" s="156"/>
      <c r="G59" s="156"/>
      <c r="H59" s="156"/>
    </row>
    <row r="60" spans="5:8" x14ac:dyDescent="0.2">
      <c r="E60" s="156"/>
      <c r="F60" s="156"/>
      <c r="G60" s="156"/>
      <c r="H60" s="156"/>
    </row>
    <row r="61" spans="5:8" x14ac:dyDescent="0.2">
      <c r="E61" s="156"/>
      <c r="F61" s="156"/>
      <c r="G61" s="156"/>
      <c r="H61" s="156"/>
    </row>
    <row r="62" spans="5:8" x14ac:dyDescent="0.2">
      <c r="E62" s="156"/>
      <c r="F62" s="156"/>
      <c r="G62" s="156"/>
      <c r="H62" s="156"/>
    </row>
    <row r="63" spans="5:8" x14ac:dyDescent="0.2">
      <c r="E63" s="156"/>
      <c r="F63" s="156"/>
      <c r="G63" s="156"/>
      <c r="H63" s="156"/>
    </row>
    <row r="64" spans="5:8" x14ac:dyDescent="0.2">
      <c r="E64" s="156"/>
      <c r="F64" s="156"/>
      <c r="G64" s="156"/>
      <c r="H64" s="156"/>
    </row>
    <row r="65" spans="5:9" x14ac:dyDescent="0.2">
      <c r="E65" s="156"/>
      <c r="F65" s="156"/>
      <c r="G65" s="156"/>
      <c r="H65" s="156"/>
    </row>
    <row r="66" spans="5:9" x14ac:dyDescent="0.2">
      <c r="E66" s="156"/>
      <c r="F66" s="156"/>
      <c r="G66" s="156"/>
      <c r="H66" s="156"/>
    </row>
    <row r="67" spans="5:9" x14ac:dyDescent="0.2">
      <c r="E67" s="156"/>
      <c r="F67" s="156"/>
      <c r="G67" s="156"/>
      <c r="H67" s="156"/>
    </row>
    <row r="68" spans="5:9" x14ac:dyDescent="0.2">
      <c r="E68" s="156"/>
      <c r="F68" s="156"/>
      <c r="G68" s="156"/>
      <c r="H68" s="156"/>
    </row>
    <row r="69" spans="5:9" x14ac:dyDescent="0.2">
      <c r="E69" s="156"/>
      <c r="F69" s="156"/>
      <c r="G69" s="156"/>
      <c r="H69" s="156"/>
    </row>
    <row r="70" spans="5:9" x14ac:dyDescent="0.2">
      <c r="E70" s="156"/>
      <c r="F70" s="156"/>
      <c r="G70" s="156"/>
      <c r="H70" s="156"/>
    </row>
    <row r="71" spans="5:9" x14ac:dyDescent="0.2">
      <c r="E71" s="156"/>
      <c r="F71" s="156"/>
      <c r="G71" s="156"/>
      <c r="H71" s="156"/>
    </row>
    <row r="72" spans="5:9" x14ac:dyDescent="0.2">
      <c r="E72" s="156"/>
      <c r="F72" s="156"/>
      <c r="G72" s="156"/>
      <c r="H72" s="156"/>
    </row>
    <row r="73" spans="5:9" x14ac:dyDescent="0.2">
      <c r="E73" s="156"/>
      <c r="F73" s="156"/>
      <c r="G73" s="156"/>
      <c r="H73" s="156"/>
    </row>
    <row r="74" spans="5:9" x14ac:dyDescent="0.2">
      <c r="E74" s="156"/>
      <c r="F74" s="156"/>
      <c r="G74" s="156"/>
      <c r="H74" s="156"/>
    </row>
    <row r="75" spans="5:9" x14ac:dyDescent="0.2">
      <c r="I75" s="157"/>
    </row>
  </sheetData>
  <mergeCells count="2">
    <mergeCell ref="H7:I7"/>
    <mergeCell ref="E7:F7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28A2-6B5D-475C-8C21-3E7BAF8A8462}">
  <dimension ref="A1:W78"/>
  <sheetViews>
    <sheetView showGridLines="0" zoomScaleNormal="100" workbookViewId="0">
      <pane xSplit="5" ySplit="7" topLeftCell="F8" activePane="bottomRight" state="frozen"/>
      <selection pane="topRight" activeCell="F1" sqref="F1"/>
      <selection pane="bottomLeft" activeCell="A9" sqref="A9"/>
      <selection pane="bottomRight" activeCell="R9" sqref="R9"/>
    </sheetView>
  </sheetViews>
  <sheetFormatPr defaultColWidth="9" defaultRowHeight="11.25" x14ac:dyDescent="0.25"/>
  <cols>
    <col min="1" max="1" width="2.75" style="271" customWidth="1"/>
    <col min="2" max="2" width="12.75" style="271" customWidth="1"/>
    <col min="3" max="3" width="8" style="271" customWidth="1"/>
    <col min="4" max="4" width="10.25" style="271" bestFit="1" customWidth="1"/>
    <col min="5" max="5" width="26" style="271" customWidth="1"/>
    <col min="6" max="6" width="9" style="271"/>
    <col min="7" max="7" width="8.75" style="271" customWidth="1"/>
    <col min="8" max="8" width="11.375" style="271" bestFit="1" customWidth="1"/>
    <col min="9" max="9" width="10.75" style="271" customWidth="1"/>
    <col min="10" max="10" width="10.125" style="271" bestFit="1" customWidth="1"/>
    <col min="11" max="11" width="13" style="271" bestFit="1" customWidth="1"/>
    <col min="12" max="12" width="9.5" style="271" bestFit="1" customWidth="1"/>
    <col min="13" max="13" width="8.75" style="271" bestFit="1" customWidth="1"/>
    <col min="14" max="14" width="5.625" style="271" customWidth="1"/>
    <col min="15" max="15" width="10.25" style="271" bestFit="1" customWidth="1"/>
    <col min="16" max="16" width="9.5" style="271" bestFit="1" customWidth="1"/>
    <col min="17" max="17" width="10.25" style="271" bestFit="1" customWidth="1"/>
    <col min="18" max="18" width="9" style="271"/>
    <col min="19" max="19" width="9.5" style="271" bestFit="1" customWidth="1"/>
    <col min="20" max="21" width="9" style="271"/>
    <col min="22" max="22" width="9.5" style="271" bestFit="1" customWidth="1"/>
    <col min="23" max="16384" width="9" style="271"/>
  </cols>
  <sheetData>
    <row r="1" spans="1:23" x14ac:dyDescent="0.2">
      <c r="A1" s="274" t="str">
        <f>[4]Assumption!A1</f>
        <v>Bisnis Truk Thermoking</v>
      </c>
      <c r="I1" s="277"/>
      <c r="J1" s="277"/>
      <c r="K1" s="277"/>
    </row>
    <row r="2" spans="1:23" x14ac:dyDescent="0.2">
      <c r="A2" s="274" t="str">
        <f>[4]Assumption!A2</f>
        <v>Financial Pre-Feasibility Study</v>
      </c>
      <c r="H2" s="316"/>
      <c r="I2" s="277"/>
      <c r="J2" s="277"/>
      <c r="K2" s="277"/>
      <c r="L2" s="316"/>
    </row>
    <row r="3" spans="1:23" x14ac:dyDescent="0.25">
      <c r="A3" s="276" t="s">
        <v>607</v>
      </c>
    </row>
    <row r="5" spans="1:23" x14ac:dyDescent="0.25">
      <c r="G5" s="277"/>
      <c r="H5" s="277"/>
      <c r="I5" s="282"/>
      <c r="J5" s="335"/>
      <c r="K5" s="282"/>
      <c r="L5" s="336"/>
      <c r="M5" s="165" t="s">
        <v>601</v>
      </c>
    </row>
    <row r="6" spans="1:23" ht="43.5" customHeight="1" x14ac:dyDescent="0.25">
      <c r="A6" s="263" t="s">
        <v>68</v>
      </c>
      <c r="B6" s="264"/>
      <c r="C6" s="264"/>
      <c r="D6" s="264"/>
      <c r="E6" s="264"/>
      <c r="G6" s="270" t="s">
        <v>536</v>
      </c>
      <c r="H6" s="802" t="s">
        <v>614</v>
      </c>
      <c r="I6" s="270" t="s">
        <v>615</v>
      </c>
      <c r="J6" s="270" t="s">
        <v>616</v>
      </c>
      <c r="K6" s="270" t="s">
        <v>617</v>
      </c>
      <c r="L6" s="270" t="s">
        <v>618</v>
      </c>
      <c r="M6" s="270" t="s">
        <v>619</v>
      </c>
      <c r="O6" s="270" t="s">
        <v>594</v>
      </c>
      <c r="P6" s="802" t="s">
        <v>614</v>
      </c>
      <c r="Q6" s="270" t="s">
        <v>1273</v>
      </c>
      <c r="R6" s="270" t="s">
        <v>616</v>
      </c>
      <c r="S6" s="270" t="s">
        <v>1274</v>
      </c>
      <c r="T6" s="270" t="s">
        <v>618</v>
      </c>
      <c r="U6" s="270" t="s">
        <v>619</v>
      </c>
      <c r="V6" s="270" t="s">
        <v>1275</v>
      </c>
    </row>
    <row r="7" spans="1:23" ht="11.25" customHeight="1" x14ac:dyDescent="0.25">
      <c r="A7" s="263"/>
      <c r="B7" s="264"/>
      <c r="C7" s="264"/>
      <c r="D7" s="264"/>
      <c r="E7" s="264"/>
      <c r="G7" s="270"/>
      <c r="H7" s="802"/>
      <c r="I7" s="270"/>
      <c r="J7" s="270"/>
      <c r="K7" s="270"/>
      <c r="L7" s="270"/>
      <c r="M7" s="270"/>
      <c r="O7" s="270"/>
      <c r="P7" s="802"/>
      <c r="Q7" s="270"/>
      <c r="R7" s="270"/>
      <c r="S7" s="270"/>
      <c r="T7" s="270"/>
      <c r="U7" s="270"/>
      <c r="V7" s="270"/>
    </row>
    <row r="8" spans="1:23" x14ac:dyDescent="0.25">
      <c r="A8" s="271" t="s">
        <v>150</v>
      </c>
      <c r="B8" s="271" t="s">
        <v>608</v>
      </c>
      <c r="G8" s="282">
        <v>1</v>
      </c>
      <c r="H8" s="164">
        <f>D9</f>
        <v>2660000000</v>
      </c>
      <c r="I8" s="164">
        <f>H8</f>
        <v>2660000000</v>
      </c>
      <c r="J8" s="165">
        <f>I8/D12</f>
        <v>532000000</v>
      </c>
      <c r="K8" s="164">
        <f>I8-J8</f>
        <v>2128000000</v>
      </c>
      <c r="L8" s="164">
        <f>T20</f>
        <v>191519999.99999994</v>
      </c>
      <c r="M8" s="749">
        <f>L8</f>
        <v>191519999.99999994</v>
      </c>
      <c r="O8" s="282">
        <v>1</v>
      </c>
      <c r="P8" s="164">
        <v>2660000000</v>
      </c>
      <c r="Q8" s="164">
        <f>P8</f>
        <v>2660000000</v>
      </c>
      <c r="R8" s="752">
        <f>$Q$8/60</f>
        <v>44333333.333333336</v>
      </c>
      <c r="S8" s="164">
        <f>Q8-R8</f>
        <v>2615666666.6666665</v>
      </c>
      <c r="T8" s="164">
        <f>(Q8+S8)/2*($D$11%/12)</f>
        <v>17585555.555555556</v>
      </c>
      <c r="U8" s="338">
        <f>T8</f>
        <v>17585555.555555556</v>
      </c>
    </row>
    <row r="9" spans="1:23" x14ac:dyDescent="0.25">
      <c r="B9" s="271" t="s">
        <v>515</v>
      </c>
      <c r="C9" s="271" t="s">
        <v>373</v>
      </c>
      <c r="D9" s="339">
        <f>[4]CapitalInvestment!C10</f>
        <v>2660000000</v>
      </c>
      <c r="E9" s="271" t="s">
        <v>517</v>
      </c>
      <c r="G9" s="282">
        <v>2</v>
      </c>
      <c r="H9" s="165"/>
      <c r="I9" s="164">
        <f>K8+L8-M8</f>
        <v>2128000000</v>
      </c>
      <c r="J9" s="165">
        <f>J8</f>
        <v>532000000</v>
      </c>
      <c r="K9" s="164">
        <f>I9-J9</f>
        <v>1596000000</v>
      </c>
      <c r="L9" s="164">
        <f>T33</f>
        <v>148959999.99999991</v>
      </c>
      <c r="M9" s="340">
        <f>L9</f>
        <v>148959999.99999991</v>
      </c>
      <c r="O9" s="282">
        <v>2</v>
      </c>
      <c r="P9" s="164"/>
      <c r="Q9" s="164">
        <f>S8+T8-U8</f>
        <v>2615666666.6666665</v>
      </c>
      <c r="R9" s="752">
        <f>$Q$8/60</f>
        <v>44333333.333333336</v>
      </c>
      <c r="S9" s="164">
        <f>Q9-R9</f>
        <v>2571333333.333333</v>
      </c>
      <c r="T9" s="164">
        <f t="shared" ref="T9:T19" si="0">(Q9+S9)/2*($D$11%/12)</f>
        <v>17290000</v>
      </c>
      <c r="U9" s="338">
        <f t="shared" ref="U9:U71" si="1">T9</f>
        <v>17290000</v>
      </c>
    </row>
    <row r="10" spans="1:23" x14ac:dyDescent="0.25">
      <c r="A10" s="268" t="s">
        <v>151</v>
      </c>
      <c r="B10" s="271" t="s">
        <v>160</v>
      </c>
      <c r="G10" s="282">
        <f>G9+1</f>
        <v>3</v>
      </c>
      <c r="H10" s="165"/>
      <c r="I10" s="164">
        <f>K9+L9-M9+H10</f>
        <v>1596000000</v>
      </c>
      <c r="J10" s="165">
        <f>J9</f>
        <v>532000000</v>
      </c>
      <c r="K10" s="164">
        <f t="shared" ref="K10:K11" si="2">I10-J10</f>
        <v>1064000000</v>
      </c>
      <c r="L10" s="164">
        <f>T46</f>
        <v>106399999.99999997</v>
      </c>
      <c r="M10" s="340">
        <f t="shared" ref="M10:M18" si="3">L10</f>
        <v>106399999.99999997</v>
      </c>
      <c r="O10" s="282">
        <f>O9+1</f>
        <v>3</v>
      </c>
      <c r="P10" s="164"/>
      <c r="Q10" s="164">
        <f t="shared" ref="Q10:Q71" si="4">S9+T9-U9</f>
        <v>2571333333.333333</v>
      </c>
      <c r="R10" s="752">
        <f t="shared" ref="R10:R71" si="5">$Q$8/60</f>
        <v>44333333.333333336</v>
      </c>
      <c r="S10" s="164">
        <f t="shared" ref="S10:S71" si="6">Q10-R10</f>
        <v>2526999999.9999995</v>
      </c>
      <c r="T10" s="164">
        <f t="shared" si="0"/>
        <v>16994444.44444444</v>
      </c>
      <c r="U10" s="338">
        <f t="shared" si="1"/>
        <v>16994444.44444444</v>
      </c>
      <c r="W10" s="753"/>
    </row>
    <row r="11" spans="1:23" x14ac:dyDescent="0.25">
      <c r="B11" s="271" t="s">
        <v>609</v>
      </c>
      <c r="D11" s="341">
        <f>[4]Assumption!E30</f>
        <v>8</v>
      </c>
      <c r="E11" s="271" t="s">
        <v>62</v>
      </c>
      <c r="G11" s="282">
        <f t="shared" ref="G11:G17" si="7">G10+1</f>
        <v>4</v>
      </c>
      <c r="H11" s="165"/>
      <c r="I11" s="164">
        <f>K10+L10-M10+H11</f>
        <v>1064000000</v>
      </c>
      <c r="J11" s="164">
        <f>J10</f>
        <v>532000000</v>
      </c>
      <c r="K11" s="164">
        <f t="shared" si="2"/>
        <v>532000000</v>
      </c>
      <c r="L11" s="164">
        <f>T59</f>
        <v>63839999.999999993</v>
      </c>
      <c r="M11" s="340">
        <f t="shared" si="3"/>
        <v>63839999.999999993</v>
      </c>
      <c r="O11" s="282">
        <f t="shared" ref="O11:O71" si="8">O10+1</f>
        <v>4</v>
      </c>
      <c r="P11" s="164"/>
      <c r="Q11" s="164">
        <f t="shared" si="4"/>
        <v>2526999999.9999995</v>
      </c>
      <c r="R11" s="752">
        <f t="shared" si="5"/>
        <v>44333333.333333336</v>
      </c>
      <c r="S11" s="164">
        <f t="shared" si="6"/>
        <v>2482666666.666666</v>
      </c>
      <c r="T11" s="164">
        <f t="shared" si="0"/>
        <v>16698888.888888888</v>
      </c>
      <c r="U11" s="338">
        <f t="shared" si="1"/>
        <v>16698888.888888888</v>
      </c>
      <c r="W11" s="753"/>
    </row>
    <row r="12" spans="1:23" x14ac:dyDescent="0.25">
      <c r="B12" s="271" t="s">
        <v>610</v>
      </c>
      <c r="D12" s="341">
        <f>[4]Assumption!E31</f>
        <v>5</v>
      </c>
      <c r="E12" s="271" t="s">
        <v>566</v>
      </c>
      <c r="G12" s="282">
        <f t="shared" si="7"/>
        <v>5</v>
      </c>
      <c r="H12" s="165"/>
      <c r="I12" s="164">
        <f>K11+L11-M11</f>
        <v>532000000</v>
      </c>
      <c r="J12" s="164">
        <f>J11</f>
        <v>532000000</v>
      </c>
      <c r="K12" s="164">
        <f>I12-J12</f>
        <v>0</v>
      </c>
      <c r="L12" s="164">
        <f>T72</f>
        <v>21279999.999999985</v>
      </c>
      <c r="M12" s="340">
        <f t="shared" si="3"/>
        <v>21279999.999999985</v>
      </c>
      <c r="O12" s="282">
        <f t="shared" si="8"/>
        <v>5</v>
      </c>
      <c r="P12" s="164"/>
      <c r="Q12" s="164">
        <f t="shared" si="4"/>
        <v>2482666666.666666</v>
      </c>
      <c r="R12" s="752">
        <f t="shared" si="5"/>
        <v>44333333.333333336</v>
      </c>
      <c r="S12" s="164">
        <f t="shared" si="6"/>
        <v>2438333333.3333325</v>
      </c>
      <c r="T12" s="164">
        <f t="shared" si="0"/>
        <v>16403333.333333328</v>
      </c>
      <c r="U12" s="338">
        <f t="shared" si="1"/>
        <v>16403333.333333328</v>
      </c>
    </row>
    <row r="13" spans="1:23" x14ac:dyDescent="0.25">
      <c r="B13" s="271" t="s">
        <v>611</v>
      </c>
      <c r="D13" s="342">
        <f>[4]Assumption!E32</f>
        <v>0</v>
      </c>
      <c r="E13" s="271" t="s">
        <v>566</v>
      </c>
      <c r="G13" s="282">
        <f t="shared" si="7"/>
        <v>6</v>
      </c>
      <c r="H13" s="165"/>
      <c r="I13" s="164">
        <f>K12+L12-M12+H13</f>
        <v>0</v>
      </c>
      <c r="J13" s="164">
        <v>0</v>
      </c>
      <c r="K13" s="164">
        <f>I13-J13</f>
        <v>0</v>
      </c>
      <c r="L13" s="164">
        <f t="shared" ref="L13:L17" si="9">((I13+K13)/2)*$D$11%</f>
        <v>0</v>
      </c>
      <c r="M13" s="340">
        <f t="shared" si="3"/>
        <v>0</v>
      </c>
      <c r="O13" s="282">
        <f t="shared" si="8"/>
        <v>6</v>
      </c>
      <c r="P13" s="164"/>
      <c r="Q13" s="164">
        <f t="shared" si="4"/>
        <v>2438333333.3333325</v>
      </c>
      <c r="R13" s="752">
        <f t="shared" si="5"/>
        <v>44333333.333333336</v>
      </c>
      <c r="S13" s="164">
        <f t="shared" si="6"/>
        <v>2393999999.999999</v>
      </c>
      <c r="T13" s="164">
        <f t="shared" si="0"/>
        <v>16107777.777777774</v>
      </c>
      <c r="U13" s="338">
        <f t="shared" si="1"/>
        <v>16107777.777777774</v>
      </c>
    </row>
    <row r="14" spans="1:23" x14ac:dyDescent="0.25">
      <c r="B14" s="271" t="s">
        <v>612</v>
      </c>
      <c r="D14" s="343">
        <f>[4]Assumption!E20</f>
        <v>15000</v>
      </c>
      <c r="E14" s="271" t="s">
        <v>61</v>
      </c>
      <c r="G14" s="282">
        <f t="shared" si="7"/>
        <v>7</v>
      </c>
      <c r="H14" s="165"/>
      <c r="I14" s="164">
        <v>0</v>
      </c>
      <c r="J14" s="164">
        <v>0</v>
      </c>
      <c r="K14" s="164">
        <f t="shared" ref="K14:K17" si="10">I14-J14</f>
        <v>0</v>
      </c>
      <c r="L14" s="164">
        <f t="shared" si="9"/>
        <v>0</v>
      </c>
      <c r="M14" s="340">
        <f t="shared" si="3"/>
        <v>0</v>
      </c>
      <c r="O14" s="282">
        <f t="shared" si="8"/>
        <v>7</v>
      </c>
      <c r="P14" s="164"/>
      <c r="Q14" s="164">
        <f t="shared" si="4"/>
        <v>2393999999.999999</v>
      </c>
      <c r="R14" s="752">
        <f t="shared" si="5"/>
        <v>44333333.333333336</v>
      </c>
      <c r="S14" s="164">
        <f t="shared" si="6"/>
        <v>2349666666.6666656</v>
      </c>
      <c r="T14" s="164">
        <f t="shared" si="0"/>
        <v>15812222.222222215</v>
      </c>
      <c r="U14" s="338">
        <f t="shared" si="1"/>
        <v>15812222.222222215</v>
      </c>
    </row>
    <row r="15" spans="1:23" x14ac:dyDescent="0.25">
      <c r="A15" s="268" t="s">
        <v>152</v>
      </c>
      <c r="B15" s="271" t="s">
        <v>161</v>
      </c>
      <c r="D15" s="313"/>
      <c r="G15" s="282">
        <f t="shared" si="7"/>
        <v>8</v>
      </c>
      <c r="H15" s="165"/>
      <c r="I15" s="164">
        <v>0</v>
      </c>
      <c r="J15" s="164">
        <f>J14</f>
        <v>0</v>
      </c>
      <c r="K15" s="164">
        <f t="shared" si="10"/>
        <v>0</v>
      </c>
      <c r="L15" s="164">
        <f t="shared" si="9"/>
        <v>0</v>
      </c>
      <c r="M15" s="340">
        <f t="shared" si="3"/>
        <v>0</v>
      </c>
      <c r="O15" s="282">
        <f t="shared" si="8"/>
        <v>8</v>
      </c>
      <c r="P15" s="164"/>
      <c r="Q15" s="164">
        <f t="shared" si="4"/>
        <v>2349666666.6666656</v>
      </c>
      <c r="R15" s="752">
        <f t="shared" si="5"/>
        <v>44333333.333333336</v>
      </c>
      <c r="S15" s="164">
        <f t="shared" si="6"/>
        <v>2305333333.3333321</v>
      </c>
      <c r="T15" s="164">
        <f t="shared" si="0"/>
        <v>15516666.66666666</v>
      </c>
      <c r="U15" s="338">
        <f t="shared" si="1"/>
        <v>15516666.66666666</v>
      </c>
    </row>
    <row r="16" spans="1:23" x14ac:dyDescent="0.25">
      <c r="A16" s="268" t="s">
        <v>153</v>
      </c>
      <c r="B16" s="271" t="s">
        <v>513</v>
      </c>
      <c r="G16" s="282">
        <f t="shared" si="7"/>
        <v>9</v>
      </c>
      <c r="H16" s="165"/>
      <c r="I16" s="164">
        <v>0</v>
      </c>
      <c r="J16" s="164">
        <f t="shared" ref="J16:J17" si="11">J15</f>
        <v>0</v>
      </c>
      <c r="K16" s="164">
        <f t="shared" si="10"/>
        <v>0</v>
      </c>
      <c r="L16" s="164">
        <f t="shared" si="9"/>
        <v>0</v>
      </c>
      <c r="M16" s="340">
        <f t="shared" si="3"/>
        <v>0</v>
      </c>
      <c r="O16" s="282">
        <f t="shared" si="8"/>
        <v>9</v>
      </c>
      <c r="P16" s="164"/>
      <c r="Q16" s="164">
        <f t="shared" si="4"/>
        <v>2305333333.3333321</v>
      </c>
      <c r="R16" s="752">
        <f t="shared" si="5"/>
        <v>44333333.333333336</v>
      </c>
      <c r="S16" s="164">
        <f t="shared" si="6"/>
        <v>2260999999.9999986</v>
      </c>
      <c r="T16" s="164">
        <f t="shared" si="0"/>
        <v>15221111.111111101</v>
      </c>
      <c r="U16" s="338">
        <f t="shared" si="1"/>
        <v>15221111.111111101</v>
      </c>
    </row>
    <row r="17" spans="1:22" x14ac:dyDescent="0.25">
      <c r="B17" s="271" t="s">
        <v>365</v>
      </c>
      <c r="G17" s="282">
        <f t="shared" si="7"/>
        <v>10</v>
      </c>
      <c r="H17" s="165"/>
      <c r="I17" s="164">
        <v>0</v>
      </c>
      <c r="J17" s="164">
        <f t="shared" si="11"/>
        <v>0</v>
      </c>
      <c r="K17" s="164">
        <f t="shared" si="10"/>
        <v>0</v>
      </c>
      <c r="L17" s="164">
        <f t="shared" si="9"/>
        <v>0</v>
      </c>
      <c r="M17" s="340">
        <f t="shared" si="3"/>
        <v>0</v>
      </c>
      <c r="O17" s="282">
        <f t="shared" si="8"/>
        <v>10</v>
      </c>
      <c r="P17" s="164"/>
      <c r="Q17" s="164">
        <f t="shared" si="4"/>
        <v>2260999999.9999986</v>
      </c>
      <c r="R17" s="752">
        <f t="shared" si="5"/>
        <v>44333333.333333336</v>
      </c>
      <c r="S17" s="164">
        <f t="shared" si="6"/>
        <v>2216666666.6666651</v>
      </c>
      <c r="T17" s="164">
        <f t="shared" si="0"/>
        <v>14925555.555555549</v>
      </c>
      <c r="U17" s="338">
        <f t="shared" si="1"/>
        <v>14925555.555555549</v>
      </c>
    </row>
    <row r="18" spans="1:22" x14ac:dyDescent="0.25">
      <c r="A18" s="268" t="s">
        <v>154</v>
      </c>
      <c r="B18" s="271" t="s">
        <v>162</v>
      </c>
      <c r="G18" s="284"/>
      <c r="H18" s="284"/>
      <c r="I18" s="284"/>
      <c r="J18" s="284"/>
      <c r="K18" s="284"/>
      <c r="L18" s="291">
        <f>SUM(L8:L17)</f>
        <v>531999999.99999988</v>
      </c>
      <c r="M18" s="291">
        <f t="shared" si="3"/>
        <v>531999999.99999988</v>
      </c>
      <c r="O18" s="282">
        <f t="shared" si="8"/>
        <v>11</v>
      </c>
      <c r="P18" s="164"/>
      <c r="Q18" s="164">
        <f t="shared" si="4"/>
        <v>2216666666.6666651</v>
      </c>
      <c r="R18" s="752">
        <f t="shared" si="5"/>
        <v>44333333.333333336</v>
      </c>
      <c r="S18" s="164">
        <f t="shared" si="6"/>
        <v>2172333333.3333316</v>
      </c>
      <c r="T18" s="164">
        <f t="shared" si="0"/>
        <v>14629999.999999989</v>
      </c>
      <c r="U18" s="338">
        <f t="shared" si="1"/>
        <v>14629999.999999989</v>
      </c>
    </row>
    <row r="19" spans="1:22" x14ac:dyDescent="0.25">
      <c r="A19" s="268" t="s">
        <v>155</v>
      </c>
      <c r="B19" s="271" t="s">
        <v>613</v>
      </c>
      <c r="O19" s="297">
        <f t="shared" si="8"/>
        <v>12</v>
      </c>
      <c r="P19" s="298"/>
      <c r="Q19" s="298">
        <f t="shared" si="4"/>
        <v>2172333333.3333316</v>
      </c>
      <c r="R19" s="754">
        <f t="shared" si="5"/>
        <v>44333333.333333336</v>
      </c>
      <c r="S19" s="298">
        <f t="shared" si="6"/>
        <v>2127999999.9999983</v>
      </c>
      <c r="T19" s="164">
        <f t="shared" si="0"/>
        <v>14334444.444444435</v>
      </c>
      <c r="U19" s="755">
        <f t="shared" si="1"/>
        <v>14334444.444444435</v>
      </c>
      <c r="V19" s="292"/>
    </row>
    <row r="20" spans="1:22" x14ac:dyDescent="0.25">
      <c r="B20" s="271" t="s">
        <v>501</v>
      </c>
      <c r="D20" s="339"/>
      <c r="E20" s="271" t="s">
        <v>386</v>
      </c>
      <c r="H20" s="344">
        <f>I9</f>
        <v>2128000000</v>
      </c>
      <c r="J20" s="344">
        <f>SUM(J9:J17)</f>
        <v>2128000000</v>
      </c>
      <c r="K20" s="345" t="s">
        <v>366</v>
      </c>
      <c r="L20" s="345"/>
      <c r="O20" s="756"/>
      <c r="P20" s="757"/>
      <c r="Q20" s="757"/>
      <c r="R20" s="758">
        <f>SUM(R8:R19)</f>
        <v>531999999.99999994</v>
      </c>
      <c r="S20" s="758"/>
      <c r="T20" s="758">
        <f t="shared" ref="T20" si="12">SUM(T8:T19)</f>
        <v>191519999.99999994</v>
      </c>
      <c r="U20" s="759"/>
      <c r="V20" s="760"/>
    </row>
    <row r="21" spans="1:22" x14ac:dyDescent="0.25">
      <c r="M21" s="271">
        <f>L8/12</f>
        <v>15959999.999999994</v>
      </c>
      <c r="O21" s="282">
        <f>O19+1</f>
        <v>13</v>
      </c>
      <c r="Q21" s="164">
        <f>S19+T19-U19</f>
        <v>2127999999.9999983</v>
      </c>
      <c r="R21" s="752">
        <f t="shared" si="5"/>
        <v>44333333.333333336</v>
      </c>
      <c r="S21" s="164">
        <f t="shared" si="6"/>
        <v>2083666666.6666651</v>
      </c>
      <c r="T21" s="164">
        <f>(Q21+S21)/2*($D$11%/12)</f>
        <v>14038888.888888879</v>
      </c>
      <c r="U21" s="338">
        <f t="shared" si="1"/>
        <v>14038888.888888879</v>
      </c>
    </row>
    <row r="22" spans="1:22" x14ac:dyDescent="0.25">
      <c r="O22" s="282">
        <f t="shared" si="8"/>
        <v>14</v>
      </c>
      <c r="Q22" s="164">
        <f t="shared" si="4"/>
        <v>2083666666.6666651</v>
      </c>
      <c r="R22" s="752">
        <f t="shared" si="5"/>
        <v>44333333.333333336</v>
      </c>
      <c r="S22" s="164">
        <f t="shared" si="6"/>
        <v>2039333333.3333318</v>
      </c>
      <c r="T22" s="164">
        <f t="shared" ref="T22:T32" si="13">(Q22+S22)/2*($D$11%/12)</f>
        <v>13743333.333333325</v>
      </c>
      <c r="U22" s="338">
        <f t="shared" si="1"/>
        <v>13743333.333333325</v>
      </c>
    </row>
    <row r="23" spans="1:22" x14ac:dyDescent="0.25">
      <c r="J23" s="316">
        <f>I9-K23</f>
        <v>266000000</v>
      </c>
      <c r="K23" s="723">
        <f>(I9+K9)/2</f>
        <v>1862000000</v>
      </c>
      <c r="O23" s="282">
        <f t="shared" si="8"/>
        <v>15</v>
      </c>
      <c r="Q23" s="164">
        <f t="shared" si="4"/>
        <v>2039333333.3333318</v>
      </c>
      <c r="R23" s="752">
        <f t="shared" si="5"/>
        <v>44333333.333333336</v>
      </c>
      <c r="S23" s="164">
        <f t="shared" si="6"/>
        <v>1994999999.9999986</v>
      </c>
      <c r="T23" s="164">
        <f t="shared" si="13"/>
        <v>13447777.777777769</v>
      </c>
      <c r="U23" s="338">
        <f t="shared" si="1"/>
        <v>13447777.777777769</v>
      </c>
    </row>
    <row r="24" spans="1:22" x14ac:dyDescent="0.25">
      <c r="O24" s="282">
        <f t="shared" si="8"/>
        <v>16</v>
      </c>
      <c r="Q24" s="164">
        <f t="shared" si="4"/>
        <v>1994999999.9999986</v>
      </c>
      <c r="R24" s="752">
        <f t="shared" si="5"/>
        <v>44333333.333333336</v>
      </c>
      <c r="S24" s="164">
        <f t="shared" si="6"/>
        <v>1950666666.6666653</v>
      </c>
      <c r="T24" s="164">
        <f t="shared" si="13"/>
        <v>13152222.222222215</v>
      </c>
      <c r="U24" s="338">
        <f t="shared" si="1"/>
        <v>13152222.222222215</v>
      </c>
    </row>
    <row r="25" spans="1:22" x14ac:dyDescent="0.25">
      <c r="I25" s="288"/>
      <c r="K25" s="345"/>
      <c r="O25" s="282">
        <f t="shared" si="8"/>
        <v>17</v>
      </c>
      <c r="Q25" s="164">
        <f t="shared" si="4"/>
        <v>1950666666.6666653</v>
      </c>
      <c r="R25" s="752">
        <f t="shared" si="5"/>
        <v>44333333.333333336</v>
      </c>
      <c r="S25" s="164">
        <f t="shared" si="6"/>
        <v>1906333333.3333321</v>
      </c>
      <c r="T25" s="164">
        <f t="shared" si="13"/>
        <v>12856666.666666659</v>
      </c>
      <c r="U25" s="338">
        <f t="shared" si="1"/>
        <v>12856666.666666659</v>
      </c>
    </row>
    <row r="26" spans="1:22" x14ac:dyDescent="0.25">
      <c r="O26" s="282">
        <f t="shared" si="8"/>
        <v>18</v>
      </c>
      <c r="Q26" s="164">
        <f t="shared" si="4"/>
        <v>1906333333.3333321</v>
      </c>
      <c r="R26" s="752">
        <f t="shared" si="5"/>
        <v>44333333.333333336</v>
      </c>
      <c r="S26" s="164">
        <f t="shared" si="6"/>
        <v>1861999999.9999988</v>
      </c>
      <c r="T26" s="164">
        <f t="shared" si="13"/>
        <v>12561111.111111104</v>
      </c>
      <c r="U26" s="338">
        <f t="shared" si="1"/>
        <v>12561111.111111104</v>
      </c>
    </row>
    <row r="27" spans="1:22" x14ac:dyDescent="0.25">
      <c r="O27" s="282">
        <f t="shared" si="8"/>
        <v>19</v>
      </c>
      <c r="Q27" s="164">
        <f t="shared" si="4"/>
        <v>1861999999.9999988</v>
      </c>
      <c r="R27" s="752">
        <f t="shared" si="5"/>
        <v>44333333.333333336</v>
      </c>
      <c r="S27" s="164">
        <f t="shared" si="6"/>
        <v>1817666666.6666656</v>
      </c>
      <c r="T27" s="164">
        <f t="shared" si="13"/>
        <v>12265555.555555549</v>
      </c>
      <c r="U27" s="338">
        <f t="shared" si="1"/>
        <v>12265555.555555549</v>
      </c>
    </row>
    <row r="28" spans="1:22" x14ac:dyDescent="0.25">
      <c r="H28" s="746">
        <f>K8*D11%</f>
        <v>170240000</v>
      </c>
      <c r="K28" s="723">
        <v>1444217400</v>
      </c>
      <c r="L28" s="316">
        <f>K28/60</f>
        <v>24070290</v>
      </c>
      <c r="O28" s="282">
        <f t="shared" si="8"/>
        <v>20</v>
      </c>
      <c r="Q28" s="164">
        <f t="shared" si="4"/>
        <v>1817666666.6666656</v>
      </c>
      <c r="R28" s="752">
        <f t="shared" si="5"/>
        <v>44333333.333333336</v>
      </c>
      <c r="S28" s="164">
        <f t="shared" si="6"/>
        <v>1773333333.3333323</v>
      </c>
      <c r="T28" s="164">
        <f t="shared" si="13"/>
        <v>11969999.999999994</v>
      </c>
      <c r="U28" s="338">
        <f t="shared" si="1"/>
        <v>11969999.999999994</v>
      </c>
    </row>
    <row r="29" spans="1:22" x14ac:dyDescent="0.25">
      <c r="H29" s="746">
        <f>H28*3</f>
        <v>510720000</v>
      </c>
      <c r="K29" s="723">
        <v>1419317100</v>
      </c>
      <c r="L29" s="316">
        <f>K29/60</f>
        <v>23655285</v>
      </c>
      <c r="O29" s="282">
        <f t="shared" si="8"/>
        <v>21</v>
      </c>
      <c r="Q29" s="164">
        <f t="shared" si="4"/>
        <v>1773333333.3333323</v>
      </c>
      <c r="R29" s="752">
        <f t="shared" si="5"/>
        <v>44333333.333333336</v>
      </c>
      <c r="S29" s="164">
        <f t="shared" si="6"/>
        <v>1728999999.999999</v>
      </c>
      <c r="T29" s="164">
        <f t="shared" si="13"/>
        <v>11674444.444444438</v>
      </c>
      <c r="U29" s="338">
        <f t="shared" si="1"/>
        <v>11674444.444444438</v>
      </c>
    </row>
    <row r="30" spans="1:22" x14ac:dyDescent="0.25">
      <c r="K30" s="723">
        <v>1519210000</v>
      </c>
      <c r="L30" s="316">
        <f t="shared" ref="L30:L31" si="14">K30/60</f>
        <v>25320166.666666668</v>
      </c>
      <c r="O30" s="282">
        <f t="shared" si="8"/>
        <v>22</v>
      </c>
      <c r="Q30" s="164">
        <f t="shared" si="4"/>
        <v>1728999999.999999</v>
      </c>
      <c r="R30" s="752">
        <f t="shared" si="5"/>
        <v>44333333.333333336</v>
      </c>
      <c r="S30" s="164">
        <f t="shared" si="6"/>
        <v>1684666666.6666658</v>
      </c>
      <c r="T30" s="164">
        <f t="shared" si="13"/>
        <v>11378888.888888884</v>
      </c>
      <c r="U30" s="338">
        <f t="shared" si="1"/>
        <v>11378888.888888884</v>
      </c>
    </row>
    <row r="31" spans="1:22" x14ac:dyDescent="0.25">
      <c r="K31" s="723">
        <v>303842000</v>
      </c>
      <c r="L31" s="316">
        <f t="shared" si="14"/>
        <v>5064033.333333333</v>
      </c>
      <c r="O31" s="282">
        <f t="shared" si="8"/>
        <v>23</v>
      </c>
      <c r="Q31" s="164">
        <f t="shared" si="4"/>
        <v>1684666666.6666658</v>
      </c>
      <c r="R31" s="752">
        <f t="shared" si="5"/>
        <v>44333333.333333336</v>
      </c>
      <c r="S31" s="164">
        <f t="shared" si="6"/>
        <v>1640333333.3333325</v>
      </c>
      <c r="T31" s="164">
        <f t="shared" si="13"/>
        <v>11083333.333333328</v>
      </c>
      <c r="U31" s="338">
        <f t="shared" si="1"/>
        <v>11083333.333333328</v>
      </c>
    </row>
    <row r="32" spans="1:22" x14ac:dyDescent="0.25">
      <c r="H32" s="271">
        <v>1378046250</v>
      </c>
      <c r="K32" s="723">
        <f>K30-K31</f>
        <v>1215368000</v>
      </c>
      <c r="L32" s="316">
        <f>K32/60</f>
        <v>20256133.333333332</v>
      </c>
      <c r="O32" s="297">
        <f t="shared" si="8"/>
        <v>24</v>
      </c>
      <c r="P32" s="298"/>
      <c r="Q32" s="298">
        <f t="shared" si="4"/>
        <v>1640333333.3333325</v>
      </c>
      <c r="R32" s="754">
        <f t="shared" si="5"/>
        <v>44333333.333333336</v>
      </c>
      <c r="S32" s="298">
        <f t="shared" si="6"/>
        <v>1595999999.9999993</v>
      </c>
      <c r="T32" s="164">
        <f t="shared" si="13"/>
        <v>10787777.777777774</v>
      </c>
      <c r="U32" s="755">
        <f t="shared" si="1"/>
        <v>10787777.777777774</v>
      </c>
      <c r="V32" s="292"/>
    </row>
    <row r="33" spans="8:22" x14ac:dyDescent="0.25">
      <c r="H33" s="746">
        <f>H32-H29</f>
        <v>867326250</v>
      </c>
      <c r="K33" s="723"/>
      <c r="O33" s="756"/>
      <c r="P33" s="757"/>
      <c r="Q33" s="757"/>
      <c r="R33" s="761">
        <f>SUM(R21:R32)</f>
        <v>531999999.99999994</v>
      </c>
      <c r="S33" s="761"/>
      <c r="T33" s="761">
        <f t="shared" ref="T33" si="15">SUM(T21:T32)</f>
        <v>148959999.99999991</v>
      </c>
      <c r="U33" s="759"/>
      <c r="V33" s="760"/>
    </row>
    <row r="34" spans="8:22" x14ac:dyDescent="0.25">
      <c r="K34" s="723"/>
      <c r="O34" s="282">
        <f>O32+1</f>
        <v>25</v>
      </c>
      <c r="Q34" s="164">
        <f>S32+T32-U32</f>
        <v>1595999999.9999993</v>
      </c>
      <c r="R34" s="752">
        <f t="shared" si="5"/>
        <v>44333333.333333336</v>
      </c>
      <c r="S34" s="164">
        <f t="shared" si="6"/>
        <v>1551666666.666666</v>
      </c>
      <c r="T34" s="164">
        <f>(Q34+S34)/2*($D$11%/12)</f>
        <v>10492222.222222218</v>
      </c>
      <c r="U34" s="338">
        <f t="shared" si="1"/>
        <v>10492222.222222218</v>
      </c>
    </row>
    <row r="35" spans="8:22" x14ac:dyDescent="0.25">
      <c r="K35" s="723">
        <v>24900300</v>
      </c>
      <c r="O35" s="282">
        <f t="shared" si="8"/>
        <v>26</v>
      </c>
      <c r="Q35" s="164">
        <f t="shared" si="4"/>
        <v>1551666666.666666</v>
      </c>
      <c r="R35" s="752">
        <f t="shared" si="5"/>
        <v>44333333.333333336</v>
      </c>
      <c r="S35" s="164">
        <f t="shared" si="6"/>
        <v>1507333333.3333328</v>
      </c>
      <c r="T35" s="164">
        <f t="shared" ref="T35:T45" si="16">(Q35+S35)/2*($D$11%/12)</f>
        <v>10196666.666666664</v>
      </c>
      <c r="U35" s="338">
        <f t="shared" si="1"/>
        <v>10196666.666666664</v>
      </c>
    </row>
    <row r="36" spans="8:22" x14ac:dyDescent="0.25">
      <c r="O36" s="282">
        <f t="shared" si="8"/>
        <v>27</v>
      </c>
      <c r="Q36" s="164">
        <f t="shared" si="4"/>
        <v>1507333333.3333328</v>
      </c>
      <c r="R36" s="752">
        <f t="shared" si="5"/>
        <v>44333333.333333336</v>
      </c>
      <c r="S36" s="164">
        <f t="shared" si="6"/>
        <v>1462999999.9999995</v>
      </c>
      <c r="T36" s="164">
        <f t="shared" si="16"/>
        <v>9901111.1111111082</v>
      </c>
      <c r="U36" s="338">
        <f t="shared" si="1"/>
        <v>9901111.1111111082</v>
      </c>
    </row>
    <row r="37" spans="8:22" x14ac:dyDescent="0.25">
      <c r="O37" s="282">
        <f t="shared" si="8"/>
        <v>28</v>
      </c>
      <c r="Q37" s="164">
        <f t="shared" si="4"/>
        <v>1462999999.9999995</v>
      </c>
      <c r="R37" s="752">
        <f t="shared" si="5"/>
        <v>44333333.333333336</v>
      </c>
      <c r="S37" s="164">
        <f t="shared" si="6"/>
        <v>1418666666.6666663</v>
      </c>
      <c r="T37" s="164">
        <f t="shared" si="16"/>
        <v>9605555.5555555541</v>
      </c>
      <c r="U37" s="338">
        <f t="shared" si="1"/>
        <v>9605555.5555555541</v>
      </c>
    </row>
    <row r="38" spans="8:22" x14ac:dyDescent="0.25">
      <c r="O38" s="282">
        <f t="shared" si="8"/>
        <v>29</v>
      </c>
      <c r="Q38" s="164">
        <f t="shared" si="4"/>
        <v>1418666666.6666663</v>
      </c>
      <c r="R38" s="752">
        <f t="shared" si="5"/>
        <v>44333333.333333336</v>
      </c>
      <c r="S38" s="164">
        <f t="shared" si="6"/>
        <v>1374333333.333333</v>
      </c>
      <c r="T38" s="164">
        <f t="shared" si="16"/>
        <v>9309999.9999999981</v>
      </c>
      <c r="U38" s="338">
        <f t="shared" si="1"/>
        <v>9309999.9999999981</v>
      </c>
    </row>
    <row r="39" spans="8:22" x14ac:dyDescent="0.25">
      <c r="L39" s="164">
        <f>T20+T33+T46+T59+T72</f>
        <v>531999999.99999988</v>
      </c>
      <c r="O39" s="282">
        <f t="shared" si="8"/>
        <v>30</v>
      </c>
      <c r="Q39" s="164">
        <f t="shared" si="4"/>
        <v>1374333333.333333</v>
      </c>
      <c r="R39" s="752">
        <f t="shared" si="5"/>
        <v>44333333.333333336</v>
      </c>
      <c r="S39" s="164">
        <f t="shared" si="6"/>
        <v>1329999999.9999998</v>
      </c>
      <c r="T39" s="164">
        <f t="shared" si="16"/>
        <v>9014444.444444444</v>
      </c>
      <c r="U39" s="338">
        <f t="shared" si="1"/>
        <v>9014444.444444444</v>
      </c>
    </row>
    <row r="40" spans="8:22" x14ac:dyDescent="0.25">
      <c r="O40" s="282">
        <f t="shared" si="8"/>
        <v>31</v>
      </c>
      <c r="Q40" s="164">
        <f t="shared" si="4"/>
        <v>1329999999.9999998</v>
      </c>
      <c r="R40" s="752">
        <f t="shared" si="5"/>
        <v>44333333.333333336</v>
      </c>
      <c r="S40" s="164">
        <f t="shared" si="6"/>
        <v>1285666666.6666665</v>
      </c>
      <c r="T40" s="164">
        <f t="shared" si="16"/>
        <v>8718888.8888888881</v>
      </c>
      <c r="U40" s="338">
        <f t="shared" si="1"/>
        <v>8718888.8888888881</v>
      </c>
    </row>
    <row r="41" spans="8:22" x14ac:dyDescent="0.25">
      <c r="O41" s="282">
        <f t="shared" si="8"/>
        <v>32</v>
      </c>
      <c r="Q41" s="164">
        <f t="shared" si="4"/>
        <v>1285666666.6666665</v>
      </c>
      <c r="R41" s="752">
        <f t="shared" si="5"/>
        <v>44333333.333333336</v>
      </c>
      <c r="S41" s="164">
        <f t="shared" si="6"/>
        <v>1241333333.3333333</v>
      </c>
      <c r="T41" s="164">
        <f t="shared" si="16"/>
        <v>8423333.333333334</v>
      </c>
      <c r="U41" s="338">
        <f t="shared" si="1"/>
        <v>8423333.333333334</v>
      </c>
    </row>
    <row r="42" spans="8:22" x14ac:dyDescent="0.25">
      <c r="O42" s="282">
        <f t="shared" si="8"/>
        <v>33</v>
      </c>
      <c r="Q42" s="164">
        <f t="shared" si="4"/>
        <v>1241333333.3333333</v>
      </c>
      <c r="R42" s="752">
        <f t="shared" si="5"/>
        <v>44333333.333333336</v>
      </c>
      <c r="S42" s="164">
        <f t="shared" si="6"/>
        <v>1197000000</v>
      </c>
      <c r="T42" s="164">
        <f t="shared" si="16"/>
        <v>8127777.7777777771</v>
      </c>
      <c r="U42" s="338">
        <f t="shared" si="1"/>
        <v>8127777.7777777771</v>
      </c>
    </row>
    <row r="43" spans="8:22" x14ac:dyDescent="0.25">
      <c r="O43" s="282">
        <f t="shared" si="8"/>
        <v>34</v>
      </c>
      <c r="Q43" s="164">
        <f t="shared" si="4"/>
        <v>1197000000</v>
      </c>
      <c r="R43" s="752">
        <f t="shared" si="5"/>
        <v>44333333.333333336</v>
      </c>
      <c r="S43" s="164">
        <f t="shared" si="6"/>
        <v>1152666666.6666667</v>
      </c>
      <c r="T43" s="164">
        <f t="shared" si="16"/>
        <v>7832222.2222222239</v>
      </c>
      <c r="U43" s="338">
        <f t="shared" si="1"/>
        <v>7832222.2222222239</v>
      </c>
    </row>
    <row r="44" spans="8:22" x14ac:dyDescent="0.25">
      <c r="O44" s="282">
        <f t="shared" si="8"/>
        <v>35</v>
      </c>
      <c r="Q44" s="164">
        <f t="shared" si="4"/>
        <v>1152666666.6666667</v>
      </c>
      <c r="R44" s="752">
        <f t="shared" si="5"/>
        <v>44333333.333333336</v>
      </c>
      <c r="S44" s="164">
        <f t="shared" si="6"/>
        <v>1108333333.3333335</v>
      </c>
      <c r="T44" s="164">
        <f t="shared" si="16"/>
        <v>7536666.666666667</v>
      </c>
      <c r="U44" s="338">
        <f t="shared" si="1"/>
        <v>7536666.666666667</v>
      </c>
    </row>
    <row r="45" spans="8:22" x14ac:dyDescent="0.25">
      <c r="O45" s="297">
        <f t="shared" si="8"/>
        <v>36</v>
      </c>
      <c r="P45" s="298"/>
      <c r="Q45" s="298">
        <f t="shared" si="4"/>
        <v>1108333333.3333335</v>
      </c>
      <c r="R45" s="754">
        <f t="shared" si="5"/>
        <v>44333333.333333336</v>
      </c>
      <c r="S45" s="298">
        <f t="shared" si="6"/>
        <v>1064000000.0000001</v>
      </c>
      <c r="T45" s="164">
        <f t="shared" si="16"/>
        <v>7241111.1111111119</v>
      </c>
      <c r="U45" s="755">
        <f t="shared" si="1"/>
        <v>7241111.1111111119</v>
      </c>
      <c r="V45" s="292"/>
    </row>
    <row r="46" spans="8:22" x14ac:dyDescent="0.25">
      <c r="O46" s="756"/>
      <c r="P46" s="757"/>
      <c r="Q46" s="757"/>
      <c r="R46" s="761">
        <f>SUM(R34:R45)</f>
        <v>531999999.99999994</v>
      </c>
      <c r="S46" s="761"/>
      <c r="T46" s="761">
        <f t="shared" ref="T46" si="17">SUM(T34:T45)</f>
        <v>106399999.99999997</v>
      </c>
      <c r="U46" s="759"/>
      <c r="V46" s="760"/>
    </row>
    <row r="47" spans="8:22" x14ac:dyDescent="0.25">
      <c r="O47" s="282">
        <f>O45+1</f>
        <v>37</v>
      </c>
      <c r="Q47" s="164">
        <f>S45+T45-U45</f>
        <v>1064000000.0000001</v>
      </c>
      <c r="R47" s="752">
        <f t="shared" si="5"/>
        <v>44333333.333333336</v>
      </c>
      <c r="S47" s="164">
        <f t="shared" si="6"/>
        <v>1019666666.6666667</v>
      </c>
      <c r="T47" s="164">
        <f>(Q47+S47)/2*($D$11%/12)</f>
        <v>6945555.5555555569</v>
      </c>
      <c r="U47" s="338">
        <f t="shared" si="1"/>
        <v>6945555.5555555569</v>
      </c>
    </row>
    <row r="48" spans="8:22" x14ac:dyDescent="0.25">
      <c r="O48" s="282">
        <f t="shared" si="8"/>
        <v>38</v>
      </c>
      <c r="Q48" s="164">
        <f t="shared" si="4"/>
        <v>1019666666.6666667</v>
      </c>
      <c r="R48" s="752">
        <f t="shared" si="5"/>
        <v>44333333.333333336</v>
      </c>
      <c r="S48" s="164">
        <f t="shared" si="6"/>
        <v>975333333.33333337</v>
      </c>
      <c r="T48" s="164">
        <f t="shared" ref="T48:T58" si="18">(Q48+S48)/2*($D$11%/12)</f>
        <v>6650000</v>
      </c>
      <c r="U48" s="338">
        <f t="shared" si="1"/>
        <v>6650000</v>
      </c>
    </row>
    <row r="49" spans="15:22" x14ac:dyDescent="0.25">
      <c r="O49" s="282">
        <f t="shared" si="8"/>
        <v>39</v>
      </c>
      <c r="Q49" s="164">
        <f t="shared" si="4"/>
        <v>975333333.33333337</v>
      </c>
      <c r="R49" s="752">
        <f t="shared" si="5"/>
        <v>44333333.333333336</v>
      </c>
      <c r="S49" s="164">
        <f t="shared" si="6"/>
        <v>931000000</v>
      </c>
      <c r="T49" s="164">
        <f t="shared" si="18"/>
        <v>6354444.444444445</v>
      </c>
      <c r="U49" s="338">
        <f t="shared" si="1"/>
        <v>6354444.444444445</v>
      </c>
    </row>
    <row r="50" spans="15:22" x14ac:dyDescent="0.25">
      <c r="O50" s="282">
        <f t="shared" si="8"/>
        <v>40</v>
      </c>
      <c r="Q50" s="164">
        <f t="shared" si="4"/>
        <v>931000000</v>
      </c>
      <c r="R50" s="752">
        <f t="shared" si="5"/>
        <v>44333333.333333336</v>
      </c>
      <c r="S50" s="164">
        <f t="shared" si="6"/>
        <v>886666666.66666663</v>
      </c>
      <c r="T50" s="164">
        <f t="shared" si="18"/>
        <v>6058888.888888889</v>
      </c>
      <c r="U50" s="338">
        <f t="shared" si="1"/>
        <v>6058888.888888889</v>
      </c>
    </row>
    <row r="51" spans="15:22" x14ac:dyDescent="0.25">
      <c r="O51" s="282">
        <f t="shared" si="8"/>
        <v>41</v>
      </c>
      <c r="Q51" s="164">
        <f t="shared" si="4"/>
        <v>886666666.66666663</v>
      </c>
      <c r="R51" s="752">
        <f t="shared" si="5"/>
        <v>44333333.333333336</v>
      </c>
      <c r="S51" s="164">
        <f t="shared" si="6"/>
        <v>842333333.33333325</v>
      </c>
      <c r="T51" s="164">
        <f t="shared" si="18"/>
        <v>5763333.333333334</v>
      </c>
      <c r="U51" s="338">
        <f t="shared" si="1"/>
        <v>5763333.333333334</v>
      </c>
    </row>
    <row r="52" spans="15:22" x14ac:dyDescent="0.25">
      <c r="O52" s="282">
        <f t="shared" si="8"/>
        <v>42</v>
      </c>
      <c r="Q52" s="164">
        <f t="shared" si="4"/>
        <v>842333333.33333325</v>
      </c>
      <c r="R52" s="752">
        <f t="shared" si="5"/>
        <v>44333333.333333336</v>
      </c>
      <c r="S52" s="164">
        <f t="shared" si="6"/>
        <v>797999999.99999988</v>
      </c>
      <c r="T52" s="164">
        <f t="shared" si="18"/>
        <v>5467777.7777777771</v>
      </c>
      <c r="U52" s="338">
        <f t="shared" si="1"/>
        <v>5467777.7777777771</v>
      </c>
    </row>
    <row r="53" spans="15:22" x14ac:dyDescent="0.25">
      <c r="O53" s="282">
        <f t="shared" si="8"/>
        <v>43</v>
      </c>
      <c r="Q53" s="164">
        <f t="shared" si="4"/>
        <v>797999999.99999988</v>
      </c>
      <c r="R53" s="752">
        <f t="shared" si="5"/>
        <v>44333333.333333336</v>
      </c>
      <c r="S53" s="164">
        <f t="shared" si="6"/>
        <v>753666666.66666651</v>
      </c>
      <c r="T53" s="164">
        <f t="shared" si="18"/>
        <v>5172222.222222222</v>
      </c>
      <c r="U53" s="338">
        <f t="shared" si="1"/>
        <v>5172222.222222222</v>
      </c>
    </row>
    <row r="54" spans="15:22" x14ac:dyDescent="0.25">
      <c r="O54" s="282">
        <f t="shared" si="8"/>
        <v>44</v>
      </c>
      <c r="Q54" s="164">
        <f t="shared" si="4"/>
        <v>753666666.66666651</v>
      </c>
      <c r="R54" s="752">
        <f t="shared" si="5"/>
        <v>44333333.333333336</v>
      </c>
      <c r="S54" s="164">
        <f t="shared" si="6"/>
        <v>709333333.33333313</v>
      </c>
      <c r="T54" s="164">
        <f t="shared" si="18"/>
        <v>4876666.6666666651</v>
      </c>
      <c r="U54" s="338">
        <f t="shared" si="1"/>
        <v>4876666.6666666651</v>
      </c>
    </row>
    <row r="55" spans="15:22" x14ac:dyDescent="0.25">
      <c r="O55" s="282">
        <f t="shared" si="8"/>
        <v>45</v>
      </c>
      <c r="Q55" s="164">
        <f t="shared" si="4"/>
        <v>709333333.33333313</v>
      </c>
      <c r="R55" s="752">
        <f t="shared" si="5"/>
        <v>44333333.333333336</v>
      </c>
      <c r="S55" s="164">
        <f t="shared" si="6"/>
        <v>664999999.99999976</v>
      </c>
      <c r="T55" s="164">
        <f t="shared" si="18"/>
        <v>4581111.1111111101</v>
      </c>
      <c r="U55" s="338">
        <f t="shared" si="1"/>
        <v>4581111.1111111101</v>
      </c>
    </row>
    <row r="56" spans="15:22" x14ac:dyDescent="0.25">
      <c r="O56" s="282">
        <f t="shared" si="8"/>
        <v>46</v>
      </c>
      <c r="Q56" s="164">
        <f t="shared" si="4"/>
        <v>664999999.99999976</v>
      </c>
      <c r="R56" s="752">
        <f t="shared" si="5"/>
        <v>44333333.333333336</v>
      </c>
      <c r="S56" s="164">
        <f t="shared" si="6"/>
        <v>620666666.66666639</v>
      </c>
      <c r="T56" s="164">
        <f t="shared" si="18"/>
        <v>4285555.5555555541</v>
      </c>
      <c r="U56" s="338">
        <f t="shared" si="1"/>
        <v>4285555.5555555541</v>
      </c>
    </row>
    <row r="57" spans="15:22" x14ac:dyDescent="0.25">
      <c r="O57" s="282">
        <f t="shared" si="8"/>
        <v>47</v>
      </c>
      <c r="Q57" s="164">
        <f t="shared" si="4"/>
        <v>620666666.66666639</v>
      </c>
      <c r="R57" s="752">
        <f t="shared" si="5"/>
        <v>44333333.333333336</v>
      </c>
      <c r="S57" s="164">
        <f t="shared" si="6"/>
        <v>576333333.33333302</v>
      </c>
      <c r="T57" s="164">
        <f t="shared" si="18"/>
        <v>3989999.9999999986</v>
      </c>
      <c r="U57" s="338">
        <f t="shared" si="1"/>
        <v>3989999.9999999986</v>
      </c>
    </row>
    <row r="58" spans="15:22" x14ac:dyDescent="0.25">
      <c r="O58" s="297">
        <f t="shared" si="8"/>
        <v>48</v>
      </c>
      <c r="P58" s="298"/>
      <c r="Q58" s="298">
        <f t="shared" si="4"/>
        <v>576333333.33333302</v>
      </c>
      <c r="R58" s="754">
        <f t="shared" si="5"/>
        <v>44333333.333333336</v>
      </c>
      <c r="S58" s="298">
        <f t="shared" si="6"/>
        <v>531999999.9999997</v>
      </c>
      <c r="T58" s="164">
        <f t="shared" si="18"/>
        <v>3694444.4444444426</v>
      </c>
      <c r="U58" s="755">
        <f t="shared" si="1"/>
        <v>3694444.4444444426</v>
      </c>
      <c r="V58" s="292"/>
    </row>
    <row r="59" spans="15:22" x14ac:dyDescent="0.25">
      <c r="O59" s="756"/>
      <c r="P59" s="757"/>
      <c r="Q59" s="757"/>
      <c r="R59" s="761">
        <f>SUM(R47:R58)</f>
        <v>531999999.99999994</v>
      </c>
      <c r="S59" s="761"/>
      <c r="T59" s="761">
        <f t="shared" ref="T59" si="19">SUM(T47:T58)</f>
        <v>63839999.999999993</v>
      </c>
      <c r="U59" s="759"/>
      <c r="V59" s="760"/>
    </row>
    <row r="60" spans="15:22" x14ac:dyDescent="0.25">
      <c r="O60" s="282">
        <f>O58+1</f>
        <v>49</v>
      </c>
      <c r="Q60" s="164">
        <f>S58+T58-U58</f>
        <v>531999999.9999997</v>
      </c>
      <c r="R60" s="752">
        <f t="shared" si="5"/>
        <v>44333333.333333336</v>
      </c>
      <c r="S60" s="164">
        <f t="shared" si="6"/>
        <v>487666666.66666639</v>
      </c>
      <c r="T60" s="164">
        <f>(Q60+S60)/2*($D$11%/12)</f>
        <v>3398888.8888888871</v>
      </c>
      <c r="U60" s="338">
        <f t="shared" si="1"/>
        <v>3398888.8888888871</v>
      </c>
    </row>
    <row r="61" spans="15:22" x14ac:dyDescent="0.25">
      <c r="O61" s="282">
        <f t="shared" si="8"/>
        <v>50</v>
      </c>
      <c r="Q61" s="164">
        <f t="shared" si="4"/>
        <v>487666666.66666639</v>
      </c>
      <c r="R61" s="752">
        <f t="shared" si="5"/>
        <v>44333333.333333336</v>
      </c>
      <c r="S61" s="164">
        <f t="shared" si="6"/>
        <v>443333333.33333308</v>
      </c>
      <c r="T61" s="164">
        <f t="shared" ref="T61:T71" si="20">(Q61+S61)/2*($D$11%/12)</f>
        <v>3103333.3333333321</v>
      </c>
      <c r="U61" s="338">
        <f t="shared" si="1"/>
        <v>3103333.3333333321</v>
      </c>
    </row>
    <row r="62" spans="15:22" x14ac:dyDescent="0.25">
      <c r="O62" s="282">
        <f t="shared" si="8"/>
        <v>51</v>
      </c>
      <c r="Q62" s="164">
        <f t="shared" si="4"/>
        <v>443333333.33333308</v>
      </c>
      <c r="R62" s="752">
        <f t="shared" si="5"/>
        <v>44333333.333333336</v>
      </c>
      <c r="S62" s="164">
        <f t="shared" si="6"/>
        <v>398999999.99999976</v>
      </c>
      <c r="T62" s="164">
        <f t="shared" si="20"/>
        <v>2807777.7777777761</v>
      </c>
      <c r="U62" s="338">
        <f t="shared" si="1"/>
        <v>2807777.7777777761</v>
      </c>
    </row>
    <row r="63" spans="15:22" x14ac:dyDescent="0.25">
      <c r="O63" s="282">
        <f t="shared" si="8"/>
        <v>52</v>
      </c>
      <c r="Q63" s="164">
        <f t="shared" si="4"/>
        <v>398999999.99999976</v>
      </c>
      <c r="R63" s="752">
        <f t="shared" si="5"/>
        <v>44333333.333333336</v>
      </c>
      <c r="S63" s="164">
        <f t="shared" si="6"/>
        <v>354666666.66666645</v>
      </c>
      <c r="T63" s="164">
        <f t="shared" si="20"/>
        <v>2512222.2222222211</v>
      </c>
      <c r="U63" s="338">
        <f t="shared" si="1"/>
        <v>2512222.2222222211</v>
      </c>
    </row>
    <row r="64" spans="15:22" x14ac:dyDescent="0.25">
      <c r="O64" s="282">
        <f t="shared" si="8"/>
        <v>53</v>
      </c>
      <c r="Q64" s="164">
        <f t="shared" si="4"/>
        <v>354666666.66666645</v>
      </c>
      <c r="R64" s="752">
        <f t="shared" si="5"/>
        <v>44333333.333333336</v>
      </c>
      <c r="S64" s="164">
        <f t="shared" si="6"/>
        <v>310333333.33333313</v>
      </c>
      <c r="T64" s="164">
        <f t="shared" si="20"/>
        <v>2216666.6666666651</v>
      </c>
      <c r="U64" s="338">
        <f t="shared" si="1"/>
        <v>2216666.6666666651</v>
      </c>
    </row>
    <row r="65" spans="15:22" x14ac:dyDescent="0.25">
      <c r="O65" s="282">
        <f t="shared" si="8"/>
        <v>54</v>
      </c>
      <c r="Q65" s="164">
        <f t="shared" si="4"/>
        <v>310333333.33333313</v>
      </c>
      <c r="R65" s="752">
        <f t="shared" si="5"/>
        <v>44333333.333333336</v>
      </c>
      <c r="S65" s="164">
        <f t="shared" si="6"/>
        <v>265999999.99999979</v>
      </c>
      <c r="T65" s="164">
        <f t="shared" si="20"/>
        <v>1921111.1111111098</v>
      </c>
      <c r="U65" s="338">
        <f t="shared" si="1"/>
        <v>1921111.1111111098</v>
      </c>
    </row>
    <row r="66" spans="15:22" x14ac:dyDescent="0.25">
      <c r="O66" s="282">
        <f t="shared" si="8"/>
        <v>55</v>
      </c>
      <c r="Q66" s="164">
        <f t="shared" si="4"/>
        <v>265999999.99999979</v>
      </c>
      <c r="R66" s="752">
        <f t="shared" si="5"/>
        <v>44333333.333333336</v>
      </c>
      <c r="S66" s="164">
        <f t="shared" si="6"/>
        <v>221666666.66666645</v>
      </c>
      <c r="T66" s="164">
        <f t="shared" si="20"/>
        <v>1625555.5555555543</v>
      </c>
      <c r="U66" s="338">
        <f t="shared" si="1"/>
        <v>1625555.5555555543</v>
      </c>
    </row>
    <row r="67" spans="15:22" x14ac:dyDescent="0.25">
      <c r="O67" s="282">
        <f t="shared" si="8"/>
        <v>56</v>
      </c>
      <c r="Q67" s="164">
        <f t="shared" si="4"/>
        <v>221666666.66666645</v>
      </c>
      <c r="R67" s="752">
        <f t="shared" si="5"/>
        <v>44333333.333333336</v>
      </c>
      <c r="S67" s="164">
        <f t="shared" si="6"/>
        <v>177333333.3333331</v>
      </c>
      <c r="T67" s="164">
        <f t="shared" si="20"/>
        <v>1329999.9999999986</v>
      </c>
      <c r="U67" s="338">
        <f t="shared" si="1"/>
        <v>1329999.9999999986</v>
      </c>
    </row>
    <row r="68" spans="15:22" x14ac:dyDescent="0.25">
      <c r="O68" s="282">
        <f t="shared" si="8"/>
        <v>57</v>
      </c>
      <c r="Q68" s="164">
        <f t="shared" si="4"/>
        <v>177333333.3333331</v>
      </c>
      <c r="R68" s="752">
        <f t="shared" si="5"/>
        <v>44333333.333333336</v>
      </c>
      <c r="S68" s="164">
        <f t="shared" si="6"/>
        <v>132999999.99999976</v>
      </c>
      <c r="T68" s="164">
        <f t="shared" si="20"/>
        <v>1034444.4444444431</v>
      </c>
      <c r="U68" s="338">
        <f t="shared" si="1"/>
        <v>1034444.4444444431</v>
      </c>
    </row>
    <row r="69" spans="15:22" x14ac:dyDescent="0.25">
      <c r="O69" s="282">
        <f t="shared" si="8"/>
        <v>58</v>
      </c>
      <c r="Q69" s="164">
        <f t="shared" si="4"/>
        <v>132999999.99999976</v>
      </c>
      <c r="R69" s="752">
        <f t="shared" si="5"/>
        <v>44333333.333333336</v>
      </c>
      <c r="S69" s="164">
        <f t="shared" si="6"/>
        <v>88666666.666666418</v>
      </c>
      <c r="T69" s="164">
        <f t="shared" si="20"/>
        <v>738888.88888888736</v>
      </c>
      <c r="U69" s="338">
        <f t="shared" si="1"/>
        <v>738888.88888888736</v>
      </c>
    </row>
    <row r="70" spans="15:22" x14ac:dyDescent="0.25">
      <c r="O70" s="282">
        <f t="shared" si="8"/>
        <v>59</v>
      </c>
      <c r="Q70" s="164">
        <f t="shared" si="4"/>
        <v>88666666.666666418</v>
      </c>
      <c r="R70" s="752">
        <f t="shared" si="5"/>
        <v>44333333.333333336</v>
      </c>
      <c r="S70" s="164">
        <f t="shared" si="6"/>
        <v>44333333.333333082</v>
      </c>
      <c r="T70" s="164">
        <f t="shared" si="20"/>
        <v>443333.33333333168</v>
      </c>
      <c r="U70" s="338">
        <f t="shared" si="1"/>
        <v>443333.33333333168</v>
      </c>
    </row>
    <row r="71" spans="15:22" x14ac:dyDescent="0.25">
      <c r="O71" s="297">
        <f t="shared" si="8"/>
        <v>60</v>
      </c>
      <c r="P71" s="298"/>
      <c r="Q71" s="298">
        <f t="shared" si="4"/>
        <v>44333333.333333082</v>
      </c>
      <c r="R71" s="754">
        <f t="shared" si="5"/>
        <v>44333333.333333336</v>
      </c>
      <c r="S71" s="298">
        <f t="shared" si="6"/>
        <v>-2.5331974029541016E-7</v>
      </c>
      <c r="T71" s="164">
        <f t="shared" si="20"/>
        <v>147777.77777777609</v>
      </c>
      <c r="U71" s="755">
        <f t="shared" si="1"/>
        <v>147777.77777777609</v>
      </c>
      <c r="V71" s="292"/>
    </row>
    <row r="72" spans="15:22" x14ac:dyDescent="0.25">
      <c r="O72" s="756"/>
      <c r="P72" s="757"/>
      <c r="Q72" s="757"/>
      <c r="R72" s="761">
        <f>SUM(R60:R71)</f>
        <v>531999999.99999994</v>
      </c>
      <c r="S72" s="761"/>
      <c r="T72" s="761">
        <f>SUM(T60:T71)</f>
        <v>21279999.999999985</v>
      </c>
      <c r="U72" s="759"/>
      <c r="V72" s="760"/>
    </row>
    <row r="73" spans="15:22" x14ac:dyDescent="0.25">
      <c r="O73" s="282"/>
    </row>
    <row r="74" spans="15:22" x14ac:dyDescent="0.25">
      <c r="O74" s="282"/>
    </row>
    <row r="75" spans="15:22" x14ac:dyDescent="0.25">
      <c r="O75" s="282"/>
    </row>
    <row r="76" spans="15:22" x14ac:dyDescent="0.25">
      <c r="O76" s="282"/>
    </row>
    <row r="77" spans="15:22" x14ac:dyDescent="0.25">
      <c r="O77" s="282"/>
    </row>
    <row r="78" spans="15:22" x14ac:dyDescent="0.25">
      <c r="O78" s="282"/>
    </row>
  </sheetData>
  <mergeCells count="2">
    <mergeCell ref="H6:H7"/>
    <mergeCell ref="P6:P7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4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72"/>
  <sheetViews>
    <sheetView showGridLines="0" zoomScaleNormal="100" workbookViewId="0">
      <pane xSplit="5" ySplit="7" topLeftCell="M8" activePane="bottomRight" state="frozen"/>
      <selection pane="topRight" activeCell="F1" sqref="F1"/>
      <selection pane="bottomLeft" activeCell="A9" sqref="A9"/>
      <selection pane="bottomRight" activeCell="AC29" sqref="AC29"/>
    </sheetView>
  </sheetViews>
  <sheetFormatPr defaultColWidth="9" defaultRowHeight="11.25" x14ac:dyDescent="0.25"/>
  <cols>
    <col min="1" max="1" width="2.75" style="271" customWidth="1"/>
    <col min="2" max="2" width="12.75" style="271" customWidth="1"/>
    <col min="3" max="3" width="8" style="271" customWidth="1"/>
    <col min="4" max="4" width="10.25" style="271" bestFit="1" customWidth="1"/>
    <col min="5" max="5" width="26" style="271" customWidth="1"/>
    <col min="6" max="6" width="9" style="271"/>
    <col min="7" max="7" width="8.75" style="271" customWidth="1"/>
    <col min="8" max="8" width="11.375" style="271" bestFit="1" customWidth="1"/>
    <col min="9" max="9" width="10.75" style="271" customWidth="1"/>
    <col min="10" max="10" width="10.125" style="271" bestFit="1" customWidth="1"/>
    <col min="11" max="11" width="13" style="271" bestFit="1" customWidth="1"/>
    <col min="12" max="12" width="9.5" style="271" bestFit="1" customWidth="1"/>
    <col min="13" max="13" width="8.75" style="271" bestFit="1" customWidth="1"/>
    <col min="14" max="14" width="5.625" style="271" customWidth="1"/>
    <col min="15" max="15" width="10.25" style="271" bestFit="1" customWidth="1"/>
    <col min="16" max="16" width="9" style="271"/>
    <col min="17" max="17" width="10.25" style="271" bestFit="1" customWidth="1"/>
    <col min="18" max="24" width="9" style="271"/>
    <col min="25" max="26" width="9.5" style="271" bestFit="1" customWidth="1"/>
    <col min="27" max="27" width="9" style="271"/>
    <col min="28" max="28" width="9.5" style="271" bestFit="1" customWidth="1"/>
    <col min="29" max="16384" width="9" style="271"/>
  </cols>
  <sheetData>
    <row r="1" spans="1:31" x14ac:dyDescent="0.2">
      <c r="A1" s="274" t="str">
        <f>Assumption!A1</f>
        <v>Bisnis Truk Thermoking</v>
      </c>
      <c r="I1" s="277"/>
      <c r="J1" s="277"/>
      <c r="K1" s="277"/>
    </row>
    <row r="2" spans="1:31" x14ac:dyDescent="0.2">
      <c r="A2" s="274" t="str">
        <f>Assumption!A2</f>
        <v>Financial Pre-Feasibility Study</v>
      </c>
      <c r="H2" s="316"/>
      <c r="I2" s="277"/>
      <c r="J2" s="277"/>
      <c r="K2" s="277"/>
      <c r="L2" s="316"/>
    </row>
    <row r="3" spans="1:31" x14ac:dyDescent="0.25">
      <c r="A3" s="276" t="s">
        <v>607</v>
      </c>
    </row>
    <row r="5" spans="1:31" x14ac:dyDescent="0.25">
      <c r="G5" s="277"/>
      <c r="H5" s="277"/>
      <c r="I5" s="282"/>
      <c r="J5" s="335"/>
      <c r="K5" s="282"/>
      <c r="L5" s="336"/>
      <c r="M5" s="165" t="s">
        <v>601</v>
      </c>
    </row>
    <row r="6" spans="1:31" ht="43.5" customHeight="1" x14ac:dyDescent="0.25">
      <c r="A6" s="263" t="s">
        <v>68</v>
      </c>
      <c r="B6" s="264"/>
      <c r="C6" s="264"/>
      <c r="D6" s="264"/>
      <c r="E6" s="264"/>
      <c r="G6" s="270" t="s">
        <v>536</v>
      </c>
      <c r="H6" s="802" t="s">
        <v>614</v>
      </c>
      <c r="I6" s="270" t="s">
        <v>615</v>
      </c>
      <c r="J6" s="270" t="s">
        <v>616</v>
      </c>
      <c r="K6" s="270" t="s">
        <v>617</v>
      </c>
      <c r="L6" s="270" t="s">
        <v>618</v>
      </c>
      <c r="M6" s="270" t="s">
        <v>619</v>
      </c>
      <c r="O6" s="270" t="s">
        <v>594</v>
      </c>
      <c r="P6" s="802" t="s">
        <v>752</v>
      </c>
      <c r="Q6" s="270"/>
      <c r="R6" s="270"/>
      <c r="S6" s="270"/>
      <c r="T6" s="270"/>
      <c r="U6" s="270"/>
      <c r="X6" s="270" t="s">
        <v>594</v>
      </c>
      <c r="Y6" s="802" t="s">
        <v>614</v>
      </c>
      <c r="Z6" s="270" t="s">
        <v>1273</v>
      </c>
      <c r="AA6" s="270" t="s">
        <v>616</v>
      </c>
      <c r="AB6" s="270" t="s">
        <v>1274</v>
      </c>
      <c r="AC6" s="270" t="s">
        <v>618</v>
      </c>
      <c r="AD6" s="270" t="s">
        <v>619</v>
      </c>
      <c r="AE6" s="270" t="s">
        <v>1275</v>
      </c>
    </row>
    <row r="7" spans="1:31" ht="11.25" customHeight="1" x14ac:dyDescent="0.25">
      <c r="A7" s="263"/>
      <c r="B7" s="264"/>
      <c r="C7" s="264"/>
      <c r="D7" s="264"/>
      <c r="E7" s="264"/>
      <c r="G7" s="270"/>
      <c r="H7" s="802"/>
      <c r="I7" s="270"/>
      <c r="J7" s="270"/>
      <c r="K7" s="270"/>
      <c r="L7" s="270"/>
      <c r="M7" s="270"/>
      <c r="O7" s="270"/>
      <c r="P7" s="802"/>
      <c r="Q7" s="270"/>
      <c r="R7" s="270"/>
      <c r="S7" s="270"/>
      <c r="T7" s="270"/>
      <c r="U7" s="270"/>
      <c r="X7" s="270"/>
      <c r="Y7" s="802"/>
      <c r="Z7" s="270"/>
      <c r="AA7" s="270"/>
      <c r="AB7" s="270"/>
      <c r="AC7" s="270"/>
      <c r="AD7" s="270"/>
      <c r="AE7" s="270"/>
    </row>
    <row r="8" spans="1:31" x14ac:dyDescent="0.25">
      <c r="A8" s="271" t="s">
        <v>150</v>
      </c>
      <c r="B8" s="271" t="s">
        <v>608</v>
      </c>
      <c r="G8" s="282">
        <v>0</v>
      </c>
      <c r="H8" s="164">
        <f>D9</f>
        <v>2660000000</v>
      </c>
      <c r="I8" s="164">
        <f>H8</f>
        <v>2660000000</v>
      </c>
      <c r="J8" s="337">
        <f>I8/D12</f>
        <v>532000000</v>
      </c>
      <c r="K8" s="164">
        <f>I8-J8</f>
        <v>2128000000</v>
      </c>
      <c r="L8" s="164">
        <f>((I8+K8)/2)*$D$11%</f>
        <v>323190000</v>
      </c>
      <c r="M8" s="749">
        <f>L8</f>
        <v>323190000</v>
      </c>
      <c r="O8" s="282">
        <v>1</v>
      </c>
      <c r="P8" s="164">
        <f>$O$35</f>
        <v>65280833.333333343</v>
      </c>
      <c r="Q8" s="164"/>
      <c r="R8" s="337"/>
      <c r="S8" s="164"/>
      <c r="T8" s="164"/>
      <c r="U8" s="338"/>
      <c r="X8" s="282">
        <v>1</v>
      </c>
      <c r="Y8" s="164">
        <v>2660000000</v>
      </c>
      <c r="Z8" s="164">
        <f>Y8</f>
        <v>2660000000</v>
      </c>
      <c r="AA8" s="752">
        <f>$Z$8/60</f>
        <v>44333333.333333336</v>
      </c>
      <c r="AB8" s="164">
        <f>Z8-AA8</f>
        <v>2615666666.6666665</v>
      </c>
      <c r="AC8" s="164">
        <f>(Z8+AB8)/2*($D$11%/12)</f>
        <v>29675625</v>
      </c>
      <c r="AD8" s="338">
        <f>AC8</f>
        <v>29675625</v>
      </c>
    </row>
    <row r="9" spans="1:31" x14ac:dyDescent="0.25">
      <c r="B9" s="271" t="s">
        <v>515</v>
      </c>
      <c r="C9" s="271" t="s">
        <v>373</v>
      </c>
      <c r="D9" s="339">
        <f>CapitalInvestment!C10</f>
        <v>2660000000</v>
      </c>
      <c r="E9" s="271" t="s">
        <v>517</v>
      </c>
      <c r="G9" s="282">
        <v>1</v>
      </c>
      <c r="H9" s="165"/>
      <c r="I9" s="164">
        <f>K8+L8-M8</f>
        <v>2128000000</v>
      </c>
      <c r="J9" s="165">
        <f>I8/D12</f>
        <v>532000000</v>
      </c>
      <c r="K9" s="164">
        <f>I9-J9</f>
        <v>1596000000</v>
      </c>
      <c r="L9" s="164">
        <f>((I9+K9)/2)*$D$11%</f>
        <v>251370000.00000003</v>
      </c>
      <c r="M9" s="340">
        <f>L9</f>
        <v>251370000.00000003</v>
      </c>
      <c r="O9" s="282">
        <v>2</v>
      </c>
      <c r="P9" s="164">
        <f t="shared" ref="P9:P19" si="0">$O$35</f>
        <v>65280833.333333343</v>
      </c>
      <c r="Q9" s="164"/>
      <c r="R9" s="165"/>
      <c r="S9" s="164"/>
      <c r="T9" s="164"/>
      <c r="U9" s="340"/>
      <c r="X9" s="282">
        <v>2</v>
      </c>
      <c r="Y9" s="164"/>
      <c r="Z9" s="164">
        <f>AB8+AC8-AD8</f>
        <v>2615666666.6666665</v>
      </c>
      <c r="AA9" s="752">
        <f t="shared" ref="AA9:AA71" si="1">$Z$8/60</f>
        <v>44333333.333333336</v>
      </c>
      <c r="AB9" s="164">
        <f>Z9-AA9</f>
        <v>2571333333.333333</v>
      </c>
      <c r="AC9" s="164">
        <f>(Z9+AB9)/2*($D$11%/12)</f>
        <v>29176875.000000004</v>
      </c>
      <c r="AD9" s="338">
        <f t="shared" ref="AD9:AD71" si="2">AC9</f>
        <v>29176875.000000004</v>
      </c>
    </row>
    <row r="10" spans="1:31" x14ac:dyDescent="0.25">
      <c r="A10" s="268" t="s">
        <v>151</v>
      </c>
      <c r="B10" s="271" t="s">
        <v>160</v>
      </c>
      <c r="G10" s="282">
        <f>G9+1</f>
        <v>2</v>
      </c>
      <c r="H10" s="165"/>
      <c r="I10" s="164">
        <f>K9+L9-M9+H10</f>
        <v>1596000000</v>
      </c>
      <c r="J10" s="164">
        <f>J9</f>
        <v>532000000</v>
      </c>
      <c r="K10" s="164">
        <f t="shared" ref="K10:K17" si="3">I10-J10</f>
        <v>1064000000</v>
      </c>
      <c r="L10" s="164">
        <f t="shared" ref="L10:L17" si="4">((I10+K10)/2)*$D$11%</f>
        <v>179550000</v>
      </c>
      <c r="M10" s="340">
        <f t="shared" ref="M10:M18" si="5">L10</f>
        <v>179550000</v>
      </c>
      <c r="O10" s="282">
        <f>O9+1</f>
        <v>3</v>
      </c>
      <c r="P10" s="164">
        <f t="shared" si="0"/>
        <v>65280833.333333343</v>
      </c>
      <c r="Q10" s="164"/>
      <c r="R10" s="164"/>
      <c r="S10" s="164"/>
      <c r="T10" s="164"/>
      <c r="U10" s="340"/>
      <c r="X10" s="282">
        <f>X9+1</f>
        <v>3</v>
      </c>
      <c r="Y10" s="164"/>
      <c r="Z10" s="164">
        <f t="shared" ref="Z10:Z71" si="6">AB9+AC9-AD9</f>
        <v>2571333333.333333</v>
      </c>
      <c r="AA10" s="752">
        <f t="shared" si="1"/>
        <v>44333333.333333336</v>
      </c>
      <c r="AB10" s="164">
        <f t="shared" ref="AB10:AB71" si="7">Z10-AA10</f>
        <v>2526999999.9999995</v>
      </c>
      <c r="AC10" s="164">
        <f t="shared" ref="AC10:AC19" si="8">(Z10+AB10)/2*($D$11%/12)</f>
        <v>28678124.999999996</v>
      </c>
      <c r="AD10" s="338">
        <f t="shared" si="2"/>
        <v>28678124.999999996</v>
      </c>
    </row>
    <row r="11" spans="1:31" x14ac:dyDescent="0.25">
      <c r="B11" s="271" t="s">
        <v>609</v>
      </c>
      <c r="D11" s="341">
        <f>Assumption!E30</f>
        <v>13.5</v>
      </c>
      <c r="E11" s="271" t="s">
        <v>62</v>
      </c>
      <c r="G11" s="282">
        <f t="shared" ref="G11:G17" si="9">G10+1</f>
        <v>3</v>
      </c>
      <c r="H11" s="165"/>
      <c r="I11" s="164">
        <f>K10+L10-M10+H11</f>
        <v>1064000000</v>
      </c>
      <c r="J11" s="164">
        <f t="shared" ref="J11:J17" si="10">J10</f>
        <v>532000000</v>
      </c>
      <c r="K11" s="164">
        <f t="shared" si="3"/>
        <v>532000000</v>
      </c>
      <c r="L11" s="164">
        <f t="shared" si="4"/>
        <v>107730000</v>
      </c>
      <c r="M11" s="340">
        <f t="shared" si="5"/>
        <v>107730000</v>
      </c>
      <c r="O11" s="282">
        <f t="shared" ref="O11:O19" si="11">O10+1</f>
        <v>4</v>
      </c>
      <c r="P11" s="164">
        <f t="shared" si="0"/>
        <v>65280833.333333343</v>
      </c>
      <c r="Q11" s="164"/>
      <c r="R11" s="164"/>
      <c r="S11" s="164"/>
      <c r="T11" s="164"/>
      <c r="U11" s="340"/>
      <c r="X11" s="282">
        <f t="shared" ref="X11:X71" si="12">X10+1</f>
        <v>4</v>
      </c>
      <c r="Y11" s="164"/>
      <c r="Z11" s="164">
        <f t="shared" si="6"/>
        <v>2526999999.9999995</v>
      </c>
      <c r="AA11" s="752">
        <f t="shared" si="1"/>
        <v>44333333.333333336</v>
      </c>
      <c r="AB11" s="164">
        <f t="shared" si="7"/>
        <v>2482666666.666666</v>
      </c>
      <c r="AC11" s="164">
        <f t="shared" si="8"/>
        <v>28179375</v>
      </c>
      <c r="AD11" s="338">
        <f t="shared" si="2"/>
        <v>28179375</v>
      </c>
    </row>
    <row r="12" spans="1:31" x14ac:dyDescent="0.25">
      <c r="B12" s="271" t="s">
        <v>610</v>
      </c>
      <c r="D12" s="341">
        <f>Assumption!E31</f>
        <v>5</v>
      </c>
      <c r="E12" s="271" t="s">
        <v>566</v>
      </c>
      <c r="G12" s="282">
        <f t="shared" si="9"/>
        <v>4</v>
      </c>
      <c r="H12" s="165"/>
      <c r="I12" s="164">
        <f>K11+L11-M11</f>
        <v>532000000</v>
      </c>
      <c r="J12" s="164">
        <f t="shared" si="10"/>
        <v>532000000</v>
      </c>
      <c r="K12" s="164">
        <f t="shared" si="3"/>
        <v>0</v>
      </c>
      <c r="L12" s="164">
        <f t="shared" si="4"/>
        <v>35910000</v>
      </c>
      <c r="M12" s="340">
        <f t="shared" si="5"/>
        <v>35910000</v>
      </c>
      <c r="O12" s="282">
        <f t="shared" si="11"/>
        <v>5</v>
      </c>
      <c r="P12" s="164">
        <f t="shared" si="0"/>
        <v>65280833.333333343</v>
      </c>
      <c r="Q12" s="164"/>
      <c r="R12" s="164"/>
      <c r="S12" s="164"/>
      <c r="T12" s="164"/>
      <c r="U12" s="340"/>
      <c r="X12" s="282">
        <f t="shared" si="12"/>
        <v>5</v>
      </c>
      <c r="Y12" s="164"/>
      <c r="Z12" s="164">
        <f t="shared" si="6"/>
        <v>2482666666.666666</v>
      </c>
      <c r="AA12" s="752">
        <f t="shared" si="1"/>
        <v>44333333.333333336</v>
      </c>
      <c r="AB12" s="164">
        <f t="shared" si="7"/>
        <v>2438333333.3333325</v>
      </c>
      <c r="AC12" s="164">
        <f t="shared" si="8"/>
        <v>27680624.999999993</v>
      </c>
      <c r="AD12" s="338">
        <f t="shared" si="2"/>
        <v>27680624.999999993</v>
      </c>
    </row>
    <row r="13" spans="1:31" x14ac:dyDescent="0.25">
      <c r="B13" s="271" t="s">
        <v>611</v>
      </c>
      <c r="D13" s="342">
        <f>Assumption!E32</f>
        <v>1</v>
      </c>
      <c r="E13" s="271" t="s">
        <v>566</v>
      </c>
      <c r="G13" s="282">
        <f t="shared" si="9"/>
        <v>5</v>
      </c>
      <c r="H13" s="165"/>
      <c r="I13" s="164">
        <f>K12+L12-M12+H13</f>
        <v>0</v>
      </c>
      <c r="J13" s="164">
        <v>0</v>
      </c>
      <c r="K13" s="164">
        <f t="shared" si="3"/>
        <v>0</v>
      </c>
      <c r="L13" s="164">
        <f t="shared" si="4"/>
        <v>0</v>
      </c>
      <c r="M13" s="340">
        <f t="shared" si="5"/>
        <v>0</v>
      </c>
      <c r="O13" s="282">
        <f t="shared" si="11"/>
        <v>6</v>
      </c>
      <c r="P13" s="164">
        <f t="shared" si="0"/>
        <v>65280833.333333343</v>
      </c>
      <c r="Q13" s="164"/>
      <c r="R13" s="164"/>
      <c r="S13" s="164"/>
      <c r="T13" s="164"/>
      <c r="U13" s="340"/>
      <c r="X13" s="282">
        <f t="shared" si="12"/>
        <v>6</v>
      </c>
      <c r="Y13" s="164"/>
      <c r="Z13" s="164">
        <f t="shared" si="6"/>
        <v>2438333333.3333325</v>
      </c>
      <c r="AA13" s="752">
        <f t="shared" si="1"/>
        <v>44333333.333333336</v>
      </c>
      <c r="AB13" s="164">
        <f t="shared" si="7"/>
        <v>2393999999.999999</v>
      </c>
      <c r="AC13" s="164">
        <f t="shared" si="8"/>
        <v>27181874.999999996</v>
      </c>
      <c r="AD13" s="338">
        <f t="shared" si="2"/>
        <v>27181874.999999996</v>
      </c>
    </row>
    <row r="14" spans="1:31" x14ac:dyDescent="0.25">
      <c r="B14" s="271" t="s">
        <v>612</v>
      </c>
      <c r="D14" s="343">
        <f>Assumption!E20</f>
        <v>15000</v>
      </c>
      <c r="E14" s="271" t="s">
        <v>61</v>
      </c>
      <c r="G14" s="282">
        <f t="shared" si="9"/>
        <v>6</v>
      </c>
      <c r="H14" s="165"/>
      <c r="I14" s="164">
        <f t="shared" ref="I14" si="13">K13+L13-M13+H14</f>
        <v>0</v>
      </c>
      <c r="J14" s="164">
        <v>0</v>
      </c>
      <c r="K14" s="164">
        <f t="shared" si="3"/>
        <v>0</v>
      </c>
      <c r="L14" s="164">
        <f t="shared" si="4"/>
        <v>0</v>
      </c>
      <c r="M14" s="340">
        <f t="shared" si="5"/>
        <v>0</v>
      </c>
      <c r="O14" s="282">
        <f t="shared" si="11"/>
        <v>7</v>
      </c>
      <c r="P14" s="164">
        <f>$O$35</f>
        <v>65280833.333333343</v>
      </c>
      <c r="Q14" s="164"/>
      <c r="R14" s="164"/>
      <c r="S14" s="164"/>
      <c r="T14" s="164"/>
      <c r="U14" s="340"/>
      <c r="X14" s="282">
        <f t="shared" si="12"/>
        <v>7</v>
      </c>
      <c r="Y14" s="164"/>
      <c r="Z14" s="164">
        <f t="shared" si="6"/>
        <v>2393999999.999999</v>
      </c>
      <c r="AA14" s="752">
        <f t="shared" si="1"/>
        <v>44333333.333333336</v>
      </c>
      <c r="AB14" s="164">
        <f t="shared" si="7"/>
        <v>2349666666.6666656</v>
      </c>
      <c r="AC14" s="164">
        <f t="shared" si="8"/>
        <v>26683124.999999989</v>
      </c>
      <c r="AD14" s="338">
        <f t="shared" si="2"/>
        <v>26683124.999999989</v>
      </c>
    </row>
    <row r="15" spans="1:31" x14ac:dyDescent="0.25">
      <c r="A15" s="268" t="s">
        <v>152</v>
      </c>
      <c r="B15" s="271" t="s">
        <v>161</v>
      </c>
      <c r="D15" s="313"/>
      <c r="G15" s="282">
        <f t="shared" si="9"/>
        <v>7</v>
      </c>
      <c r="H15" s="165"/>
      <c r="I15" s="164">
        <v>0</v>
      </c>
      <c r="J15" s="164">
        <f>J14</f>
        <v>0</v>
      </c>
      <c r="K15" s="164">
        <f t="shared" si="3"/>
        <v>0</v>
      </c>
      <c r="L15" s="164">
        <f t="shared" si="4"/>
        <v>0</v>
      </c>
      <c r="M15" s="340">
        <f t="shared" si="5"/>
        <v>0</v>
      </c>
      <c r="O15" s="282">
        <f t="shared" si="11"/>
        <v>8</v>
      </c>
      <c r="P15" s="164">
        <f t="shared" si="0"/>
        <v>65280833.333333343</v>
      </c>
      <c r="Q15" s="164"/>
      <c r="R15" s="164"/>
      <c r="S15" s="164"/>
      <c r="T15" s="164"/>
      <c r="U15" s="340"/>
      <c r="X15" s="282">
        <f t="shared" si="12"/>
        <v>8</v>
      </c>
      <c r="Y15" s="164"/>
      <c r="Z15" s="164">
        <f t="shared" si="6"/>
        <v>2349666666.6666656</v>
      </c>
      <c r="AA15" s="752">
        <f t="shared" si="1"/>
        <v>44333333.333333336</v>
      </c>
      <c r="AB15" s="164">
        <f t="shared" si="7"/>
        <v>2305333333.3333321</v>
      </c>
      <c r="AC15" s="164">
        <f t="shared" si="8"/>
        <v>26184374.999999993</v>
      </c>
      <c r="AD15" s="338">
        <f t="shared" si="2"/>
        <v>26184374.999999993</v>
      </c>
    </row>
    <row r="16" spans="1:31" x14ac:dyDescent="0.25">
      <c r="A16" s="268" t="s">
        <v>153</v>
      </c>
      <c r="B16" s="271" t="s">
        <v>513</v>
      </c>
      <c r="G16" s="282">
        <f t="shared" si="9"/>
        <v>8</v>
      </c>
      <c r="H16" s="165"/>
      <c r="I16" s="164">
        <v>0</v>
      </c>
      <c r="J16" s="164">
        <f t="shared" si="10"/>
        <v>0</v>
      </c>
      <c r="K16" s="164">
        <f t="shared" si="3"/>
        <v>0</v>
      </c>
      <c r="L16" s="164">
        <f t="shared" si="4"/>
        <v>0</v>
      </c>
      <c r="M16" s="340">
        <f t="shared" si="5"/>
        <v>0</v>
      </c>
      <c r="O16" s="282">
        <f t="shared" si="11"/>
        <v>9</v>
      </c>
      <c r="P16" s="164">
        <f t="shared" si="0"/>
        <v>65280833.333333343</v>
      </c>
      <c r="Q16" s="164"/>
      <c r="R16" s="164"/>
      <c r="S16" s="164"/>
      <c r="T16" s="164"/>
      <c r="U16" s="340"/>
      <c r="X16" s="282">
        <f t="shared" si="12"/>
        <v>9</v>
      </c>
      <c r="Y16" s="164"/>
      <c r="Z16" s="164">
        <f t="shared" si="6"/>
        <v>2305333333.3333321</v>
      </c>
      <c r="AA16" s="752">
        <f t="shared" si="1"/>
        <v>44333333.333333336</v>
      </c>
      <c r="AB16" s="164">
        <f t="shared" si="7"/>
        <v>2260999999.9999986</v>
      </c>
      <c r="AC16" s="164">
        <f t="shared" si="8"/>
        <v>25685624.999999985</v>
      </c>
      <c r="AD16" s="338">
        <f t="shared" si="2"/>
        <v>25685624.999999985</v>
      </c>
    </row>
    <row r="17" spans="1:31" x14ac:dyDescent="0.25">
      <c r="B17" s="271" t="s">
        <v>365</v>
      </c>
      <c r="G17" s="282">
        <f t="shared" si="9"/>
        <v>9</v>
      </c>
      <c r="H17" s="165"/>
      <c r="I17" s="164">
        <v>0</v>
      </c>
      <c r="J17" s="164">
        <f t="shared" si="10"/>
        <v>0</v>
      </c>
      <c r="K17" s="164">
        <f t="shared" si="3"/>
        <v>0</v>
      </c>
      <c r="L17" s="164">
        <f t="shared" si="4"/>
        <v>0</v>
      </c>
      <c r="M17" s="340">
        <f t="shared" si="5"/>
        <v>0</v>
      </c>
      <c r="O17" s="282">
        <f t="shared" si="11"/>
        <v>10</v>
      </c>
      <c r="P17" s="164">
        <f t="shared" si="0"/>
        <v>65280833.333333343</v>
      </c>
      <c r="Q17" s="164"/>
      <c r="R17" s="164"/>
      <c r="S17" s="164"/>
      <c r="T17" s="164"/>
      <c r="U17" s="340"/>
      <c r="X17" s="282">
        <f t="shared" si="12"/>
        <v>10</v>
      </c>
      <c r="Y17" s="164"/>
      <c r="Z17" s="164">
        <f t="shared" si="6"/>
        <v>2260999999.9999986</v>
      </c>
      <c r="AA17" s="752">
        <f t="shared" si="1"/>
        <v>44333333.333333336</v>
      </c>
      <c r="AB17" s="164">
        <f t="shared" si="7"/>
        <v>2216666666.6666651</v>
      </c>
      <c r="AC17" s="164">
        <f t="shared" si="8"/>
        <v>25186874.999999989</v>
      </c>
      <c r="AD17" s="338">
        <f t="shared" si="2"/>
        <v>25186874.999999989</v>
      </c>
    </row>
    <row r="18" spans="1:31" x14ac:dyDescent="0.25">
      <c r="A18" s="268" t="s">
        <v>154</v>
      </c>
      <c r="B18" s="271" t="s">
        <v>162</v>
      </c>
      <c r="G18" s="284"/>
      <c r="H18" s="284"/>
      <c r="I18" s="284"/>
      <c r="J18" s="284"/>
      <c r="K18" s="284"/>
      <c r="L18" s="291">
        <f>SUM(L8:L17)</f>
        <v>897750000</v>
      </c>
      <c r="M18" s="291">
        <f t="shared" si="5"/>
        <v>897750000</v>
      </c>
      <c r="O18" s="282">
        <f t="shared" si="11"/>
        <v>11</v>
      </c>
      <c r="P18" s="164">
        <f t="shared" si="0"/>
        <v>65280833.333333343</v>
      </c>
      <c r="U18" s="340"/>
      <c r="X18" s="282">
        <f t="shared" si="12"/>
        <v>11</v>
      </c>
      <c r="Y18" s="164"/>
      <c r="Z18" s="164">
        <f t="shared" si="6"/>
        <v>2216666666.6666651</v>
      </c>
      <c r="AA18" s="752">
        <f t="shared" si="1"/>
        <v>44333333.333333336</v>
      </c>
      <c r="AB18" s="164">
        <f t="shared" si="7"/>
        <v>2172333333.3333316</v>
      </c>
      <c r="AC18" s="164">
        <f t="shared" si="8"/>
        <v>24688124.999999981</v>
      </c>
      <c r="AD18" s="338">
        <f t="shared" si="2"/>
        <v>24688124.999999981</v>
      </c>
    </row>
    <row r="19" spans="1:31" x14ac:dyDescent="0.25">
      <c r="A19" s="268" t="s">
        <v>155</v>
      </c>
      <c r="B19" s="271" t="s">
        <v>613</v>
      </c>
      <c r="O19" s="282">
        <f t="shared" si="11"/>
        <v>12</v>
      </c>
      <c r="P19" s="164">
        <f t="shared" si="0"/>
        <v>65280833.333333343</v>
      </c>
      <c r="U19" s="340"/>
      <c r="X19" s="297">
        <f t="shared" si="12"/>
        <v>12</v>
      </c>
      <c r="Y19" s="298"/>
      <c r="Z19" s="298">
        <f t="shared" si="6"/>
        <v>2172333333.3333316</v>
      </c>
      <c r="AA19" s="752">
        <f t="shared" si="1"/>
        <v>44333333.333333336</v>
      </c>
      <c r="AB19" s="298">
        <f t="shared" si="7"/>
        <v>2127999999.9999983</v>
      </c>
      <c r="AC19" s="164">
        <f t="shared" si="8"/>
        <v>24189374.999999985</v>
      </c>
      <c r="AD19" s="755">
        <f t="shared" si="2"/>
        <v>24189374.999999985</v>
      </c>
      <c r="AE19" s="292"/>
    </row>
    <row r="20" spans="1:31" x14ac:dyDescent="0.25">
      <c r="B20" s="271" t="s">
        <v>501</v>
      </c>
      <c r="D20" s="339"/>
      <c r="E20" s="271" t="s">
        <v>386</v>
      </c>
      <c r="H20" s="344">
        <f>I9</f>
        <v>2128000000</v>
      </c>
      <c r="J20" s="344">
        <f>SUM(J9:J17)</f>
        <v>2128000000</v>
      </c>
      <c r="K20" s="345" t="s">
        <v>366</v>
      </c>
      <c r="L20" s="345"/>
      <c r="O20" s="284"/>
      <c r="P20" s="291">
        <f>SUM(P8:P19)</f>
        <v>783370000.00000036</v>
      </c>
      <c r="Q20" s="284"/>
      <c r="R20" s="284"/>
      <c r="S20" s="284"/>
      <c r="T20" s="284"/>
      <c r="U20" s="284"/>
      <c r="X20" s="756"/>
      <c r="Y20" s="757"/>
      <c r="Z20" s="757"/>
      <c r="AA20" s="758">
        <f>SUM(AA8:AA19)</f>
        <v>531999999.99999994</v>
      </c>
      <c r="AB20" s="758"/>
      <c r="AC20" s="758">
        <f>SUM(AC8:AC19)</f>
        <v>323190000</v>
      </c>
      <c r="AD20" s="759"/>
      <c r="AE20" s="760"/>
    </row>
    <row r="21" spans="1:31" x14ac:dyDescent="0.25">
      <c r="X21" s="282">
        <f>X19+1</f>
        <v>13</v>
      </c>
      <c r="Z21" s="164">
        <f>AB19+AC19-AD19</f>
        <v>2127999999.9999981</v>
      </c>
      <c r="AA21" s="752">
        <f t="shared" si="1"/>
        <v>44333333.333333336</v>
      </c>
      <c r="AB21" s="164">
        <f t="shared" si="7"/>
        <v>2083666666.6666648</v>
      </c>
      <c r="AC21" s="164">
        <f>(Z21+AB21)/2*($D$11%/12)</f>
        <v>23690624.999999981</v>
      </c>
      <c r="AD21" s="338">
        <f t="shared" si="2"/>
        <v>23690624.999999981</v>
      </c>
    </row>
    <row r="22" spans="1:31" x14ac:dyDescent="0.25">
      <c r="X22" s="282">
        <f t="shared" si="12"/>
        <v>14</v>
      </c>
      <c r="Z22" s="164">
        <f t="shared" si="6"/>
        <v>2083666666.6666648</v>
      </c>
      <c r="AA22" s="752">
        <f t="shared" si="1"/>
        <v>44333333.333333336</v>
      </c>
      <c r="AB22" s="164">
        <f t="shared" si="7"/>
        <v>2039333333.3333316</v>
      </c>
      <c r="AC22" s="164">
        <f t="shared" ref="AC22:AC32" si="14">(Z22+AB22)/2*($D$11%/12)</f>
        <v>23191874.999999981</v>
      </c>
      <c r="AD22" s="338">
        <f t="shared" si="2"/>
        <v>23191874.999999981</v>
      </c>
    </row>
    <row r="23" spans="1:31" x14ac:dyDescent="0.25">
      <c r="J23" s="316">
        <f>I9-K23</f>
        <v>266000000</v>
      </c>
      <c r="K23" s="723">
        <f>(I9+K9)/2</f>
        <v>1862000000</v>
      </c>
      <c r="X23" s="282">
        <f t="shared" si="12"/>
        <v>15</v>
      </c>
      <c r="Z23" s="164">
        <f t="shared" si="6"/>
        <v>2039333333.3333316</v>
      </c>
      <c r="AA23" s="752">
        <f t="shared" si="1"/>
        <v>44333333.333333336</v>
      </c>
      <c r="AB23" s="164">
        <f t="shared" si="7"/>
        <v>1994999999.9999983</v>
      </c>
      <c r="AC23" s="164">
        <f t="shared" si="14"/>
        <v>22693124.999999985</v>
      </c>
      <c r="AD23" s="338">
        <f t="shared" si="2"/>
        <v>22693124.999999985</v>
      </c>
    </row>
    <row r="24" spans="1:31" x14ac:dyDescent="0.25">
      <c r="Q24" s="723">
        <f>I8/60</f>
        <v>44333333.333333336</v>
      </c>
      <c r="X24" s="282">
        <f t="shared" si="12"/>
        <v>16</v>
      </c>
      <c r="Z24" s="164">
        <f t="shared" si="6"/>
        <v>1994999999.9999983</v>
      </c>
      <c r="AA24" s="752">
        <f t="shared" si="1"/>
        <v>44333333.333333336</v>
      </c>
      <c r="AB24" s="164">
        <f t="shared" si="7"/>
        <v>1950666666.6666651</v>
      </c>
      <c r="AC24" s="164">
        <f t="shared" si="14"/>
        <v>22194374.999999981</v>
      </c>
      <c r="AD24" s="338">
        <f t="shared" si="2"/>
        <v>22194374.999999981</v>
      </c>
    </row>
    <row r="25" spans="1:31" x14ac:dyDescent="0.25">
      <c r="I25" s="288"/>
      <c r="K25" s="345"/>
      <c r="O25" s="746">
        <f>K9*D11%</f>
        <v>215460000</v>
      </c>
      <c r="Q25" s="747">
        <f>I8*D11%</f>
        <v>359100000</v>
      </c>
      <c r="X25" s="282">
        <f t="shared" si="12"/>
        <v>17</v>
      </c>
      <c r="Z25" s="164">
        <f t="shared" si="6"/>
        <v>1950666666.6666651</v>
      </c>
      <c r="AA25" s="752">
        <f t="shared" si="1"/>
        <v>44333333.333333336</v>
      </c>
      <c r="AB25" s="164">
        <f t="shared" si="7"/>
        <v>1906333333.3333318</v>
      </c>
      <c r="AC25" s="164">
        <f t="shared" si="14"/>
        <v>21695624.999999985</v>
      </c>
      <c r="AD25" s="338">
        <f t="shared" si="2"/>
        <v>21695624.999999985</v>
      </c>
    </row>
    <row r="26" spans="1:31" x14ac:dyDescent="0.25">
      <c r="Q26" s="747">
        <f>Q25/12</f>
        <v>29925000</v>
      </c>
      <c r="R26" s="747"/>
      <c r="X26" s="282">
        <f t="shared" si="12"/>
        <v>18</v>
      </c>
      <c r="Z26" s="164">
        <f t="shared" si="6"/>
        <v>1906333333.3333318</v>
      </c>
      <c r="AA26" s="752">
        <f t="shared" si="1"/>
        <v>44333333.333333336</v>
      </c>
      <c r="AB26" s="164">
        <f t="shared" si="7"/>
        <v>1861999999.9999986</v>
      </c>
      <c r="AC26" s="164">
        <f t="shared" si="14"/>
        <v>21196874.999999985</v>
      </c>
      <c r="AD26" s="338">
        <f t="shared" si="2"/>
        <v>21196874.999999985</v>
      </c>
    </row>
    <row r="27" spans="1:31" x14ac:dyDescent="0.25">
      <c r="Q27" s="316">
        <f>Q24+Q26</f>
        <v>74258333.333333343</v>
      </c>
      <c r="R27" s="316">
        <f>Q27*12</f>
        <v>891100000.00000012</v>
      </c>
      <c r="X27" s="282">
        <f t="shared" si="12"/>
        <v>19</v>
      </c>
      <c r="Z27" s="164">
        <f t="shared" si="6"/>
        <v>1861999999.9999986</v>
      </c>
      <c r="AA27" s="752">
        <f t="shared" si="1"/>
        <v>44333333.333333336</v>
      </c>
      <c r="AB27" s="164">
        <f t="shared" si="7"/>
        <v>1817666666.6666653</v>
      </c>
      <c r="AC27" s="164">
        <f t="shared" si="14"/>
        <v>20698124.999999989</v>
      </c>
      <c r="AD27" s="338">
        <f t="shared" si="2"/>
        <v>20698124.999999989</v>
      </c>
    </row>
    <row r="28" spans="1:31" x14ac:dyDescent="0.25">
      <c r="H28" s="746">
        <f>K8*D11%</f>
        <v>287280000</v>
      </c>
      <c r="K28" s="723">
        <v>1444217400</v>
      </c>
      <c r="L28" s="316">
        <f>K28/60</f>
        <v>24070290</v>
      </c>
      <c r="X28" s="282">
        <f t="shared" si="12"/>
        <v>20</v>
      </c>
      <c r="Z28" s="164">
        <f t="shared" si="6"/>
        <v>1817666666.6666653</v>
      </c>
      <c r="AA28" s="752">
        <f t="shared" si="1"/>
        <v>44333333.333333336</v>
      </c>
      <c r="AB28" s="164">
        <f t="shared" si="7"/>
        <v>1773333333.3333321</v>
      </c>
      <c r="AC28" s="164">
        <f t="shared" si="14"/>
        <v>20199374.999999985</v>
      </c>
      <c r="AD28" s="338">
        <f t="shared" si="2"/>
        <v>20199374.999999985</v>
      </c>
    </row>
    <row r="29" spans="1:31" x14ac:dyDescent="0.25">
      <c r="H29" s="746">
        <f>H28*3</f>
        <v>861840000</v>
      </c>
      <c r="K29" s="723">
        <v>1419317100</v>
      </c>
      <c r="L29" s="316">
        <f>K29/60</f>
        <v>23655285</v>
      </c>
      <c r="X29" s="282">
        <f t="shared" si="12"/>
        <v>21</v>
      </c>
      <c r="Z29" s="164">
        <f t="shared" si="6"/>
        <v>1773333333.3333321</v>
      </c>
      <c r="AA29" s="752">
        <f t="shared" si="1"/>
        <v>44333333.333333336</v>
      </c>
      <c r="AB29" s="164">
        <f t="shared" si="7"/>
        <v>1728999999.9999988</v>
      </c>
      <c r="AC29" s="164">
        <f t="shared" si="14"/>
        <v>19700624.999999989</v>
      </c>
      <c r="AD29" s="338">
        <f t="shared" si="2"/>
        <v>19700624.999999989</v>
      </c>
    </row>
    <row r="30" spans="1:31" x14ac:dyDescent="0.25">
      <c r="K30" s="723">
        <v>1519210000</v>
      </c>
      <c r="L30" s="316">
        <f t="shared" ref="L30:L31" si="15">K30/60</f>
        <v>25320166.666666668</v>
      </c>
      <c r="X30" s="282">
        <f t="shared" si="12"/>
        <v>22</v>
      </c>
      <c r="Z30" s="164">
        <f t="shared" si="6"/>
        <v>1728999999.9999988</v>
      </c>
      <c r="AA30" s="752">
        <f t="shared" si="1"/>
        <v>44333333.333333336</v>
      </c>
      <c r="AB30" s="164">
        <f t="shared" si="7"/>
        <v>1684666666.6666656</v>
      </c>
      <c r="AC30" s="164">
        <f t="shared" si="14"/>
        <v>19201874.999999989</v>
      </c>
      <c r="AD30" s="338">
        <f t="shared" si="2"/>
        <v>19201874.999999989</v>
      </c>
    </row>
    <row r="31" spans="1:31" x14ac:dyDescent="0.25">
      <c r="K31" s="723">
        <v>303842000</v>
      </c>
      <c r="L31" s="316">
        <f t="shared" si="15"/>
        <v>5064033.333333333</v>
      </c>
      <c r="X31" s="282">
        <f t="shared" si="12"/>
        <v>23</v>
      </c>
      <c r="Z31" s="164">
        <f t="shared" si="6"/>
        <v>1684666666.6666656</v>
      </c>
      <c r="AA31" s="752">
        <f t="shared" si="1"/>
        <v>44333333.333333336</v>
      </c>
      <c r="AB31" s="164">
        <f t="shared" si="7"/>
        <v>1640333333.3333323</v>
      </c>
      <c r="AC31" s="164">
        <f>(Z31+AB31)/2*($D$11%/12)</f>
        <v>18703124.999999993</v>
      </c>
      <c r="AD31" s="338">
        <f t="shared" si="2"/>
        <v>18703124.999999993</v>
      </c>
    </row>
    <row r="32" spans="1:31" x14ac:dyDescent="0.25">
      <c r="H32" s="271">
        <v>1378046250</v>
      </c>
      <c r="K32" s="723">
        <f>K30-K31</f>
        <v>1215368000</v>
      </c>
      <c r="L32" s="316">
        <f>K32/60</f>
        <v>20256133.333333332</v>
      </c>
      <c r="X32" s="297">
        <f t="shared" si="12"/>
        <v>24</v>
      </c>
      <c r="Y32" s="298"/>
      <c r="Z32" s="298">
        <f t="shared" si="6"/>
        <v>1640333333.3333323</v>
      </c>
      <c r="AA32" s="752">
        <f t="shared" si="1"/>
        <v>44333333.333333336</v>
      </c>
      <c r="AB32" s="298">
        <f t="shared" si="7"/>
        <v>1595999999.999999</v>
      </c>
      <c r="AC32" s="164">
        <f t="shared" si="14"/>
        <v>18204374.999999989</v>
      </c>
      <c r="AD32" s="755">
        <f t="shared" si="2"/>
        <v>18204374.999999989</v>
      </c>
      <c r="AE32" s="292"/>
    </row>
    <row r="33" spans="8:31" x14ac:dyDescent="0.25">
      <c r="H33" s="746">
        <f>H32-H29</f>
        <v>516206250</v>
      </c>
      <c r="K33" s="723"/>
      <c r="O33" s="723">
        <f>J9/12</f>
        <v>44333333.333333336</v>
      </c>
      <c r="R33" s="164"/>
      <c r="X33" s="756"/>
      <c r="Y33" s="757"/>
      <c r="Z33" s="757"/>
      <c r="AA33" s="758">
        <f>SUM(AA21:AA32)</f>
        <v>531999999.99999994</v>
      </c>
      <c r="AB33" s="758"/>
      <c r="AC33" s="758">
        <f t="shared" ref="AC33" si="16">SUM(AC21:AC32)</f>
        <v>251369999.99999988</v>
      </c>
      <c r="AD33" s="759"/>
      <c r="AE33" s="760"/>
    </row>
    <row r="34" spans="8:31" x14ac:dyDescent="0.25">
      <c r="K34" s="723"/>
      <c r="O34" s="723">
        <f>L9/12</f>
        <v>20947500.000000004</v>
      </c>
      <c r="X34" s="282">
        <f>X32+1</f>
        <v>25</v>
      </c>
      <c r="Z34" s="164">
        <f>AB32+AC32-AD32</f>
        <v>1595999999.999999</v>
      </c>
      <c r="AA34" s="752">
        <f t="shared" si="1"/>
        <v>44333333.333333336</v>
      </c>
      <c r="AB34" s="164">
        <f t="shared" si="7"/>
        <v>1551666666.6666658</v>
      </c>
      <c r="AC34" s="164">
        <f>(Z34+AB34)/2*($D$11%/12)</f>
        <v>17705624.999999993</v>
      </c>
      <c r="AD34" s="338">
        <f t="shared" si="2"/>
        <v>17705624.999999993</v>
      </c>
    </row>
    <row r="35" spans="8:31" x14ac:dyDescent="0.25">
      <c r="K35" s="723">
        <v>24900300</v>
      </c>
      <c r="O35" s="316">
        <f>SUM(O33:O34)</f>
        <v>65280833.333333343</v>
      </c>
      <c r="X35" s="282">
        <f t="shared" si="12"/>
        <v>26</v>
      </c>
      <c r="Z35" s="164">
        <f t="shared" si="6"/>
        <v>1551666666.6666658</v>
      </c>
      <c r="AA35" s="752">
        <f t="shared" si="1"/>
        <v>44333333.333333336</v>
      </c>
      <c r="AB35" s="164">
        <f t="shared" si="7"/>
        <v>1507333333.3333325</v>
      </c>
      <c r="AC35" s="164">
        <f t="shared" ref="AC35:AC45" si="17">(Z35+AB35)/2*($D$11%/12)</f>
        <v>17206874.999999993</v>
      </c>
      <c r="AD35" s="338">
        <f t="shared" si="2"/>
        <v>17206874.999999993</v>
      </c>
    </row>
    <row r="36" spans="8:31" x14ac:dyDescent="0.25">
      <c r="X36" s="282">
        <f t="shared" si="12"/>
        <v>27</v>
      </c>
      <c r="Z36" s="164">
        <f t="shared" si="6"/>
        <v>1507333333.3333325</v>
      </c>
      <c r="AA36" s="752">
        <f t="shared" si="1"/>
        <v>44333333.333333336</v>
      </c>
      <c r="AB36" s="164">
        <f t="shared" si="7"/>
        <v>1462999999.9999993</v>
      </c>
      <c r="AC36" s="164">
        <f t="shared" si="17"/>
        <v>16708124.999999994</v>
      </c>
      <c r="AD36" s="338">
        <f t="shared" si="2"/>
        <v>16708124.999999994</v>
      </c>
    </row>
    <row r="37" spans="8:31" x14ac:dyDescent="0.25">
      <c r="X37" s="282">
        <f t="shared" si="12"/>
        <v>28</v>
      </c>
      <c r="Z37" s="164">
        <f t="shared" si="6"/>
        <v>1462999999.9999993</v>
      </c>
      <c r="AA37" s="752">
        <f t="shared" si="1"/>
        <v>44333333.333333336</v>
      </c>
      <c r="AB37" s="164">
        <f t="shared" si="7"/>
        <v>1418666666.666666</v>
      </c>
      <c r="AC37" s="164">
        <f t="shared" si="17"/>
        <v>16209374.999999993</v>
      </c>
      <c r="AD37" s="338">
        <f t="shared" si="2"/>
        <v>16209374.999999993</v>
      </c>
    </row>
    <row r="38" spans="8:31" x14ac:dyDescent="0.25">
      <c r="X38" s="282">
        <f t="shared" si="12"/>
        <v>29</v>
      </c>
      <c r="Z38" s="164">
        <f t="shared" si="6"/>
        <v>1418666666.666666</v>
      </c>
      <c r="AA38" s="752">
        <f t="shared" si="1"/>
        <v>44333333.333333336</v>
      </c>
      <c r="AB38" s="164">
        <f t="shared" si="7"/>
        <v>1374333333.3333328</v>
      </c>
      <c r="AC38" s="164">
        <f t="shared" si="17"/>
        <v>15710624.999999996</v>
      </c>
      <c r="AD38" s="338">
        <f t="shared" si="2"/>
        <v>15710624.999999996</v>
      </c>
    </row>
    <row r="39" spans="8:31" x14ac:dyDescent="0.25">
      <c r="X39" s="282">
        <f t="shared" si="12"/>
        <v>30</v>
      </c>
      <c r="Z39" s="164">
        <f t="shared" si="6"/>
        <v>1374333333.3333328</v>
      </c>
      <c r="AA39" s="752">
        <f t="shared" si="1"/>
        <v>44333333.333333336</v>
      </c>
      <c r="AB39" s="164">
        <f t="shared" si="7"/>
        <v>1329999999.9999995</v>
      </c>
      <c r="AC39" s="164">
        <f t="shared" si="17"/>
        <v>15211874.999999994</v>
      </c>
      <c r="AD39" s="338">
        <f t="shared" si="2"/>
        <v>15211874.999999994</v>
      </c>
    </row>
    <row r="40" spans="8:31" x14ac:dyDescent="0.25">
      <c r="X40" s="282">
        <f t="shared" si="12"/>
        <v>31</v>
      </c>
      <c r="Z40" s="164">
        <f t="shared" si="6"/>
        <v>1329999999.9999995</v>
      </c>
      <c r="AA40" s="752">
        <f t="shared" si="1"/>
        <v>44333333.333333336</v>
      </c>
      <c r="AB40" s="164">
        <f t="shared" si="7"/>
        <v>1285666666.6666663</v>
      </c>
      <c r="AC40" s="164">
        <f t="shared" si="17"/>
        <v>14713124.999999998</v>
      </c>
      <c r="AD40" s="338">
        <f t="shared" si="2"/>
        <v>14713124.999999998</v>
      </c>
    </row>
    <row r="41" spans="8:31" x14ac:dyDescent="0.25">
      <c r="X41" s="282">
        <f t="shared" si="12"/>
        <v>32</v>
      </c>
      <c r="Z41" s="164">
        <f t="shared" si="6"/>
        <v>1285666666.6666663</v>
      </c>
      <c r="AA41" s="752">
        <f t="shared" si="1"/>
        <v>44333333.333333336</v>
      </c>
      <c r="AB41" s="164">
        <f t="shared" si="7"/>
        <v>1241333333.333333</v>
      </c>
      <c r="AC41" s="164">
        <f t="shared" si="17"/>
        <v>14214374.999999996</v>
      </c>
      <c r="AD41" s="338">
        <f t="shared" si="2"/>
        <v>14214374.999999996</v>
      </c>
    </row>
    <row r="42" spans="8:31" x14ac:dyDescent="0.25">
      <c r="X42" s="282">
        <f t="shared" si="12"/>
        <v>33</v>
      </c>
      <c r="Z42" s="164">
        <f t="shared" si="6"/>
        <v>1241333333.333333</v>
      </c>
      <c r="AA42" s="752">
        <f t="shared" si="1"/>
        <v>44333333.333333336</v>
      </c>
      <c r="AB42" s="164">
        <f t="shared" si="7"/>
        <v>1196999999.9999998</v>
      </c>
      <c r="AC42" s="164">
        <f t="shared" si="17"/>
        <v>13715625</v>
      </c>
      <c r="AD42" s="338">
        <f t="shared" si="2"/>
        <v>13715625</v>
      </c>
    </row>
    <row r="43" spans="8:31" x14ac:dyDescent="0.25">
      <c r="X43" s="282">
        <f t="shared" si="12"/>
        <v>34</v>
      </c>
      <c r="Z43" s="164">
        <f t="shared" si="6"/>
        <v>1196999999.9999998</v>
      </c>
      <c r="AA43" s="752">
        <f t="shared" si="1"/>
        <v>44333333.333333336</v>
      </c>
      <c r="AB43" s="164">
        <f t="shared" si="7"/>
        <v>1152666666.6666665</v>
      </c>
      <c r="AC43" s="164">
        <f t="shared" si="17"/>
        <v>13216874.999999998</v>
      </c>
      <c r="AD43" s="338">
        <f t="shared" si="2"/>
        <v>13216874.999999998</v>
      </c>
    </row>
    <row r="44" spans="8:31" x14ac:dyDescent="0.25">
      <c r="X44" s="282">
        <f t="shared" si="12"/>
        <v>35</v>
      </c>
      <c r="Z44" s="164">
        <f t="shared" si="6"/>
        <v>1152666666.6666665</v>
      </c>
      <c r="AA44" s="752">
        <f t="shared" si="1"/>
        <v>44333333.333333336</v>
      </c>
      <c r="AB44" s="164">
        <f t="shared" si="7"/>
        <v>1108333333.3333333</v>
      </c>
      <c r="AC44" s="164">
        <f t="shared" si="17"/>
        <v>12718125.000000002</v>
      </c>
      <c r="AD44" s="338">
        <f t="shared" si="2"/>
        <v>12718125.000000002</v>
      </c>
    </row>
    <row r="45" spans="8:31" x14ac:dyDescent="0.25">
      <c r="X45" s="297">
        <f t="shared" si="12"/>
        <v>36</v>
      </c>
      <c r="Y45" s="298"/>
      <c r="Z45" s="298">
        <f t="shared" si="6"/>
        <v>1108333333.3333333</v>
      </c>
      <c r="AA45" s="752">
        <f t="shared" si="1"/>
        <v>44333333.333333336</v>
      </c>
      <c r="AB45" s="298">
        <f t="shared" si="7"/>
        <v>1063999999.9999999</v>
      </c>
      <c r="AC45" s="164">
        <f t="shared" si="17"/>
        <v>12219375</v>
      </c>
      <c r="AD45" s="755">
        <f t="shared" si="2"/>
        <v>12219375</v>
      </c>
      <c r="AE45" s="292"/>
    </row>
    <row r="46" spans="8:31" x14ac:dyDescent="0.25">
      <c r="X46" s="756"/>
      <c r="Y46" s="757"/>
      <c r="Z46" s="757"/>
      <c r="AA46" s="752">
        <f>SUM(AA34:AA45)</f>
        <v>531999999.99999994</v>
      </c>
      <c r="AB46" s="761"/>
      <c r="AC46" s="761">
        <f t="shared" ref="AC46" si="18">SUM(AC34:AC45)</f>
        <v>179549999.99999997</v>
      </c>
      <c r="AD46" s="759"/>
      <c r="AE46" s="760"/>
    </row>
    <row r="47" spans="8:31" x14ac:dyDescent="0.25">
      <c r="X47" s="282">
        <f>X45+1</f>
        <v>37</v>
      </c>
      <c r="Z47" s="164">
        <f>AB45+AC45-AD45</f>
        <v>1064000000</v>
      </c>
      <c r="AA47" s="752">
        <f t="shared" si="1"/>
        <v>44333333.333333336</v>
      </c>
      <c r="AB47" s="164">
        <f t="shared" si="7"/>
        <v>1019666666.6666666</v>
      </c>
      <c r="AC47" s="164">
        <f>(Z47+AB47)/2*($D$11%/12)</f>
        <v>11720625</v>
      </c>
      <c r="AD47" s="338">
        <f t="shared" si="2"/>
        <v>11720625</v>
      </c>
    </row>
    <row r="48" spans="8:31" x14ac:dyDescent="0.25">
      <c r="X48" s="282">
        <f t="shared" si="12"/>
        <v>38</v>
      </c>
      <c r="Z48" s="164">
        <f t="shared" si="6"/>
        <v>1019666666.6666666</v>
      </c>
      <c r="AA48" s="752">
        <f t="shared" si="1"/>
        <v>44333333.333333336</v>
      </c>
      <c r="AB48" s="164">
        <f t="shared" si="7"/>
        <v>975333333.33333325</v>
      </c>
      <c r="AC48" s="164">
        <f t="shared" ref="AC48:AC58" si="19">(Z48+AB48)/2*($D$11%/12)</f>
        <v>11221875.000000002</v>
      </c>
      <c r="AD48" s="338">
        <f t="shared" si="2"/>
        <v>11221875.000000002</v>
      </c>
    </row>
    <row r="49" spans="24:31" x14ac:dyDescent="0.25">
      <c r="X49" s="282">
        <f t="shared" si="12"/>
        <v>39</v>
      </c>
      <c r="Z49" s="164">
        <f t="shared" si="6"/>
        <v>975333333.33333325</v>
      </c>
      <c r="AA49" s="752">
        <f t="shared" si="1"/>
        <v>44333333.333333336</v>
      </c>
      <c r="AB49" s="164">
        <f t="shared" si="7"/>
        <v>930999999.99999988</v>
      </c>
      <c r="AC49" s="164">
        <f t="shared" si="19"/>
        <v>10723125</v>
      </c>
      <c r="AD49" s="338">
        <f t="shared" si="2"/>
        <v>10723125</v>
      </c>
    </row>
    <row r="50" spans="24:31" x14ac:dyDescent="0.25">
      <c r="X50" s="282">
        <f t="shared" si="12"/>
        <v>40</v>
      </c>
      <c r="Z50" s="164">
        <f t="shared" si="6"/>
        <v>930999999.99999988</v>
      </c>
      <c r="AA50" s="752">
        <f t="shared" si="1"/>
        <v>44333333.333333336</v>
      </c>
      <c r="AB50" s="164">
        <f t="shared" si="7"/>
        <v>886666666.66666651</v>
      </c>
      <c r="AC50" s="164">
        <f t="shared" si="19"/>
        <v>10224375</v>
      </c>
      <c r="AD50" s="338">
        <f t="shared" si="2"/>
        <v>10224375</v>
      </c>
    </row>
    <row r="51" spans="24:31" x14ac:dyDescent="0.25">
      <c r="X51" s="282">
        <f t="shared" si="12"/>
        <v>41</v>
      </c>
      <c r="Z51" s="164">
        <f t="shared" si="6"/>
        <v>886666666.66666651</v>
      </c>
      <c r="AA51" s="752">
        <f t="shared" si="1"/>
        <v>44333333.333333336</v>
      </c>
      <c r="AB51" s="164">
        <f t="shared" si="7"/>
        <v>842333333.33333313</v>
      </c>
      <c r="AC51" s="164">
        <f t="shared" si="19"/>
        <v>9725624.9999999981</v>
      </c>
      <c r="AD51" s="338">
        <f t="shared" si="2"/>
        <v>9725624.9999999981</v>
      </c>
    </row>
    <row r="52" spans="24:31" x14ac:dyDescent="0.25">
      <c r="X52" s="282">
        <f t="shared" si="12"/>
        <v>42</v>
      </c>
      <c r="Z52" s="164">
        <f t="shared" si="6"/>
        <v>842333333.33333313</v>
      </c>
      <c r="AA52" s="752">
        <f t="shared" si="1"/>
        <v>44333333.333333336</v>
      </c>
      <c r="AB52" s="164">
        <f t="shared" si="7"/>
        <v>797999999.99999976</v>
      </c>
      <c r="AC52" s="164">
        <f t="shared" si="19"/>
        <v>9226875</v>
      </c>
      <c r="AD52" s="338">
        <f t="shared" si="2"/>
        <v>9226875</v>
      </c>
    </row>
    <row r="53" spans="24:31" x14ac:dyDescent="0.25">
      <c r="X53" s="282">
        <f t="shared" si="12"/>
        <v>43</v>
      </c>
      <c r="Z53" s="164">
        <f t="shared" si="6"/>
        <v>797999999.99999976</v>
      </c>
      <c r="AA53" s="752">
        <f t="shared" si="1"/>
        <v>44333333.333333336</v>
      </c>
      <c r="AB53" s="164">
        <f t="shared" si="7"/>
        <v>753666666.66666639</v>
      </c>
      <c r="AC53" s="164">
        <f t="shared" si="19"/>
        <v>8728124.9999999981</v>
      </c>
      <c r="AD53" s="338">
        <f t="shared" si="2"/>
        <v>8728124.9999999981</v>
      </c>
    </row>
    <row r="54" spans="24:31" x14ac:dyDescent="0.25">
      <c r="X54" s="282">
        <f t="shared" si="12"/>
        <v>44</v>
      </c>
      <c r="Z54" s="164">
        <f t="shared" si="6"/>
        <v>753666666.66666639</v>
      </c>
      <c r="AA54" s="752">
        <f t="shared" si="1"/>
        <v>44333333.333333336</v>
      </c>
      <c r="AB54" s="164">
        <f t="shared" si="7"/>
        <v>709333333.33333302</v>
      </c>
      <c r="AC54" s="164">
        <f t="shared" si="19"/>
        <v>8229374.9999999981</v>
      </c>
      <c r="AD54" s="338">
        <f t="shared" si="2"/>
        <v>8229374.9999999981</v>
      </c>
    </row>
    <row r="55" spans="24:31" x14ac:dyDescent="0.25">
      <c r="X55" s="282">
        <f t="shared" si="12"/>
        <v>45</v>
      </c>
      <c r="Z55" s="164">
        <f t="shared" si="6"/>
        <v>709333333.33333302</v>
      </c>
      <c r="AA55" s="752">
        <f t="shared" si="1"/>
        <v>44333333.333333336</v>
      </c>
      <c r="AB55" s="164">
        <f t="shared" si="7"/>
        <v>664999999.99999964</v>
      </c>
      <c r="AC55" s="164">
        <f t="shared" si="19"/>
        <v>7730624.9999999963</v>
      </c>
      <c r="AD55" s="338">
        <f t="shared" si="2"/>
        <v>7730624.9999999963</v>
      </c>
    </row>
    <row r="56" spans="24:31" x14ac:dyDescent="0.25">
      <c r="X56" s="282">
        <f t="shared" si="12"/>
        <v>46</v>
      </c>
      <c r="Z56" s="164">
        <f t="shared" si="6"/>
        <v>664999999.99999964</v>
      </c>
      <c r="AA56" s="752">
        <f t="shared" si="1"/>
        <v>44333333.333333336</v>
      </c>
      <c r="AB56" s="164">
        <f t="shared" si="7"/>
        <v>620666666.66666627</v>
      </c>
      <c r="AC56" s="164">
        <f t="shared" si="19"/>
        <v>7231874.9999999972</v>
      </c>
      <c r="AD56" s="338">
        <f t="shared" si="2"/>
        <v>7231874.9999999972</v>
      </c>
    </row>
    <row r="57" spans="24:31" x14ac:dyDescent="0.25">
      <c r="X57" s="282">
        <f t="shared" si="12"/>
        <v>47</v>
      </c>
      <c r="Z57" s="164">
        <f t="shared" si="6"/>
        <v>620666666.66666627</v>
      </c>
      <c r="AA57" s="752">
        <f t="shared" si="1"/>
        <v>44333333.333333336</v>
      </c>
      <c r="AB57" s="164">
        <f t="shared" si="7"/>
        <v>576333333.3333329</v>
      </c>
      <c r="AC57" s="164">
        <f t="shared" si="19"/>
        <v>6733124.9999999953</v>
      </c>
      <c r="AD57" s="338">
        <f t="shared" si="2"/>
        <v>6733124.9999999953</v>
      </c>
    </row>
    <row r="58" spans="24:31" x14ac:dyDescent="0.25">
      <c r="X58" s="297">
        <f t="shared" si="12"/>
        <v>48</v>
      </c>
      <c r="Y58" s="298"/>
      <c r="Z58" s="298">
        <f t="shared" si="6"/>
        <v>576333333.3333329</v>
      </c>
      <c r="AA58" s="752">
        <f t="shared" si="1"/>
        <v>44333333.333333336</v>
      </c>
      <c r="AB58" s="298">
        <f t="shared" si="7"/>
        <v>531999999.99999958</v>
      </c>
      <c r="AC58" s="164">
        <f t="shared" si="19"/>
        <v>6234374.9999999963</v>
      </c>
      <c r="AD58" s="755">
        <f t="shared" si="2"/>
        <v>6234374.9999999963</v>
      </c>
      <c r="AE58" s="292"/>
    </row>
    <row r="59" spans="24:31" x14ac:dyDescent="0.25">
      <c r="X59" s="756"/>
      <c r="Y59" s="757"/>
      <c r="Z59" s="757"/>
      <c r="AA59" s="752">
        <f>SUM(AA47:AA58)</f>
        <v>531999999.99999994</v>
      </c>
      <c r="AB59" s="761"/>
      <c r="AC59" s="761">
        <f t="shared" ref="AC59" si="20">SUM(AC47:AC58)</f>
        <v>107730000</v>
      </c>
      <c r="AD59" s="759"/>
      <c r="AE59" s="760"/>
    </row>
    <row r="60" spans="24:31" x14ac:dyDescent="0.25">
      <c r="X60" s="282">
        <f>X58+1</f>
        <v>49</v>
      </c>
      <c r="Z60" s="164">
        <f>AB58+AC58-AD58</f>
        <v>531999999.99999952</v>
      </c>
      <c r="AA60" s="752">
        <f t="shared" si="1"/>
        <v>44333333.333333336</v>
      </c>
      <c r="AB60" s="164">
        <f t="shared" si="7"/>
        <v>487666666.66666621</v>
      </c>
      <c r="AC60" s="164">
        <f>(Z60+AB60)/2*($D$11%/12)</f>
        <v>5735624.9999999953</v>
      </c>
      <c r="AD60" s="338">
        <f t="shared" si="2"/>
        <v>5735624.9999999953</v>
      </c>
    </row>
    <row r="61" spans="24:31" x14ac:dyDescent="0.25">
      <c r="X61" s="282">
        <f t="shared" si="12"/>
        <v>50</v>
      </c>
      <c r="Z61" s="164">
        <f t="shared" si="6"/>
        <v>487666666.66666621</v>
      </c>
      <c r="AA61" s="752">
        <f t="shared" si="1"/>
        <v>44333333.333333336</v>
      </c>
      <c r="AB61" s="164">
        <f t="shared" si="7"/>
        <v>443333333.3333329</v>
      </c>
      <c r="AC61" s="164">
        <f t="shared" ref="AC61:AC71" si="21">(Z61+AB61)/2*($D$11%/12)</f>
        <v>5236874.9999999953</v>
      </c>
      <c r="AD61" s="338">
        <f t="shared" si="2"/>
        <v>5236874.9999999953</v>
      </c>
    </row>
    <row r="62" spans="24:31" x14ac:dyDescent="0.25">
      <c r="X62" s="282">
        <f t="shared" si="12"/>
        <v>51</v>
      </c>
      <c r="Z62" s="164">
        <f t="shared" si="6"/>
        <v>443333333.3333329</v>
      </c>
      <c r="AA62" s="752">
        <f t="shared" si="1"/>
        <v>44333333.333333336</v>
      </c>
      <c r="AB62" s="164">
        <f t="shared" si="7"/>
        <v>398999999.99999958</v>
      </c>
      <c r="AC62" s="164">
        <f t="shared" si="21"/>
        <v>4738124.9999999963</v>
      </c>
      <c r="AD62" s="338">
        <f t="shared" si="2"/>
        <v>4738124.9999999963</v>
      </c>
    </row>
    <row r="63" spans="24:31" x14ac:dyDescent="0.25">
      <c r="X63" s="282">
        <f t="shared" si="12"/>
        <v>52</v>
      </c>
      <c r="Z63" s="164">
        <f t="shared" si="6"/>
        <v>398999999.99999958</v>
      </c>
      <c r="AA63" s="752">
        <f t="shared" si="1"/>
        <v>44333333.333333336</v>
      </c>
      <c r="AB63" s="164">
        <f t="shared" si="7"/>
        <v>354666666.66666627</v>
      </c>
      <c r="AC63" s="164">
        <f t="shared" si="21"/>
        <v>4239374.9999999953</v>
      </c>
      <c r="AD63" s="338">
        <f t="shared" si="2"/>
        <v>4239374.9999999953</v>
      </c>
    </row>
    <row r="64" spans="24:31" x14ac:dyDescent="0.25">
      <c r="X64" s="282">
        <f t="shared" si="12"/>
        <v>53</v>
      </c>
      <c r="Z64" s="164">
        <f t="shared" si="6"/>
        <v>354666666.66666627</v>
      </c>
      <c r="AA64" s="752">
        <f t="shared" si="1"/>
        <v>44333333.333333336</v>
      </c>
      <c r="AB64" s="164">
        <f t="shared" si="7"/>
        <v>310333333.33333296</v>
      </c>
      <c r="AC64" s="164">
        <f t="shared" si="21"/>
        <v>3740624.9999999963</v>
      </c>
      <c r="AD64" s="338">
        <f t="shared" si="2"/>
        <v>3740624.9999999963</v>
      </c>
    </row>
    <row r="65" spans="24:31" x14ac:dyDescent="0.25">
      <c r="X65" s="282">
        <f t="shared" si="12"/>
        <v>54</v>
      </c>
      <c r="Z65" s="164">
        <f t="shared" si="6"/>
        <v>310333333.33333296</v>
      </c>
      <c r="AA65" s="752">
        <f t="shared" si="1"/>
        <v>44333333.333333336</v>
      </c>
      <c r="AB65" s="164">
        <f t="shared" si="7"/>
        <v>265999999.99999961</v>
      </c>
      <c r="AC65" s="164">
        <f t="shared" si="21"/>
        <v>3241874.9999999958</v>
      </c>
      <c r="AD65" s="338">
        <f t="shared" si="2"/>
        <v>3241874.9999999958</v>
      </c>
    </row>
    <row r="66" spans="24:31" x14ac:dyDescent="0.25">
      <c r="X66" s="282">
        <f t="shared" si="12"/>
        <v>55</v>
      </c>
      <c r="Z66" s="164">
        <f t="shared" si="6"/>
        <v>265999999.99999958</v>
      </c>
      <c r="AA66" s="752">
        <f t="shared" si="1"/>
        <v>44333333.333333336</v>
      </c>
      <c r="AB66" s="164">
        <f t="shared" si="7"/>
        <v>221666666.66666624</v>
      </c>
      <c r="AC66" s="164">
        <f t="shared" si="21"/>
        <v>2743124.9999999953</v>
      </c>
      <c r="AD66" s="338">
        <f t="shared" si="2"/>
        <v>2743124.9999999953</v>
      </c>
    </row>
    <row r="67" spans="24:31" x14ac:dyDescent="0.25">
      <c r="X67" s="282">
        <f t="shared" si="12"/>
        <v>56</v>
      </c>
      <c r="Z67" s="164">
        <f t="shared" si="6"/>
        <v>221666666.66666624</v>
      </c>
      <c r="AA67" s="752">
        <f t="shared" si="1"/>
        <v>44333333.333333336</v>
      </c>
      <c r="AB67" s="164">
        <f t="shared" si="7"/>
        <v>177333333.3333329</v>
      </c>
      <c r="AC67" s="164">
        <f t="shared" si="21"/>
        <v>2244374.9999999953</v>
      </c>
      <c r="AD67" s="338">
        <f t="shared" si="2"/>
        <v>2244374.9999999953</v>
      </c>
    </row>
    <row r="68" spans="24:31" x14ac:dyDescent="0.25">
      <c r="X68" s="282">
        <f t="shared" si="12"/>
        <v>57</v>
      </c>
      <c r="Z68" s="164">
        <f t="shared" si="6"/>
        <v>177333333.3333329</v>
      </c>
      <c r="AA68" s="752">
        <f t="shared" si="1"/>
        <v>44333333.333333336</v>
      </c>
      <c r="AB68" s="164">
        <f t="shared" si="7"/>
        <v>132999999.99999955</v>
      </c>
      <c r="AC68" s="164">
        <f t="shared" si="21"/>
        <v>1745624.9999999951</v>
      </c>
      <c r="AD68" s="338">
        <f t="shared" si="2"/>
        <v>1745624.9999999951</v>
      </c>
    </row>
    <row r="69" spans="24:31" x14ac:dyDescent="0.25">
      <c r="X69" s="282">
        <f t="shared" si="12"/>
        <v>58</v>
      </c>
      <c r="Z69" s="164">
        <f t="shared" si="6"/>
        <v>132999999.99999955</v>
      </c>
      <c r="AA69" s="752">
        <f t="shared" si="1"/>
        <v>44333333.333333336</v>
      </c>
      <c r="AB69" s="164">
        <f t="shared" si="7"/>
        <v>88666666.66666621</v>
      </c>
      <c r="AC69" s="164">
        <f t="shared" si="21"/>
        <v>1246874.9999999951</v>
      </c>
      <c r="AD69" s="338">
        <f t="shared" si="2"/>
        <v>1246874.9999999951</v>
      </c>
    </row>
    <row r="70" spans="24:31" x14ac:dyDescent="0.25">
      <c r="X70" s="282">
        <f t="shared" si="12"/>
        <v>59</v>
      </c>
      <c r="Z70" s="164">
        <f t="shared" si="6"/>
        <v>88666666.66666621</v>
      </c>
      <c r="AA70" s="752">
        <f t="shared" si="1"/>
        <v>44333333.333333336</v>
      </c>
      <c r="AB70" s="164">
        <f t="shared" si="7"/>
        <v>44333333.333332874</v>
      </c>
      <c r="AC70" s="164">
        <f t="shared" si="21"/>
        <v>748124.99999999488</v>
      </c>
      <c r="AD70" s="338">
        <f t="shared" si="2"/>
        <v>748124.99999999488</v>
      </c>
    </row>
    <row r="71" spans="24:31" x14ac:dyDescent="0.25">
      <c r="X71" s="297">
        <f t="shared" si="12"/>
        <v>60</v>
      </c>
      <c r="Y71" s="298"/>
      <c r="Z71" s="298">
        <f t="shared" si="6"/>
        <v>44333333.333332874</v>
      </c>
      <c r="AA71" s="752">
        <f t="shared" si="1"/>
        <v>44333333.333333336</v>
      </c>
      <c r="AB71" s="298">
        <f t="shared" si="7"/>
        <v>-4.6193599700927734E-7</v>
      </c>
      <c r="AC71" s="164">
        <f t="shared" si="21"/>
        <v>249374.99999999485</v>
      </c>
      <c r="AD71" s="755">
        <f t="shared" si="2"/>
        <v>249374.99999999485</v>
      </c>
      <c r="AE71" s="292"/>
    </row>
    <row r="72" spans="24:31" x14ac:dyDescent="0.25">
      <c r="X72" s="756"/>
      <c r="Y72" s="757"/>
      <c r="Z72" s="757"/>
      <c r="AA72" s="752">
        <f>SUM(AA60:AA71)</f>
        <v>531999999.99999994</v>
      </c>
      <c r="AB72" s="761"/>
      <c r="AC72" s="761">
        <f>SUM(AC60:AC71)</f>
        <v>35909999.99999994</v>
      </c>
      <c r="AD72" s="759"/>
      <c r="AE72" s="760"/>
    </row>
  </sheetData>
  <mergeCells count="3">
    <mergeCell ref="H6:H7"/>
    <mergeCell ref="P6:P7"/>
    <mergeCell ref="Y6:Y7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colBreaks count="1" manualBreakCount="1">
    <brk id="14" max="1048575" man="1"/>
  </colBreaks>
  <ignoredErrors>
    <ignoredError sqref="I12" 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0"/>
  <sheetViews>
    <sheetView showGridLines="0" zoomScaleNormal="100" workbookViewId="0">
      <pane ySplit="7" topLeftCell="A8" activePane="bottomLeft" state="frozen"/>
      <selection pane="bottomLeft" activeCell="B10" sqref="B10"/>
    </sheetView>
  </sheetViews>
  <sheetFormatPr defaultColWidth="9" defaultRowHeight="11.25" x14ac:dyDescent="0.25"/>
  <cols>
    <col min="1" max="1" width="22.25" style="271" customWidth="1"/>
    <col min="2" max="2" width="10.5" style="271" bestFit="1" customWidth="1"/>
    <col min="3" max="3" width="8.5" style="271" bestFit="1" customWidth="1"/>
    <col min="4" max="4" width="9" style="271"/>
    <col min="5" max="5" width="8.25" style="271" customWidth="1"/>
    <col min="6" max="6" width="11.25" style="271" bestFit="1" customWidth="1"/>
    <col min="7" max="7" width="9" style="271"/>
    <col min="8" max="8" width="25.5" style="271" bestFit="1" customWidth="1"/>
    <col min="9" max="9" width="11.25" style="271" bestFit="1" customWidth="1"/>
    <col min="10" max="10" width="9" style="271"/>
    <col min="11" max="11" width="2.25" style="271" customWidth="1"/>
    <col min="12" max="13" width="5.25" style="271" customWidth="1"/>
    <col min="14" max="14" width="9.75" style="271" bestFit="1" customWidth="1"/>
    <col min="15" max="16384" width="9" style="271"/>
  </cols>
  <sheetData>
    <row r="1" spans="1:14" x14ac:dyDescent="0.2">
      <c r="A1" s="274" t="str">
        <f>Assumption!A1</f>
        <v>Bisnis Truk Thermoking</v>
      </c>
    </row>
    <row r="2" spans="1:14" x14ac:dyDescent="0.2">
      <c r="A2" s="274" t="str">
        <f>Assumption!A2</f>
        <v>Financial Pre-Feasibility Study</v>
      </c>
    </row>
    <row r="3" spans="1:14" x14ac:dyDescent="0.25">
      <c r="A3" s="276" t="s">
        <v>621</v>
      </c>
    </row>
    <row r="5" spans="1:14" x14ac:dyDescent="0.25">
      <c r="F5" s="165" t="s">
        <v>601</v>
      </c>
    </row>
    <row r="6" spans="1:14" ht="10.5" customHeight="1" x14ac:dyDescent="0.25">
      <c r="A6" s="263" t="s">
        <v>68</v>
      </c>
      <c r="B6" s="264"/>
      <c r="C6" s="264"/>
      <c r="E6" s="762" t="s">
        <v>754</v>
      </c>
      <c r="F6" s="270" t="s">
        <v>620</v>
      </c>
    </row>
    <row r="7" spans="1:14" ht="18.75" customHeight="1" x14ac:dyDescent="0.25">
      <c r="A7" s="264"/>
      <c r="B7" s="264"/>
      <c r="C7" s="264"/>
      <c r="E7" s="762"/>
      <c r="F7" s="346"/>
    </row>
    <row r="8" spans="1:14" ht="10.5" customHeight="1" x14ac:dyDescent="0.25">
      <c r="A8" s="268" t="s">
        <v>570</v>
      </c>
      <c r="B8" s="313">
        <f>Assumption!E25</f>
        <v>3800000000</v>
      </c>
      <c r="C8" s="271" t="s">
        <v>386</v>
      </c>
      <c r="D8" s="347"/>
      <c r="E8" s="282">
        <v>1</v>
      </c>
      <c r="F8" s="313">
        <f>B10</f>
        <v>380000000</v>
      </c>
    </row>
    <row r="9" spans="1:14" x14ac:dyDescent="0.25">
      <c r="A9" s="268" t="s">
        <v>623</v>
      </c>
      <c r="B9" s="348">
        <f>Assumption!E35</f>
        <v>10</v>
      </c>
      <c r="C9" s="271" t="s">
        <v>52</v>
      </c>
      <c r="D9" s="347"/>
      <c r="E9" s="282">
        <f>E8+1</f>
        <v>2</v>
      </c>
      <c r="F9" s="313">
        <f>F8</f>
        <v>380000000</v>
      </c>
      <c r="N9" s="349"/>
    </row>
    <row r="10" spans="1:14" x14ac:dyDescent="0.25">
      <c r="A10" s="268" t="s">
        <v>622</v>
      </c>
      <c r="B10" s="350">
        <f>B8/B9</f>
        <v>380000000</v>
      </c>
      <c r="C10" s="271" t="s">
        <v>390</v>
      </c>
      <c r="D10" s="351"/>
      <c r="E10" s="282">
        <f>E9+1</f>
        <v>3</v>
      </c>
      <c r="F10" s="313">
        <f t="shared" ref="F10:F17" si="0">F9</f>
        <v>380000000</v>
      </c>
    </row>
    <row r="11" spans="1:14" x14ac:dyDescent="0.25">
      <c r="D11" s="351"/>
      <c r="E11" s="282">
        <f t="shared" ref="E11:E17" si="1">E10+1</f>
        <v>4</v>
      </c>
      <c r="F11" s="313">
        <f t="shared" si="0"/>
        <v>380000000</v>
      </c>
    </row>
    <row r="12" spans="1:14" x14ac:dyDescent="0.25">
      <c r="D12" s="351"/>
      <c r="E12" s="282">
        <f t="shared" si="1"/>
        <v>5</v>
      </c>
      <c r="F12" s="313">
        <f t="shared" si="0"/>
        <v>380000000</v>
      </c>
    </row>
    <row r="13" spans="1:14" x14ac:dyDescent="0.25">
      <c r="D13" s="351"/>
      <c r="E13" s="282">
        <f t="shared" si="1"/>
        <v>6</v>
      </c>
      <c r="F13" s="313">
        <f t="shared" si="0"/>
        <v>380000000</v>
      </c>
    </row>
    <row r="14" spans="1:14" x14ac:dyDescent="0.25">
      <c r="E14" s="282">
        <f t="shared" si="1"/>
        <v>7</v>
      </c>
      <c r="F14" s="313">
        <f t="shared" si="0"/>
        <v>380000000</v>
      </c>
    </row>
    <row r="15" spans="1:14" x14ac:dyDescent="0.25">
      <c r="E15" s="282">
        <f t="shared" si="1"/>
        <v>8</v>
      </c>
      <c r="F15" s="313">
        <f t="shared" si="0"/>
        <v>380000000</v>
      </c>
    </row>
    <row r="16" spans="1:14" x14ac:dyDescent="0.25">
      <c r="A16" s="268"/>
      <c r="B16" s="349"/>
      <c r="E16" s="282">
        <f t="shared" si="1"/>
        <v>9</v>
      </c>
      <c r="F16" s="313">
        <f t="shared" si="0"/>
        <v>380000000</v>
      </c>
    </row>
    <row r="17" spans="1:6" x14ac:dyDescent="0.25">
      <c r="A17" s="268"/>
      <c r="B17" s="349"/>
      <c r="E17" s="282">
        <f t="shared" si="1"/>
        <v>10</v>
      </c>
      <c r="F17" s="313">
        <f t="shared" si="0"/>
        <v>380000000</v>
      </c>
    </row>
    <row r="18" spans="1:6" x14ac:dyDescent="0.25">
      <c r="A18" s="268"/>
      <c r="B18" s="349"/>
    </row>
    <row r="19" spans="1:6" x14ac:dyDescent="0.25">
      <c r="A19" s="268"/>
      <c r="B19" s="349"/>
      <c r="F19" s="316"/>
    </row>
    <row r="20" spans="1:6" x14ac:dyDescent="0.25">
      <c r="F20" s="316"/>
    </row>
    <row r="29" spans="1:6" x14ac:dyDescent="0.25">
      <c r="E29" s="282"/>
    </row>
    <row r="30" spans="1:6" x14ac:dyDescent="0.25">
      <c r="E30" s="282"/>
    </row>
  </sheetData>
  <mergeCells count="1">
    <mergeCell ref="E6:E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topLeftCell="E1" workbookViewId="0">
      <selection activeCell="V32" sqref="V32"/>
    </sheetView>
  </sheetViews>
  <sheetFormatPr defaultColWidth="8.25" defaultRowHeight="10.5" x14ac:dyDescent="0.25"/>
  <cols>
    <col min="1" max="1" width="3.25" style="94" customWidth="1"/>
    <col min="2" max="2" width="17.5" style="94" customWidth="1"/>
    <col min="3" max="3" width="16.125" style="94" bestFit="1" customWidth="1"/>
    <col min="4" max="4" width="10.75" style="109" customWidth="1"/>
    <col min="5" max="5" width="7.25" style="94" customWidth="1"/>
    <col min="6" max="6" width="6.625" style="94" customWidth="1"/>
    <col min="7" max="7" width="8.125" style="94" customWidth="1"/>
    <col min="8" max="9" width="8.25" style="94" customWidth="1"/>
    <col min="10" max="10" width="10.75" style="94" customWidth="1"/>
    <col min="11" max="11" width="7.125" style="94" customWidth="1"/>
    <col min="12" max="12" width="10.75" style="94" customWidth="1"/>
    <col min="13" max="14" width="8.125" style="94" customWidth="1"/>
    <col min="15" max="15" width="8.25" style="94" bestFit="1" customWidth="1"/>
    <col min="16" max="16" width="8.25" style="94" customWidth="1"/>
    <col min="17" max="17" width="8.75" style="94" customWidth="1"/>
    <col min="18" max="18" width="7.625" style="94" customWidth="1"/>
    <col min="19" max="19" width="8.75" style="94" customWidth="1"/>
    <col min="20" max="20" width="5.625" style="94" customWidth="1"/>
    <col min="21" max="21" width="8.5" style="111" bestFit="1" customWidth="1"/>
    <col min="22" max="22" width="10.25" style="94" customWidth="1"/>
    <col min="23" max="16384" width="8.25" style="94"/>
  </cols>
  <sheetData>
    <row r="1" spans="1:22" x14ac:dyDescent="0.25">
      <c r="A1" s="88" t="str">
        <f>'SG&amp;A'!A1</f>
        <v>Bisnis Truk Thermoking</v>
      </c>
    </row>
    <row r="2" spans="1:22" x14ac:dyDescent="0.25">
      <c r="A2" s="88" t="str">
        <f>'SG&amp;A'!A2</f>
        <v>Financial Pre-Feasibility Study</v>
      </c>
    </row>
    <row r="3" spans="1:22" x14ac:dyDescent="0.25">
      <c r="A3" s="110" t="s">
        <v>514</v>
      </c>
    </row>
    <row r="6" spans="1:22" ht="21" x14ac:dyDescent="0.25">
      <c r="A6" s="95" t="s">
        <v>58</v>
      </c>
      <c r="B6" s="95" t="s">
        <v>421</v>
      </c>
      <c r="C6" s="95" t="s">
        <v>422</v>
      </c>
      <c r="D6" s="95" t="s">
        <v>461</v>
      </c>
      <c r="E6" s="95" t="s">
        <v>423</v>
      </c>
      <c r="F6" s="95" t="s">
        <v>424</v>
      </c>
      <c r="G6" s="95" t="s">
        <v>425</v>
      </c>
      <c r="H6" s="95" t="s">
        <v>426</v>
      </c>
      <c r="I6" s="95" t="s">
        <v>427</v>
      </c>
      <c r="J6" s="95" t="s">
        <v>428</v>
      </c>
      <c r="K6" s="95" t="s">
        <v>429</v>
      </c>
      <c r="L6" s="95" t="s">
        <v>430</v>
      </c>
      <c r="M6" s="95" t="s">
        <v>387</v>
      </c>
      <c r="N6" s="95" t="s">
        <v>431</v>
      </c>
      <c r="O6" s="95" t="s">
        <v>432</v>
      </c>
      <c r="P6" s="95" t="s">
        <v>433</v>
      </c>
      <c r="Q6" s="95" t="s">
        <v>434</v>
      </c>
      <c r="R6" s="95" t="s">
        <v>435</v>
      </c>
      <c r="S6" s="95" t="s">
        <v>436</v>
      </c>
      <c r="U6" s="113" t="s">
        <v>475</v>
      </c>
      <c r="V6" s="113" t="s">
        <v>476</v>
      </c>
    </row>
    <row r="7" spans="1:22" x14ac:dyDescent="0.15">
      <c r="A7" s="114"/>
      <c r="B7" s="114"/>
      <c r="C7" s="114"/>
      <c r="D7" s="115"/>
      <c r="E7" s="114"/>
      <c r="F7" s="114"/>
      <c r="G7" s="114"/>
      <c r="H7" s="114"/>
      <c r="I7" s="116"/>
      <c r="J7" s="114"/>
      <c r="K7" s="114"/>
      <c r="L7" s="114"/>
      <c r="M7" s="117">
        <v>0.03</v>
      </c>
      <c r="N7" s="117">
        <v>9.1999999999999998E-3</v>
      </c>
      <c r="O7" s="117"/>
      <c r="P7" s="118">
        <v>0.15</v>
      </c>
      <c r="Q7" s="118"/>
      <c r="R7" s="119">
        <v>0.01</v>
      </c>
      <c r="S7" s="119"/>
      <c r="U7" s="120"/>
      <c r="V7" s="120"/>
    </row>
    <row r="8" spans="1:22" x14ac:dyDescent="0.15">
      <c r="A8" s="96">
        <v>1</v>
      </c>
      <c r="B8" s="97" t="s">
        <v>437</v>
      </c>
      <c r="C8" s="98" t="s">
        <v>438</v>
      </c>
      <c r="D8" s="108">
        <v>258</v>
      </c>
      <c r="E8" s="99">
        <f t="shared" ref="E8:E30" si="0">G8/50</f>
        <v>400</v>
      </c>
      <c r="F8" s="99">
        <v>20</v>
      </c>
      <c r="G8" s="99">
        <f t="shared" ref="G8:G30" si="1">F8*1000</f>
        <v>20000</v>
      </c>
      <c r="H8" s="100">
        <v>3800000</v>
      </c>
      <c r="I8" s="100">
        <f t="shared" ref="I8:I30" si="2">F8*40000</f>
        <v>800000</v>
      </c>
      <c r="J8" s="101">
        <f t="shared" ref="J8:J30" si="3">E8*100</f>
        <v>40000</v>
      </c>
      <c r="K8" s="101"/>
      <c r="L8" s="101">
        <f t="shared" ref="L8:L30" si="4">SUM(H8:K8)</f>
        <v>4640000</v>
      </c>
      <c r="M8" s="101">
        <f t="shared" ref="M8:M30" si="5">L8*$M$7</f>
        <v>139200</v>
      </c>
      <c r="N8" s="101">
        <f t="shared" ref="N8:N30" si="6">L8*$N$7</f>
        <v>42688</v>
      </c>
      <c r="O8" s="101">
        <f t="shared" ref="O8:O30" si="7">SUM(L8:N8)</f>
        <v>4821888</v>
      </c>
      <c r="P8" s="102">
        <f t="shared" ref="P8:P30" si="8">+O8*$P$7</f>
        <v>723283.2</v>
      </c>
      <c r="Q8" s="102">
        <f t="shared" ref="Q8:Q30" si="9">SUM(O8:P8)</f>
        <v>5545171.2000000002</v>
      </c>
      <c r="R8" s="102">
        <f t="shared" ref="R8:R30" si="10">+Q8*$R$7</f>
        <v>55451.712</v>
      </c>
      <c r="S8" s="102">
        <f t="shared" ref="S8:S30" si="11">SUM(Q8:R8)</f>
        <v>5600622.9120000005</v>
      </c>
      <c r="T8" s="103"/>
      <c r="U8" s="111">
        <f t="shared" ref="U8:U30" si="12">S8/G8</f>
        <v>280.0311456</v>
      </c>
      <c r="V8" s="126">
        <f>U8/D8</f>
        <v>1.0853920372093024</v>
      </c>
    </row>
    <row r="9" spans="1:22" x14ac:dyDescent="0.15">
      <c r="A9" s="104">
        <v>2</v>
      </c>
      <c r="B9" s="97" t="s">
        <v>437</v>
      </c>
      <c r="C9" s="98" t="s">
        <v>439</v>
      </c>
      <c r="D9" s="108">
        <v>175</v>
      </c>
      <c r="E9" s="99">
        <f t="shared" si="0"/>
        <v>400</v>
      </c>
      <c r="F9" s="99">
        <v>20</v>
      </c>
      <c r="G9" s="99">
        <f t="shared" si="1"/>
        <v>20000</v>
      </c>
      <c r="H9" s="100">
        <v>2500000</v>
      </c>
      <c r="I9" s="100">
        <f t="shared" si="2"/>
        <v>800000</v>
      </c>
      <c r="J9" s="101">
        <f t="shared" si="3"/>
        <v>40000</v>
      </c>
      <c r="K9" s="101"/>
      <c r="L9" s="101">
        <f t="shared" si="4"/>
        <v>3340000</v>
      </c>
      <c r="M9" s="101">
        <f t="shared" si="5"/>
        <v>100200</v>
      </c>
      <c r="N9" s="101">
        <f t="shared" si="6"/>
        <v>30728</v>
      </c>
      <c r="O9" s="101">
        <f t="shared" si="7"/>
        <v>3470928</v>
      </c>
      <c r="P9" s="102">
        <f t="shared" si="8"/>
        <v>520639.19999999995</v>
      </c>
      <c r="Q9" s="102">
        <f t="shared" si="9"/>
        <v>3991567.2</v>
      </c>
      <c r="R9" s="102">
        <f t="shared" si="10"/>
        <v>39915.672000000006</v>
      </c>
      <c r="S9" s="102">
        <f t="shared" si="11"/>
        <v>4031482.872</v>
      </c>
      <c r="T9" s="103"/>
      <c r="U9" s="112">
        <f t="shared" si="12"/>
        <v>201.57414359999999</v>
      </c>
      <c r="V9" s="126">
        <f t="shared" ref="V9:V30" si="13">U9/D9</f>
        <v>1.1518522491428571</v>
      </c>
    </row>
    <row r="10" spans="1:22" x14ac:dyDescent="0.15">
      <c r="A10" s="96">
        <v>3</v>
      </c>
      <c r="B10" s="106" t="s">
        <v>437</v>
      </c>
      <c r="C10" s="98" t="s">
        <v>440</v>
      </c>
      <c r="D10" s="108">
        <v>113</v>
      </c>
      <c r="E10" s="99">
        <f t="shared" si="0"/>
        <v>400</v>
      </c>
      <c r="F10" s="99">
        <v>20</v>
      </c>
      <c r="G10" s="99">
        <f t="shared" si="1"/>
        <v>20000</v>
      </c>
      <c r="H10" s="100">
        <v>2400000</v>
      </c>
      <c r="I10" s="100">
        <f t="shared" si="2"/>
        <v>800000</v>
      </c>
      <c r="J10" s="101">
        <f t="shared" si="3"/>
        <v>40000</v>
      </c>
      <c r="K10" s="101"/>
      <c r="L10" s="101">
        <f t="shared" si="4"/>
        <v>3240000</v>
      </c>
      <c r="M10" s="101">
        <f t="shared" si="5"/>
        <v>97200</v>
      </c>
      <c r="N10" s="101">
        <f t="shared" si="6"/>
        <v>29808</v>
      </c>
      <c r="O10" s="101">
        <f t="shared" si="7"/>
        <v>3367008</v>
      </c>
      <c r="P10" s="102">
        <f t="shared" si="8"/>
        <v>505051.19999999995</v>
      </c>
      <c r="Q10" s="102">
        <f t="shared" si="9"/>
        <v>3872059.2</v>
      </c>
      <c r="R10" s="102">
        <f t="shared" si="10"/>
        <v>38720.592000000004</v>
      </c>
      <c r="S10" s="102">
        <f t="shared" si="11"/>
        <v>3910779.7920000004</v>
      </c>
      <c r="T10" s="103"/>
      <c r="U10" s="112">
        <f t="shared" si="12"/>
        <v>195.53898960000001</v>
      </c>
      <c r="V10" s="126">
        <f t="shared" si="13"/>
        <v>1.730433536283186</v>
      </c>
    </row>
    <row r="11" spans="1:22" x14ac:dyDescent="0.15">
      <c r="A11" s="104">
        <v>4</v>
      </c>
      <c r="B11" s="106" t="s">
        <v>437</v>
      </c>
      <c r="C11" s="98" t="s">
        <v>441</v>
      </c>
      <c r="D11" s="108">
        <v>41</v>
      </c>
      <c r="E11" s="99">
        <f t="shared" si="0"/>
        <v>400</v>
      </c>
      <c r="F11" s="99">
        <v>20</v>
      </c>
      <c r="G11" s="99">
        <f t="shared" si="1"/>
        <v>20000</v>
      </c>
      <c r="H11" s="100">
        <v>2200000</v>
      </c>
      <c r="I11" s="100">
        <f t="shared" si="2"/>
        <v>800000</v>
      </c>
      <c r="J11" s="101">
        <f t="shared" si="3"/>
        <v>40000</v>
      </c>
      <c r="K11" s="101"/>
      <c r="L11" s="101">
        <f t="shared" si="4"/>
        <v>3040000</v>
      </c>
      <c r="M11" s="101">
        <f t="shared" si="5"/>
        <v>91200</v>
      </c>
      <c r="N11" s="101">
        <f t="shared" si="6"/>
        <v>27968</v>
      </c>
      <c r="O11" s="101">
        <f t="shared" si="7"/>
        <v>3159168</v>
      </c>
      <c r="P11" s="102">
        <f t="shared" si="8"/>
        <v>473875.19999999995</v>
      </c>
      <c r="Q11" s="102">
        <f t="shared" si="9"/>
        <v>3633043.2</v>
      </c>
      <c r="R11" s="102">
        <f t="shared" si="10"/>
        <v>36330.432000000001</v>
      </c>
      <c r="S11" s="102">
        <f t="shared" si="11"/>
        <v>3669373.6320000002</v>
      </c>
      <c r="T11" s="103"/>
      <c r="U11" s="112">
        <f t="shared" si="12"/>
        <v>183.46868160000002</v>
      </c>
      <c r="V11" s="126">
        <f t="shared" si="13"/>
        <v>4.4748458926829278</v>
      </c>
    </row>
    <row r="12" spans="1:22" x14ac:dyDescent="0.15">
      <c r="A12" s="96">
        <v>5</v>
      </c>
      <c r="B12" s="106" t="s">
        <v>437</v>
      </c>
      <c r="C12" s="98" t="s">
        <v>442</v>
      </c>
      <c r="D12" s="108">
        <v>18.7</v>
      </c>
      <c r="E12" s="99">
        <f t="shared" si="0"/>
        <v>400</v>
      </c>
      <c r="F12" s="99">
        <v>20</v>
      </c>
      <c r="G12" s="99">
        <f t="shared" si="1"/>
        <v>20000</v>
      </c>
      <c r="H12" s="100">
        <v>2000000</v>
      </c>
      <c r="I12" s="100">
        <f t="shared" si="2"/>
        <v>800000</v>
      </c>
      <c r="J12" s="101">
        <f t="shared" si="3"/>
        <v>40000</v>
      </c>
      <c r="K12" s="101"/>
      <c r="L12" s="101">
        <f t="shared" si="4"/>
        <v>2840000</v>
      </c>
      <c r="M12" s="101">
        <f t="shared" si="5"/>
        <v>85200</v>
      </c>
      <c r="N12" s="101">
        <f t="shared" si="6"/>
        <v>26128</v>
      </c>
      <c r="O12" s="101">
        <f t="shared" si="7"/>
        <v>2951328</v>
      </c>
      <c r="P12" s="102">
        <f t="shared" si="8"/>
        <v>442699.2</v>
      </c>
      <c r="Q12" s="102">
        <f t="shared" si="9"/>
        <v>3394027.2</v>
      </c>
      <c r="R12" s="102">
        <f t="shared" si="10"/>
        <v>33940.272000000004</v>
      </c>
      <c r="S12" s="102">
        <f t="shared" si="11"/>
        <v>3427967.4720000001</v>
      </c>
      <c r="T12" s="103"/>
      <c r="U12" s="112">
        <f t="shared" si="12"/>
        <v>171.39837360000001</v>
      </c>
      <c r="V12" s="126">
        <f t="shared" si="13"/>
        <v>9.1656884278074884</v>
      </c>
    </row>
    <row r="13" spans="1:22" x14ac:dyDescent="0.15">
      <c r="A13" s="104">
        <v>6</v>
      </c>
      <c r="B13" s="106" t="s">
        <v>437</v>
      </c>
      <c r="C13" s="98" t="s">
        <v>443</v>
      </c>
      <c r="D13" s="108">
        <v>51.4</v>
      </c>
      <c r="E13" s="99">
        <f t="shared" si="0"/>
        <v>400</v>
      </c>
      <c r="F13" s="99">
        <v>20</v>
      </c>
      <c r="G13" s="99">
        <f t="shared" si="1"/>
        <v>20000</v>
      </c>
      <c r="H13" s="100">
        <v>2200000</v>
      </c>
      <c r="I13" s="100">
        <f t="shared" si="2"/>
        <v>800000</v>
      </c>
      <c r="J13" s="101">
        <f t="shared" si="3"/>
        <v>40000</v>
      </c>
      <c r="K13" s="101"/>
      <c r="L13" s="101">
        <f t="shared" si="4"/>
        <v>3040000</v>
      </c>
      <c r="M13" s="101">
        <f t="shared" si="5"/>
        <v>91200</v>
      </c>
      <c r="N13" s="101">
        <f t="shared" si="6"/>
        <v>27968</v>
      </c>
      <c r="O13" s="101">
        <f t="shared" si="7"/>
        <v>3159168</v>
      </c>
      <c r="P13" s="102">
        <f t="shared" si="8"/>
        <v>473875.19999999995</v>
      </c>
      <c r="Q13" s="102">
        <f t="shared" si="9"/>
        <v>3633043.2</v>
      </c>
      <c r="R13" s="102">
        <f t="shared" si="10"/>
        <v>36330.432000000001</v>
      </c>
      <c r="S13" s="102">
        <f t="shared" si="11"/>
        <v>3669373.6320000002</v>
      </c>
      <c r="T13" s="103"/>
      <c r="U13" s="112">
        <f t="shared" si="12"/>
        <v>183.46868160000002</v>
      </c>
      <c r="V13" s="126">
        <f t="shared" si="13"/>
        <v>3.569429603112841</v>
      </c>
    </row>
    <row r="14" spans="1:22" x14ac:dyDescent="0.15">
      <c r="A14" s="96">
        <v>7</v>
      </c>
      <c r="B14" s="106" t="s">
        <v>437</v>
      </c>
      <c r="C14" s="98" t="s">
        <v>444</v>
      </c>
      <c r="D14" s="108">
        <v>171</v>
      </c>
      <c r="E14" s="99">
        <f t="shared" si="0"/>
        <v>400</v>
      </c>
      <c r="F14" s="99">
        <v>20</v>
      </c>
      <c r="G14" s="99">
        <f t="shared" si="1"/>
        <v>20000</v>
      </c>
      <c r="H14" s="100">
        <v>2460000</v>
      </c>
      <c r="I14" s="100">
        <f t="shared" si="2"/>
        <v>800000</v>
      </c>
      <c r="J14" s="101">
        <f t="shared" si="3"/>
        <v>40000</v>
      </c>
      <c r="K14" s="101"/>
      <c r="L14" s="101">
        <f t="shared" si="4"/>
        <v>3300000</v>
      </c>
      <c r="M14" s="101">
        <f t="shared" si="5"/>
        <v>99000</v>
      </c>
      <c r="N14" s="101">
        <f t="shared" si="6"/>
        <v>30360</v>
      </c>
      <c r="O14" s="101">
        <f t="shared" si="7"/>
        <v>3429360</v>
      </c>
      <c r="P14" s="102">
        <f t="shared" si="8"/>
        <v>514404</v>
      </c>
      <c r="Q14" s="102">
        <f t="shared" si="9"/>
        <v>3943764</v>
      </c>
      <c r="R14" s="102">
        <f t="shared" si="10"/>
        <v>39437.64</v>
      </c>
      <c r="S14" s="102">
        <f t="shared" si="11"/>
        <v>3983201.64</v>
      </c>
      <c r="T14" s="103"/>
      <c r="U14" s="112">
        <f t="shared" si="12"/>
        <v>199.16008200000002</v>
      </c>
      <c r="V14" s="126">
        <f t="shared" si="13"/>
        <v>1.1646788421052632</v>
      </c>
    </row>
    <row r="15" spans="1:22" x14ac:dyDescent="0.15">
      <c r="A15" s="104">
        <v>8</v>
      </c>
      <c r="B15" s="106" t="s">
        <v>437</v>
      </c>
      <c r="C15" s="98" t="s">
        <v>445</v>
      </c>
      <c r="D15" s="108">
        <v>217</v>
      </c>
      <c r="E15" s="99">
        <f t="shared" si="0"/>
        <v>400</v>
      </c>
      <c r="F15" s="99">
        <v>20</v>
      </c>
      <c r="G15" s="99">
        <f t="shared" si="1"/>
        <v>20000</v>
      </c>
      <c r="H15" s="100">
        <v>2600000</v>
      </c>
      <c r="I15" s="100">
        <f t="shared" si="2"/>
        <v>800000</v>
      </c>
      <c r="J15" s="101">
        <f t="shared" si="3"/>
        <v>40000</v>
      </c>
      <c r="K15" s="101"/>
      <c r="L15" s="101">
        <f t="shared" si="4"/>
        <v>3440000</v>
      </c>
      <c r="M15" s="101">
        <f t="shared" si="5"/>
        <v>103200</v>
      </c>
      <c r="N15" s="101">
        <f t="shared" si="6"/>
        <v>31648</v>
      </c>
      <c r="O15" s="101">
        <f t="shared" si="7"/>
        <v>3574848</v>
      </c>
      <c r="P15" s="102">
        <f t="shared" si="8"/>
        <v>536227.19999999995</v>
      </c>
      <c r="Q15" s="102">
        <f t="shared" si="9"/>
        <v>4111075.2</v>
      </c>
      <c r="R15" s="102">
        <f t="shared" si="10"/>
        <v>41110.752</v>
      </c>
      <c r="S15" s="102">
        <f t="shared" si="11"/>
        <v>4152185.952</v>
      </c>
      <c r="T15" s="103"/>
      <c r="U15" s="112">
        <f t="shared" si="12"/>
        <v>207.60929759999999</v>
      </c>
      <c r="V15" s="126">
        <f t="shared" si="13"/>
        <v>0.95672487373271886</v>
      </c>
    </row>
    <row r="16" spans="1:22" x14ac:dyDescent="0.15">
      <c r="A16" s="96">
        <v>9</v>
      </c>
      <c r="B16" s="106" t="s">
        <v>437</v>
      </c>
      <c r="C16" s="98" t="s">
        <v>446</v>
      </c>
      <c r="D16" s="108">
        <v>142.69999999999999</v>
      </c>
      <c r="E16" s="99">
        <f t="shared" si="0"/>
        <v>400</v>
      </c>
      <c r="F16" s="99">
        <v>20</v>
      </c>
      <c r="G16" s="99">
        <f t="shared" si="1"/>
        <v>20000</v>
      </c>
      <c r="H16" s="100">
        <v>3500000</v>
      </c>
      <c r="I16" s="100">
        <f t="shared" si="2"/>
        <v>800000</v>
      </c>
      <c r="J16" s="101">
        <f t="shared" si="3"/>
        <v>40000</v>
      </c>
      <c r="K16" s="101"/>
      <c r="L16" s="101">
        <f t="shared" si="4"/>
        <v>4340000</v>
      </c>
      <c r="M16" s="101">
        <f t="shared" si="5"/>
        <v>130200</v>
      </c>
      <c r="N16" s="101">
        <f t="shared" si="6"/>
        <v>39928</v>
      </c>
      <c r="O16" s="101">
        <f t="shared" si="7"/>
        <v>4510128</v>
      </c>
      <c r="P16" s="102">
        <f t="shared" si="8"/>
        <v>676519.2</v>
      </c>
      <c r="Q16" s="102">
        <f t="shared" si="9"/>
        <v>5186647.2</v>
      </c>
      <c r="R16" s="102">
        <f t="shared" si="10"/>
        <v>51866.472000000002</v>
      </c>
      <c r="S16" s="102">
        <f t="shared" si="11"/>
        <v>5238513.6720000003</v>
      </c>
      <c r="T16" s="103"/>
      <c r="U16" s="112">
        <f t="shared" si="12"/>
        <v>261.92568360000001</v>
      </c>
      <c r="V16" s="126">
        <f t="shared" si="13"/>
        <v>1.8354988339173093</v>
      </c>
    </row>
    <row r="17" spans="1:22" x14ac:dyDescent="0.15">
      <c r="A17" s="104">
        <v>10</v>
      </c>
      <c r="B17" s="106" t="s">
        <v>437</v>
      </c>
      <c r="C17" s="98" t="s">
        <v>447</v>
      </c>
      <c r="D17" s="108">
        <v>84.3</v>
      </c>
      <c r="E17" s="99">
        <f t="shared" si="0"/>
        <v>400</v>
      </c>
      <c r="F17" s="99">
        <v>20</v>
      </c>
      <c r="G17" s="99">
        <f t="shared" si="1"/>
        <v>20000</v>
      </c>
      <c r="H17" s="100">
        <v>3200000</v>
      </c>
      <c r="I17" s="100">
        <f t="shared" si="2"/>
        <v>800000</v>
      </c>
      <c r="J17" s="101">
        <f t="shared" si="3"/>
        <v>40000</v>
      </c>
      <c r="K17" s="101"/>
      <c r="L17" s="101">
        <f t="shared" si="4"/>
        <v>4040000</v>
      </c>
      <c r="M17" s="101">
        <f t="shared" si="5"/>
        <v>121200</v>
      </c>
      <c r="N17" s="101">
        <f t="shared" si="6"/>
        <v>37168</v>
      </c>
      <c r="O17" s="101">
        <f t="shared" si="7"/>
        <v>4198368</v>
      </c>
      <c r="P17" s="102">
        <f t="shared" si="8"/>
        <v>629755.19999999995</v>
      </c>
      <c r="Q17" s="102">
        <f t="shared" si="9"/>
        <v>4828123.2</v>
      </c>
      <c r="R17" s="102">
        <f t="shared" si="10"/>
        <v>48281.232000000004</v>
      </c>
      <c r="S17" s="102">
        <f t="shared" si="11"/>
        <v>4876404.432</v>
      </c>
      <c r="T17" s="103"/>
      <c r="U17" s="112">
        <f t="shared" si="12"/>
        <v>243.8202216</v>
      </c>
      <c r="V17" s="126">
        <f t="shared" si="13"/>
        <v>2.8922920711743774</v>
      </c>
    </row>
    <row r="18" spans="1:22" x14ac:dyDescent="0.15">
      <c r="A18" s="96">
        <v>11</v>
      </c>
      <c r="B18" s="106" t="s">
        <v>437</v>
      </c>
      <c r="C18" s="98" t="s">
        <v>448</v>
      </c>
      <c r="D18" s="108">
        <v>413.3</v>
      </c>
      <c r="E18" s="99">
        <f t="shared" si="0"/>
        <v>400</v>
      </c>
      <c r="F18" s="99">
        <v>20</v>
      </c>
      <c r="G18" s="99">
        <f t="shared" si="1"/>
        <v>20000</v>
      </c>
      <c r="H18" s="100">
        <v>5000000</v>
      </c>
      <c r="I18" s="100">
        <f t="shared" si="2"/>
        <v>800000</v>
      </c>
      <c r="J18" s="101">
        <f t="shared" si="3"/>
        <v>40000</v>
      </c>
      <c r="K18" s="101"/>
      <c r="L18" s="101">
        <f t="shared" si="4"/>
        <v>5840000</v>
      </c>
      <c r="M18" s="101">
        <f t="shared" si="5"/>
        <v>175200</v>
      </c>
      <c r="N18" s="101">
        <f t="shared" si="6"/>
        <v>53728</v>
      </c>
      <c r="O18" s="101">
        <f t="shared" si="7"/>
        <v>6068928</v>
      </c>
      <c r="P18" s="102">
        <f t="shared" si="8"/>
        <v>910339.2</v>
      </c>
      <c r="Q18" s="102">
        <f t="shared" si="9"/>
        <v>6979267.2000000002</v>
      </c>
      <c r="R18" s="102">
        <f t="shared" si="10"/>
        <v>69792.672000000006</v>
      </c>
      <c r="S18" s="102">
        <f t="shared" si="11"/>
        <v>7049059.8720000004</v>
      </c>
      <c r="T18" s="103"/>
      <c r="U18" s="112">
        <f t="shared" si="12"/>
        <v>352.45299360000001</v>
      </c>
      <c r="V18" s="126">
        <f t="shared" si="13"/>
        <v>0.85277762787321554</v>
      </c>
    </row>
    <row r="19" spans="1:22" x14ac:dyDescent="0.15">
      <c r="A19" s="104">
        <v>12</v>
      </c>
      <c r="B19" s="106" t="s">
        <v>437</v>
      </c>
      <c r="C19" s="98" t="s">
        <v>449</v>
      </c>
      <c r="D19" s="108">
        <v>283.39999999999998</v>
      </c>
      <c r="E19" s="99">
        <f t="shared" si="0"/>
        <v>400</v>
      </c>
      <c r="F19" s="99">
        <v>20</v>
      </c>
      <c r="G19" s="99">
        <f t="shared" si="1"/>
        <v>20000</v>
      </c>
      <c r="H19" s="100">
        <v>5400000</v>
      </c>
      <c r="I19" s="100">
        <f t="shared" si="2"/>
        <v>800000</v>
      </c>
      <c r="J19" s="101">
        <f t="shared" si="3"/>
        <v>40000</v>
      </c>
      <c r="K19" s="101"/>
      <c r="L19" s="101">
        <f t="shared" si="4"/>
        <v>6240000</v>
      </c>
      <c r="M19" s="101">
        <f t="shared" si="5"/>
        <v>187200</v>
      </c>
      <c r="N19" s="101">
        <f t="shared" si="6"/>
        <v>57408</v>
      </c>
      <c r="O19" s="101">
        <f t="shared" si="7"/>
        <v>6484608</v>
      </c>
      <c r="P19" s="102">
        <f t="shared" si="8"/>
        <v>972691.2</v>
      </c>
      <c r="Q19" s="102">
        <f t="shared" si="9"/>
        <v>7457299.2000000002</v>
      </c>
      <c r="R19" s="102">
        <f t="shared" si="10"/>
        <v>74572.991999999998</v>
      </c>
      <c r="S19" s="102">
        <f t="shared" si="11"/>
        <v>7531872.1919999998</v>
      </c>
      <c r="T19" s="103"/>
      <c r="U19" s="112">
        <f t="shared" si="12"/>
        <v>376.59360959999998</v>
      </c>
      <c r="V19" s="126">
        <f t="shared" si="13"/>
        <v>1.328841247706422</v>
      </c>
    </row>
    <row r="20" spans="1:22" x14ac:dyDescent="0.15">
      <c r="A20" s="96">
        <v>13</v>
      </c>
      <c r="B20" s="106" t="s">
        <v>437</v>
      </c>
      <c r="C20" s="98" t="s">
        <v>450</v>
      </c>
      <c r="D20" s="108">
        <v>271.8</v>
      </c>
      <c r="E20" s="99">
        <f t="shared" si="0"/>
        <v>400</v>
      </c>
      <c r="F20" s="99">
        <v>20</v>
      </c>
      <c r="G20" s="99">
        <f t="shared" si="1"/>
        <v>20000</v>
      </c>
      <c r="H20" s="100">
        <v>5800000</v>
      </c>
      <c r="I20" s="100">
        <f t="shared" si="2"/>
        <v>800000</v>
      </c>
      <c r="J20" s="101">
        <f t="shared" si="3"/>
        <v>40000</v>
      </c>
      <c r="K20" s="101"/>
      <c r="L20" s="101">
        <f t="shared" si="4"/>
        <v>6640000</v>
      </c>
      <c r="M20" s="101">
        <f t="shared" si="5"/>
        <v>199200</v>
      </c>
      <c r="N20" s="101">
        <f t="shared" si="6"/>
        <v>61088</v>
      </c>
      <c r="O20" s="101">
        <f t="shared" si="7"/>
        <v>6900288</v>
      </c>
      <c r="P20" s="102">
        <f t="shared" si="8"/>
        <v>1035043.2</v>
      </c>
      <c r="Q20" s="102">
        <f t="shared" si="9"/>
        <v>7935331.2000000002</v>
      </c>
      <c r="R20" s="102">
        <f t="shared" si="10"/>
        <v>79353.312000000005</v>
      </c>
      <c r="S20" s="102">
        <f t="shared" si="11"/>
        <v>8014684.5120000001</v>
      </c>
      <c r="T20" s="103"/>
      <c r="U20" s="112">
        <f t="shared" si="12"/>
        <v>400.7342256</v>
      </c>
      <c r="V20" s="126">
        <f t="shared" si="13"/>
        <v>1.4743716909492273</v>
      </c>
    </row>
    <row r="21" spans="1:22" x14ac:dyDescent="0.15">
      <c r="A21" s="104">
        <v>14</v>
      </c>
      <c r="B21" s="106" t="s">
        <v>437</v>
      </c>
      <c r="C21" s="98" t="s">
        <v>451</v>
      </c>
      <c r="D21" s="108">
        <v>333</v>
      </c>
      <c r="E21" s="99">
        <f t="shared" si="0"/>
        <v>400</v>
      </c>
      <c r="F21" s="99">
        <v>20</v>
      </c>
      <c r="G21" s="99">
        <f t="shared" si="1"/>
        <v>20000</v>
      </c>
      <c r="H21" s="100">
        <v>6400000</v>
      </c>
      <c r="I21" s="100">
        <f t="shared" si="2"/>
        <v>800000</v>
      </c>
      <c r="J21" s="101">
        <f t="shared" si="3"/>
        <v>40000</v>
      </c>
      <c r="K21" s="101"/>
      <c r="L21" s="101">
        <f t="shared" si="4"/>
        <v>7240000</v>
      </c>
      <c r="M21" s="101">
        <f t="shared" si="5"/>
        <v>217200</v>
      </c>
      <c r="N21" s="101">
        <f t="shared" si="6"/>
        <v>66608</v>
      </c>
      <c r="O21" s="101">
        <f t="shared" si="7"/>
        <v>7523808</v>
      </c>
      <c r="P21" s="102">
        <f t="shared" si="8"/>
        <v>1128571.2</v>
      </c>
      <c r="Q21" s="102">
        <f t="shared" si="9"/>
        <v>8652379.1999999993</v>
      </c>
      <c r="R21" s="102">
        <f t="shared" si="10"/>
        <v>86523.792000000001</v>
      </c>
      <c r="S21" s="102">
        <f t="shared" si="11"/>
        <v>8738902.9919999987</v>
      </c>
      <c r="T21" s="103"/>
      <c r="U21" s="112">
        <f t="shared" si="12"/>
        <v>436.94514959999992</v>
      </c>
      <c r="V21" s="126">
        <f t="shared" si="13"/>
        <v>1.3121475963963962</v>
      </c>
    </row>
    <row r="22" spans="1:22" x14ac:dyDescent="0.15">
      <c r="A22" s="96">
        <v>15</v>
      </c>
      <c r="B22" s="106" t="s">
        <v>437</v>
      </c>
      <c r="C22" s="98" t="s">
        <v>452</v>
      </c>
      <c r="D22" s="108">
        <v>399.1</v>
      </c>
      <c r="E22" s="99">
        <f t="shared" si="0"/>
        <v>400</v>
      </c>
      <c r="F22" s="99">
        <v>20</v>
      </c>
      <c r="G22" s="99">
        <f t="shared" si="1"/>
        <v>20000</v>
      </c>
      <c r="H22" s="100">
        <v>7000000</v>
      </c>
      <c r="I22" s="100">
        <f t="shared" si="2"/>
        <v>800000</v>
      </c>
      <c r="J22" s="101">
        <f t="shared" si="3"/>
        <v>40000</v>
      </c>
      <c r="K22" s="101"/>
      <c r="L22" s="101">
        <f t="shared" si="4"/>
        <v>7840000</v>
      </c>
      <c r="M22" s="101">
        <f t="shared" si="5"/>
        <v>235200</v>
      </c>
      <c r="N22" s="101">
        <f t="shared" si="6"/>
        <v>72128</v>
      </c>
      <c r="O22" s="101">
        <f t="shared" si="7"/>
        <v>8147328</v>
      </c>
      <c r="P22" s="102">
        <f t="shared" si="8"/>
        <v>1222099.2</v>
      </c>
      <c r="Q22" s="102">
        <f t="shared" si="9"/>
        <v>9369427.1999999993</v>
      </c>
      <c r="R22" s="102">
        <f t="shared" si="10"/>
        <v>93694.271999999997</v>
      </c>
      <c r="S22" s="102">
        <f t="shared" si="11"/>
        <v>9463121.4719999991</v>
      </c>
      <c r="T22" s="103"/>
      <c r="U22" s="112">
        <f t="shared" si="12"/>
        <v>473.15607359999996</v>
      </c>
      <c r="V22" s="126">
        <f t="shared" si="13"/>
        <v>1.1855576887997994</v>
      </c>
    </row>
    <row r="23" spans="1:22" x14ac:dyDescent="0.15">
      <c r="A23" s="104">
        <v>16</v>
      </c>
      <c r="B23" s="106" t="s">
        <v>437</v>
      </c>
      <c r="C23" s="98" t="s">
        <v>453</v>
      </c>
      <c r="D23" s="108">
        <v>554.70000000000005</v>
      </c>
      <c r="E23" s="99">
        <f t="shared" si="0"/>
        <v>400</v>
      </c>
      <c r="F23" s="99">
        <v>20</v>
      </c>
      <c r="G23" s="99">
        <f t="shared" si="1"/>
        <v>20000</v>
      </c>
      <c r="H23" s="100">
        <v>8200000</v>
      </c>
      <c r="I23" s="100">
        <f t="shared" si="2"/>
        <v>800000</v>
      </c>
      <c r="J23" s="101">
        <f t="shared" si="3"/>
        <v>40000</v>
      </c>
      <c r="K23" s="101"/>
      <c r="L23" s="101">
        <f t="shared" si="4"/>
        <v>9040000</v>
      </c>
      <c r="M23" s="101">
        <f t="shared" si="5"/>
        <v>271200</v>
      </c>
      <c r="N23" s="101">
        <f t="shared" si="6"/>
        <v>83168</v>
      </c>
      <c r="O23" s="101">
        <f t="shared" si="7"/>
        <v>9394368</v>
      </c>
      <c r="P23" s="102">
        <f t="shared" si="8"/>
        <v>1409155.2</v>
      </c>
      <c r="Q23" s="102">
        <f t="shared" si="9"/>
        <v>10803523.199999999</v>
      </c>
      <c r="R23" s="102">
        <f t="shared" si="10"/>
        <v>108035.23199999999</v>
      </c>
      <c r="S23" s="102">
        <f t="shared" si="11"/>
        <v>10911558.432</v>
      </c>
      <c r="T23" s="103"/>
      <c r="U23" s="112">
        <f t="shared" si="12"/>
        <v>545.57792159999997</v>
      </c>
      <c r="V23" s="126">
        <f t="shared" si="13"/>
        <v>0.98355493347755529</v>
      </c>
    </row>
    <row r="24" spans="1:22" x14ac:dyDescent="0.15">
      <c r="A24" s="96">
        <v>17</v>
      </c>
      <c r="B24" s="106" t="s">
        <v>437</v>
      </c>
      <c r="C24" s="98" t="s">
        <v>454</v>
      </c>
      <c r="D24" s="108">
        <v>615.9</v>
      </c>
      <c r="E24" s="99">
        <f t="shared" si="0"/>
        <v>300</v>
      </c>
      <c r="F24" s="99">
        <v>15</v>
      </c>
      <c r="G24" s="99">
        <f t="shared" si="1"/>
        <v>15000</v>
      </c>
      <c r="H24" s="100">
        <v>7650000</v>
      </c>
      <c r="I24" s="100">
        <f t="shared" si="2"/>
        <v>600000</v>
      </c>
      <c r="J24" s="101">
        <f t="shared" si="3"/>
        <v>30000</v>
      </c>
      <c r="K24" s="101"/>
      <c r="L24" s="101">
        <f t="shared" si="4"/>
        <v>8280000</v>
      </c>
      <c r="M24" s="101">
        <f t="shared" si="5"/>
        <v>248400</v>
      </c>
      <c r="N24" s="101">
        <f t="shared" si="6"/>
        <v>76176</v>
      </c>
      <c r="O24" s="101">
        <f t="shared" si="7"/>
        <v>8604576</v>
      </c>
      <c r="P24" s="102">
        <f t="shared" si="8"/>
        <v>1290686.3999999999</v>
      </c>
      <c r="Q24" s="102">
        <f t="shared" si="9"/>
        <v>9895262.4000000004</v>
      </c>
      <c r="R24" s="102">
        <f t="shared" si="10"/>
        <v>98952.624000000011</v>
      </c>
      <c r="S24" s="102">
        <f t="shared" si="11"/>
        <v>9994215.0240000002</v>
      </c>
      <c r="T24" s="103"/>
      <c r="U24" s="112">
        <f t="shared" si="12"/>
        <v>666.28100159999997</v>
      </c>
      <c r="V24" s="126">
        <f t="shared" si="13"/>
        <v>1.0818006195811007</v>
      </c>
    </row>
    <row r="25" spans="1:22" x14ac:dyDescent="0.15">
      <c r="A25" s="104">
        <v>18</v>
      </c>
      <c r="B25" s="106" t="s">
        <v>437</v>
      </c>
      <c r="C25" s="98" t="s">
        <v>455</v>
      </c>
      <c r="D25" s="108">
        <v>101</v>
      </c>
      <c r="E25" s="99">
        <f t="shared" si="0"/>
        <v>400</v>
      </c>
      <c r="F25" s="99">
        <v>20</v>
      </c>
      <c r="G25" s="99">
        <f t="shared" si="1"/>
        <v>20000</v>
      </c>
      <c r="H25" s="100">
        <v>8000000</v>
      </c>
      <c r="I25" s="100">
        <f t="shared" si="2"/>
        <v>800000</v>
      </c>
      <c r="J25" s="101">
        <f t="shared" si="3"/>
        <v>40000</v>
      </c>
      <c r="K25" s="101"/>
      <c r="L25" s="101">
        <f t="shared" si="4"/>
        <v>8840000</v>
      </c>
      <c r="M25" s="101">
        <f t="shared" si="5"/>
        <v>265200</v>
      </c>
      <c r="N25" s="101">
        <f t="shared" si="6"/>
        <v>81328</v>
      </c>
      <c r="O25" s="101">
        <f t="shared" si="7"/>
        <v>9186528</v>
      </c>
      <c r="P25" s="102">
        <f t="shared" si="8"/>
        <v>1377979.2</v>
      </c>
      <c r="Q25" s="102">
        <f t="shared" si="9"/>
        <v>10564507.199999999</v>
      </c>
      <c r="R25" s="102">
        <f t="shared" si="10"/>
        <v>105645.072</v>
      </c>
      <c r="S25" s="102">
        <f t="shared" si="11"/>
        <v>10670152.272</v>
      </c>
      <c r="T25" s="103"/>
      <c r="U25" s="112">
        <f t="shared" si="12"/>
        <v>533.50761360000001</v>
      </c>
      <c r="V25" s="126">
        <f t="shared" si="13"/>
        <v>5.2822535999999998</v>
      </c>
    </row>
    <row r="26" spans="1:22" x14ac:dyDescent="0.15">
      <c r="A26" s="96">
        <v>19</v>
      </c>
      <c r="B26" s="106" t="s">
        <v>437</v>
      </c>
      <c r="C26" s="98" t="s">
        <v>456</v>
      </c>
      <c r="D26" s="108">
        <v>247.1</v>
      </c>
      <c r="E26" s="99">
        <f t="shared" si="0"/>
        <v>400</v>
      </c>
      <c r="F26" s="99">
        <v>20</v>
      </c>
      <c r="G26" s="99">
        <f t="shared" si="1"/>
        <v>20000</v>
      </c>
      <c r="H26" s="100">
        <v>9000000</v>
      </c>
      <c r="I26" s="100">
        <f t="shared" si="2"/>
        <v>800000</v>
      </c>
      <c r="J26" s="101">
        <f t="shared" si="3"/>
        <v>40000</v>
      </c>
      <c r="K26" s="101"/>
      <c r="L26" s="101">
        <f t="shared" si="4"/>
        <v>9840000</v>
      </c>
      <c r="M26" s="101">
        <f t="shared" si="5"/>
        <v>295200</v>
      </c>
      <c r="N26" s="101">
        <f t="shared" si="6"/>
        <v>90528</v>
      </c>
      <c r="O26" s="101">
        <f t="shared" si="7"/>
        <v>10225728</v>
      </c>
      <c r="P26" s="102">
        <f t="shared" si="8"/>
        <v>1533859.2</v>
      </c>
      <c r="Q26" s="102">
        <f t="shared" si="9"/>
        <v>11759587.199999999</v>
      </c>
      <c r="R26" s="102">
        <f t="shared" si="10"/>
        <v>117595.87199999999</v>
      </c>
      <c r="S26" s="102">
        <f t="shared" si="11"/>
        <v>11877183.071999999</v>
      </c>
      <c r="T26" s="103"/>
      <c r="U26" s="112">
        <f t="shared" si="12"/>
        <v>593.8591535999999</v>
      </c>
      <c r="V26" s="126">
        <f t="shared" si="13"/>
        <v>2.4033150692027516</v>
      </c>
    </row>
    <row r="27" spans="1:22" x14ac:dyDescent="0.15">
      <c r="A27" s="104">
        <v>20</v>
      </c>
      <c r="B27" s="106" t="s">
        <v>437</v>
      </c>
      <c r="C27" s="98" t="s">
        <v>457</v>
      </c>
      <c r="D27" s="108"/>
      <c r="E27" s="99">
        <f t="shared" si="0"/>
        <v>300</v>
      </c>
      <c r="F27" s="99">
        <v>15</v>
      </c>
      <c r="G27" s="99">
        <f t="shared" si="1"/>
        <v>15000</v>
      </c>
      <c r="H27" s="100">
        <v>6000000</v>
      </c>
      <c r="I27" s="100">
        <f t="shared" si="2"/>
        <v>600000</v>
      </c>
      <c r="J27" s="101">
        <f t="shared" si="3"/>
        <v>30000</v>
      </c>
      <c r="K27" s="101"/>
      <c r="L27" s="101">
        <f t="shared" si="4"/>
        <v>6630000</v>
      </c>
      <c r="M27" s="101">
        <f t="shared" si="5"/>
        <v>198900</v>
      </c>
      <c r="N27" s="101">
        <f t="shared" si="6"/>
        <v>60996</v>
      </c>
      <c r="O27" s="101">
        <f t="shared" si="7"/>
        <v>6889896</v>
      </c>
      <c r="P27" s="102">
        <f t="shared" si="8"/>
        <v>1033484.3999999999</v>
      </c>
      <c r="Q27" s="102">
        <f t="shared" si="9"/>
        <v>7923380.4000000004</v>
      </c>
      <c r="R27" s="102">
        <f t="shared" si="10"/>
        <v>79233.804000000004</v>
      </c>
      <c r="S27" s="102">
        <f t="shared" si="11"/>
        <v>8002614.2039999999</v>
      </c>
      <c r="T27" s="103"/>
      <c r="U27" s="112">
        <f t="shared" si="12"/>
        <v>533.50761360000001</v>
      </c>
      <c r="V27" s="126"/>
    </row>
    <row r="28" spans="1:22" x14ac:dyDescent="0.15">
      <c r="A28" s="96">
        <v>21</v>
      </c>
      <c r="B28" s="106" t="s">
        <v>437</v>
      </c>
      <c r="C28" s="98" t="s">
        <v>458</v>
      </c>
      <c r="D28" s="108"/>
      <c r="E28" s="99">
        <f t="shared" si="0"/>
        <v>160</v>
      </c>
      <c r="F28" s="99">
        <v>8</v>
      </c>
      <c r="G28" s="99">
        <f t="shared" si="1"/>
        <v>8000</v>
      </c>
      <c r="H28" s="100">
        <v>10400000</v>
      </c>
      <c r="I28" s="100">
        <f t="shared" si="2"/>
        <v>320000</v>
      </c>
      <c r="J28" s="101">
        <f t="shared" si="3"/>
        <v>16000</v>
      </c>
      <c r="K28" s="101"/>
      <c r="L28" s="101">
        <f t="shared" si="4"/>
        <v>10736000</v>
      </c>
      <c r="M28" s="101">
        <f t="shared" si="5"/>
        <v>322080</v>
      </c>
      <c r="N28" s="101">
        <f t="shared" si="6"/>
        <v>98771.199999999997</v>
      </c>
      <c r="O28" s="101">
        <f t="shared" si="7"/>
        <v>11156851.199999999</v>
      </c>
      <c r="P28" s="102">
        <f t="shared" si="8"/>
        <v>1673527.68</v>
      </c>
      <c r="Q28" s="102">
        <f t="shared" si="9"/>
        <v>12830378.879999999</v>
      </c>
      <c r="R28" s="102">
        <f t="shared" si="10"/>
        <v>128303.78879999999</v>
      </c>
      <c r="S28" s="102">
        <f t="shared" si="11"/>
        <v>12958682.668799998</v>
      </c>
      <c r="T28" s="103"/>
      <c r="U28" s="112">
        <f t="shared" si="12"/>
        <v>1619.8353335999998</v>
      </c>
      <c r="V28" s="126"/>
    </row>
    <row r="29" spans="1:22" x14ac:dyDescent="0.15">
      <c r="A29" s="104">
        <v>22</v>
      </c>
      <c r="B29" s="106" t="s">
        <v>437</v>
      </c>
      <c r="C29" s="98" t="s">
        <v>459</v>
      </c>
      <c r="D29" s="108">
        <v>980.2</v>
      </c>
      <c r="E29" s="99">
        <f t="shared" si="0"/>
        <v>400</v>
      </c>
      <c r="F29" s="99">
        <v>20</v>
      </c>
      <c r="G29" s="99">
        <f t="shared" si="1"/>
        <v>20000</v>
      </c>
      <c r="H29" s="100">
        <v>13000000</v>
      </c>
      <c r="I29" s="100">
        <f t="shared" si="2"/>
        <v>800000</v>
      </c>
      <c r="J29" s="101">
        <f t="shared" si="3"/>
        <v>40000</v>
      </c>
      <c r="K29" s="101"/>
      <c r="L29" s="101">
        <f t="shared" si="4"/>
        <v>13840000</v>
      </c>
      <c r="M29" s="101">
        <f t="shared" si="5"/>
        <v>415200</v>
      </c>
      <c r="N29" s="101">
        <f t="shared" si="6"/>
        <v>127328</v>
      </c>
      <c r="O29" s="101">
        <f t="shared" si="7"/>
        <v>14382528</v>
      </c>
      <c r="P29" s="102">
        <f t="shared" si="8"/>
        <v>2157379.1999999997</v>
      </c>
      <c r="Q29" s="102">
        <f t="shared" si="9"/>
        <v>16539907.199999999</v>
      </c>
      <c r="R29" s="102">
        <f t="shared" si="10"/>
        <v>165399.07199999999</v>
      </c>
      <c r="S29" s="102">
        <f t="shared" si="11"/>
        <v>16705306.272</v>
      </c>
      <c r="T29" s="103"/>
      <c r="U29" s="112">
        <f t="shared" si="12"/>
        <v>835.26531360000001</v>
      </c>
      <c r="V29" s="126">
        <f t="shared" si="13"/>
        <v>0.85213763884921445</v>
      </c>
    </row>
    <row r="30" spans="1:22" x14ac:dyDescent="0.15">
      <c r="A30" s="96">
        <v>23</v>
      </c>
      <c r="B30" s="106" t="s">
        <v>437</v>
      </c>
      <c r="C30" s="98" t="s">
        <v>460</v>
      </c>
      <c r="D30" s="108">
        <v>1112.8</v>
      </c>
      <c r="E30" s="99">
        <f t="shared" si="0"/>
        <v>400</v>
      </c>
      <c r="F30" s="99">
        <v>20</v>
      </c>
      <c r="G30" s="99">
        <f t="shared" si="1"/>
        <v>20000</v>
      </c>
      <c r="H30" s="100">
        <v>14000000</v>
      </c>
      <c r="I30" s="100">
        <f t="shared" si="2"/>
        <v>800000</v>
      </c>
      <c r="J30" s="101">
        <f t="shared" si="3"/>
        <v>40000</v>
      </c>
      <c r="K30" s="101"/>
      <c r="L30" s="101">
        <f t="shared" si="4"/>
        <v>14840000</v>
      </c>
      <c r="M30" s="101">
        <f t="shared" si="5"/>
        <v>445200</v>
      </c>
      <c r="N30" s="101">
        <f t="shared" si="6"/>
        <v>136528</v>
      </c>
      <c r="O30" s="101">
        <f t="shared" si="7"/>
        <v>15421728</v>
      </c>
      <c r="P30" s="102">
        <f t="shared" si="8"/>
        <v>2313259.1999999997</v>
      </c>
      <c r="Q30" s="102">
        <f t="shared" si="9"/>
        <v>17734987.199999999</v>
      </c>
      <c r="R30" s="102">
        <f t="shared" si="10"/>
        <v>177349.872</v>
      </c>
      <c r="S30" s="102">
        <f t="shared" si="11"/>
        <v>17912337.072000001</v>
      </c>
      <c r="T30" s="103"/>
      <c r="U30" s="112">
        <f t="shared" si="12"/>
        <v>895.61685360000001</v>
      </c>
      <c r="V30" s="126">
        <f t="shared" si="13"/>
        <v>0.80483182386772112</v>
      </c>
    </row>
    <row r="31" spans="1:22" x14ac:dyDescent="0.15">
      <c r="A31" s="104"/>
      <c r="B31" s="105"/>
      <c r="C31" s="98"/>
      <c r="D31" s="108"/>
      <c r="E31" s="107"/>
      <c r="F31" s="107"/>
      <c r="G31" s="107"/>
      <c r="H31" s="100"/>
      <c r="I31" s="100"/>
      <c r="J31" s="101"/>
      <c r="K31" s="101"/>
      <c r="L31" s="101"/>
      <c r="M31" s="101"/>
      <c r="N31" s="101"/>
      <c r="O31" s="101"/>
      <c r="P31" s="102"/>
      <c r="Q31" s="102"/>
      <c r="R31" s="102"/>
      <c r="S31" s="102"/>
      <c r="U31" s="112"/>
      <c r="V31" s="112"/>
    </row>
    <row r="32" spans="1:22" x14ac:dyDescent="0.15">
      <c r="A32" s="121"/>
      <c r="B32" s="114"/>
      <c r="C32" s="114"/>
      <c r="D32" s="115"/>
      <c r="E32" s="122"/>
      <c r="F32" s="122"/>
      <c r="G32" s="122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U32" s="124">
        <f>AVERAGE(U8:U31)</f>
        <v>451.79687640000009</v>
      </c>
      <c r="V32" s="127">
        <f>AVERAGE(V8:V31)</f>
        <v>2.1708774239938893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7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20.125" style="68" bestFit="1" customWidth="1"/>
    <col min="2" max="16" width="6" style="68" bestFit="1" customWidth="1"/>
    <col min="17" max="17" width="2.75" style="68" customWidth="1"/>
    <col min="18" max="18" width="10.5" style="68" bestFit="1" customWidth="1"/>
    <col min="19" max="16384" width="9" style="68"/>
  </cols>
  <sheetData>
    <row r="1" spans="1:18" x14ac:dyDescent="0.15">
      <c r="A1" s="71" t="str">
        <f>ProjectValuation!A1</f>
        <v>Bisnis Truk Thermoking</v>
      </c>
    </row>
    <row r="2" spans="1:18" x14ac:dyDescent="0.15">
      <c r="A2" s="71" t="str">
        <f>ProjectValuation!A2</f>
        <v>Financial Pre-Feasibility Study</v>
      </c>
    </row>
    <row r="3" spans="1:18" x14ac:dyDescent="0.15">
      <c r="A3" s="69" t="s">
        <v>269</v>
      </c>
    </row>
    <row r="6" spans="1:18" x14ac:dyDescent="0.15">
      <c r="A6" s="68" t="s">
        <v>393</v>
      </c>
    </row>
    <row r="7" spans="1:18" ht="20.100000000000001" customHeight="1" x14ac:dyDescent="0.15">
      <c r="A7" s="74" t="s">
        <v>164</v>
      </c>
      <c r="B7" s="75">
        <v>1</v>
      </c>
      <c r="C7" s="75">
        <f>B7+1</f>
        <v>2</v>
      </c>
      <c r="D7" s="75">
        <f t="shared" ref="D7:P7" si="0">C7+1</f>
        <v>3</v>
      </c>
      <c r="E7" s="75">
        <f t="shared" si="0"/>
        <v>4</v>
      </c>
      <c r="F7" s="75">
        <f t="shared" si="0"/>
        <v>5</v>
      </c>
      <c r="G7" s="75">
        <f t="shared" si="0"/>
        <v>6</v>
      </c>
      <c r="H7" s="75">
        <f t="shared" si="0"/>
        <v>7</v>
      </c>
      <c r="I7" s="75">
        <f t="shared" si="0"/>
        <v>8</v>
      </c>
      <c r="J7" s="75">
        <f t="shared" si="0"/>
        <v>9</v>
      </c>
      <c r="K7" s="75">
        <f t="shared" si="0"/>
        <v>10</v>
      </c>
      <c r="L7" s="75">
        <f t="shared" si="0"/>
        <v>11</v>
      </c>
      <c r="M7" s="75">
        <f>L7+1</f>
        <v>12</v>
      </c>
      <c r="N7" s="75">
        <f t="shared" si="0"/>
        <v>13</v>
      </c>
      <c r="O7" s="75">
        <f t="shared" si="0"/>
        <v>14</v>
      </c>
      <c r="P7" s="75">
        <f t="shared" si="0"/>
        <v>15</v>
      </c>
      <c r="Q7" s="70"/>
      <c r="R7" s="76" t="s">
        <v>266</v>
      </c>
    </row>
    <row r="8" spans="1:18" x14ac:dyDescent="0.15">
      <c r="A8" s="68" t="s">
        <v>163</v>
      </c>
      <c r="B8" s="67">
        <f>IncomeStatement!C8</f>
        <v>3456000000</v>
      </c>
      <c r="C8" s="67">
        <f>IncomeStatement!D8</f>
        <v>3525120000</v>
      </c>
      <c r="D8" s="67">
        <f>IncomeStatement!E8</f>
        <v>3595622400</v>
      </c>
      <c r="E8" s="67">
        <f>IncomeStatement!F8</f>
        <v>3667534848</v>
      </c>
      <c r="F8" s="67">
        <f>IncomeStatement!G8</f>
        <v>3740885544.96</v>
      </c>
      <c r="G8" s="67">
        <f>IncomeStatement!H8</f>
        <v>3815703255.8592</v>
      </c>
      <c r="H8" s="67">
        <f>IncomeStatement!I8</f>
        <v>3892017320.9763842</v>
      </c>
      <c r="I8" s="67">
        <f>IncomeStatement!J8</f>
        <v>3969857667.3959117</v>
      </c>
      <c r="J8" s="67">
        <f>IncomeStatement!K8</f>
        <v>4049254820.7438302</v>
      </c>
      <c r="K8" s="67">
        <f>IncomeStatement!L8</f>
        <v>4130239917.1587067</v>
      </c>
      <c r="L8" s="67" t="e">
        <f>IncomeStatement!#REF!</f>
        <v>#REF!</v>
      </c>
      <c r="M8" s="67" t="e">
        <f>IncomeStatement!#REF!</f>
        <v>#REF!</v>
      </c>
      <c r="N8" s="67" t="e">
        <f>IncomeStatement!#REF!</f>
        <v>#REF!</v>
      </c>
      <c r="O8" s="67" t="e">
        <f>IncomeStatement!#REF!</f>
        <v>#REF!</v>
      </c>
      <c r="P8" s="67" t="e">
        <f>IncomeStatement!#REF!</f>
        <v>#REF!</v>
      </c>
      <c r="Q8" s="70"/>
      <c r="R8" s="67" t="e">
        <f>SUM(B8:P8)</f>
        <v>#REF!</v>
      </c>
    </row>
    <row r="9" spans="1:18" ht="12.75" x14ac:dyDescent="0.3">
      <c r="A9" s="68" t="s">
        <v>165</v>
      </c>
      <c r="B9" s="91" t="e">
        <f>IncomeStatement!#REF!</f>
        <v>#REF!</v>
      </c>
      <c r="C9" s="91" t="e">
        <f>IncomeStatement!#REF!</f>
        <v>#REF!</v>
      </c>
      <c r="D9" s="91" t="e">
        <f>IncomeStatement!#REF!</f>
        <v>#REF!</v>
      </c>
      <c r="E9" s="91" t="e">
        <f>IncomeStatement!#REF!</f>
        <v>#REF!</v>
      </c>
      <c r="F9" s="91" t="e">
        <f>IncomeStatement!#REF!</f>
        <v>#REF!</v>
      </c>
      <c r="G9" s="91" t="e">
        <f>IncomeStatement!#REF!</f>
        <v>#REF!</v>
      </c>
      <c r="H9" s="91" t="e">
        <f>IncomeStatement!#REF!</f>
        <v>#REF!</v>
      </c>
      <c r="I9" s="91" t="e">
        <f>IncomeStatement!#REF!</f>
        <v>#REF!</v>
      </c>
      <c r="J9" s="91" t="e">
        <f>IncomeStatement!#REF!</f>
        <v>#REF!</v>
      </c>
      <c r="K9" s="91" t="e">
        <f>IncomeStatement!#REF!</f>
        <v>#REF!</v>
      </c>
      <c r="L9" s="91" t="e">
        <f>IncomeStatement!#REF!</f>
        <v>#REF!</v>
      </c>
      <c r="M9" s="91" t="e">
        <f>IncomeStatement!#REF!</f>
        <v>#REF!</v>
      </c>
      <c r="N9" s="91" t="e">
        <f>IncomeStatement!#REF!</f>
        <v>#REF!</v>
      </c>
      <c r="O9" s="91" t="e">
        <f>IncomeStatement!#REF!</f>
        <v>#REF!</v>
      </c>
      <c r="P9" s="91" t="e">
        <f>IncomeStatement!#REF!</f>
        <v>#REF!</v>
      </c>
      <c r="Q9" s="70"/>
      <c r="R9" s="91" t="e">
        <f>SUM(B9:P9)</f>
        <v>#REF!</v>
      </c>
    </row>
    <row r="10" spans="1:18" x14ac:dyDescent="0.15">
      <c r="A10" s="68" t="s">
        <v>166</v>
      </c>
      <c r="B10" s="67" t="e">
        <f>B8+B9</f>
        <v>#REF!</v>
      </c>
      <c r="C10" s="67" t="e">
        <f t="shared" ref="C10:P10" si="1">C8+C9</f>
        <v>#REF!</v>
      </c>
      <c r="D10" s="67" t="e">
        <f t="shared" si="1"/>
        <v>#REF!</v>
      </c>
      <c r="E10" s="67" t="e">
        <f t="shared" si="1"/>
        <v>#REF!</v>
      </c>
      <c r="F10" s="67" t="e">
        <f t="shared" si="1"/>
        <v>#REF!</v>
      </c>
      <c r="G10" s="67" t="e">
        <f t="shared" si="1"/>
        <v>#REF!</v>
      </c>
      <c r="H10" s="67" t="e">
        <f t="shared" si="1"/>
        <v>#REF!</v>
      </c>
      <c r="I10" s="67" t="e">
        <f t="shared" si="1"/>
        <v>#REF!</v>
      </c>
      <c r="J10" s="67" t="e">
        <f t="shared" si="1"/>
        <v>#REF!</v>
      </c>
      <c r="K10" s="67" t="e">
        <f t="shared" si="1"/>
        <v>#REF!</v>
      </c>
      <c r="L10" s="67" t="e">
        <f t="shared" si="1"/>
        <v>#REF!</v>
      </c>
      <c r="M10" s="67" t="e">
        <f t="shared" si="1"/>
        <v>#REF!</v>
      </c>
      <c r="N10" s="67" t="e">
        <f t="shared" si="1"/>
        <v>#REF!</v>
      </c>
      <c r="O10" s="67" t="e">
        <f t="shared" si="1"/>
        <v>#REF!</v>
      </c>
      <c r="P10" s="67" t="e">
        <f t="shared" si="1"/>
        <v>#REF!</v>
      </c>
      <c r="Q10" s="70"/>
      <c r="R10" s="67" t="e">
        <f>SUM(B10:P10)</f>
        <v>#REF!</v>
      </c>
    </row>
    <row r="11" spans="1:18" x14ac:dyDescent="0.15">
      <c r="A11" s="68" t="s">
        <v>367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70"/>
      <c r="R11" s="67"/>
    </row>
    <row r="12" spans="1:18" x14ac:dyDescent="0.15">
      <c r="A12" s="68" t="s">
        <v>369</v>
      </c>
      <c r="B12" s="67" t="e">
        <f>IncomeStatement!#REF!</f>
        <v>#REF!</v>
      </c>
      <c r="C12" s="67" t="e">
        <f>IncomeStatement!#REF!</f>
        <v>#REF!</v>
      </c>
      <c r="D12" s="67" t="e">
        <f>IncomeStatement!#REF!</f>
        <v>#REF!</v>
      </c>
      <c r="E12" s="67" t="e">
        <f>IncomeStatement!#REF!</f>
        <v>#REF!</v>
      </c>
      <c r="F12" s="67" t="e">
        <f>IncomeStatement!#REF!</f>
        <v>#REF!</v>
      </c>
      <c r="G12" s="67" t="e">
        <f>IncomeStatement!#REF!</f>
        <v>#REF!</v>
      </c>
      <c r="H12" s="67" t="e">
        <f>IncomeStatement!#REF!</f>
        <v>#REF!</v>
      </c>
      <c r="I12" s="67" t="e">
        <f>IncomeStatement!#REF!</f>
        <v>#REF!</v>
      </c>
      <c r="J12" s="67" t="e">
        <f>IncomeStatement!#REF!</f>
        <v>#REF!</v>
      </c>
      <c r="K12" s="67" t="e">
        <f>IncomeStatement!#REF!</f>
        <v>#REF!</v>
      </c>
      <c r="L12" s="67" t="e">
        <f>IncomeStatement!#REF!</f>
        <v>#REF!</v>
      </c>
      <c r="M12" s="67" t="e">
        <f>IncomeStatement!#REF!</f>
        <v>#REF!</v>
      </c>
      <c r="N12" s="67" t="e">
        <f>IncomeStatement!#REF!</f>
        <v>#REF!</v>
      </c>
      <c r="O12" s="67" t="e">
        <f>IncomeStatement!#REF!</f>
        <v>#REF!</v>
      </c>
      <c r="P12" s="67" t="e">
        <f>IncomeStatement!#REF!</f>
        <v>#REF!</v>
      </c>
      <c r="Q12" s="70"/>
      <c r="R12" s="67" t="e">
        <f>SUM(B12:P12)</f>
        <v>#REF!</v>
      </c>
    </row>
    <row r="13" spans="1:18" ht="12.75" x14ac:dyDescent="0.3">
      <c r="A13" s="68" t="s">
        <v>368</v>
      </c>
      <c r="B13" s="91" t="e">
        <f>IncomeStatement!#REF!</f>
        <v>#REF!</v>
      </c>
      <c r="C13" s="91" t="e">
        <f>IncomeStatement!#REF!</f>
        <v>#REF!</v>
      </c>
      <c r="D13" s="91" t="e">
        <f>IncomeStatement!#REF!</f>
        <v>#REF!</v>
      </c>
      <c r="E13" s="91" t="e">
        <f>IncomeStatement!#REF!</f>
        <v>#REF!</v>
      </c>
      <c r="F13" s="91" t="e">
        <f>IncomeStatement!#REF!</f>
        <v>#REF!</v>
      </c>
      <c r="G13" s="91" t="e">
        <f>IncomeStatement!#REF!</f>
        <v>#REF!</v>
      </c>
      <c r="H13" s="91" t="e">
        <f>IncomeStatement!#REF!</f>
        <v>#REF!</v>
      </c>
      <c r="I13" s="91" t="e">
        <f>IncomeStatement!#REF!</f>
        <v>#REF!</v>
      </c>
      <c r="J13" s="91" t="e">
        <f>IncomeStatement!#REF!</f>
        <v>#REF!</v>
      </c>
      <c r="K13" s="91" t="e">
        <f>IncomeStatement!#REF!</f>
        <v>#REF!</v>
      </c>
      <c r="L13" s="91" t="e">
        <f>IncomeStatement!#REF!</f>
        <v>#REF!</v>
      </c>
      <c r="M13" s="91" t="e">
        <f>IncomeStatement!#REF!</f>
        <v>#REF!</v>
      </c>
      <c r="N13" s="91" t="e">
        <f>IncomeStatement!#REF!</f>
        <v>#REF!</v>
      </c>
      <c r="O13" s="91" t="e">
        <f>IncomeStatement!#REF!</f>
        <v>#REF!</v>
      </c>
      <c r="P13" s="91" t="e">
        <f>IncomeStatement!#REF!</f>
        <v>#REF!</v>
      </c>
      <c r="Q13" s="70"/>
      <c r="R13" s="67" t="e">
        <f>SUM(B13:P13)</f>
        <v>#REF!</v>
      </c>
    </row>
    <row r="14" spans="1:18" x14ac:dyDescent="0.15">
      <c r="B14" s="67" t="e">
        <f>SUM(B12:B13)</f>
        <v>#REF!</v>
      </c>
      <c r="C14" s="67" t="e">
        <f t="shared" ref="C14:P14" si="2">SUM(C12:C13)</f>
        <v>#REF!</v>
      </c>
      <c r="D14" s="67" t="e">
        <f t="shared" si="2"/>
        <v>#REF!</v>
      </c>
      <c r="E14" s="67" t="e">
        <f t="shared" si="2"/>
        <v>#REF!</v>
      </c>
      <c r="F14" s="67" t="e">
        <f t="shared" si="2"/>
        <v>#REF!</v>
      </c>
      <c r="G14" s="67" t="e">
        <f t="shared" si="2"/>
        <v>#REF!</v>
      </c>
      <c r="H14" s="67" t="e">
        <f t="shared" si="2"/>
        <v>#REF!</v>
      </c>
      <c r="I14" s="67" t="e">
        <f t="shared" si="2"/>
        <v>#REF!</v>
      </c>
      <c r="J14" s="67" t="e">
        <f t="shared" si="2"/>
        <v>#REF!</v>
      </c>
      <c r="K14" s="67" t="e">
        <f t="shared" si="2"/>
        <v>#REF!</v>
      </c>
      <c r="L14" s="67" t="e">
        <f t="shared" si="2"/>
        <v>#REF!</v>
      </c>
      <c r="M14" s="67" t="e">
        <f t="shared" si="2"/>
        <v>#REF!</v>
      </c>
      <c r="N14" s="67" t="e">
        <f t="shared" si="2"/>
        <v>#REF!</v>
      </c>
      <c r="O14" s="67" t="e">
        <f t="shared" si="2"/>
        <v>#REF!</v>
      </c>
      <c r="P14" s="67" t="e">
        <f t="shared" si="2"/>
        <v>#REF!</v>
      </c>
      <c r="Q14" s="70"/>
      <c r="R14" s="67" t="e">
        <f>SUM(B14:P14)</f>
        <v>#REF!</v>
      </c>
    </row>
    <row r="15" spans="1:18" x14ac:dyDescent="0.15">
      <c r="A15" s="68" t="s">
        <v>167</v>
      </c>
      <c r="B15" s="67" t="e">
        <f>B10+B14</f>
        <v>#REF!</v>
      </c>
      <c r="C15" s="67" t="e">
        <f t="shared" ref="C15:P15" si="3">C10+C14</f>
        <v>#REF!</v>
      </c>
      <c r="D15" s="67" t="e">
        <f t="shared" si="3"/>
        <v>#REF!</v>
      </c>
      <c r="E15" s="67" t="e">
        <f t="shared" si="3"/>
        <v>#REF!</v>
      </c>
      <c r="F15" s="67" t="e">
        <f t="shared" si="3"/>
        <v>#REF!</v>
      </c>
      <c r="G15" s="67" t="e">
        <f t="shared" si="3"/>
        <v>#REF!</v>
      </c>
      <c r="H15" s="67" t="e">
        <f t="shared" si="3"/>
        <v>#REF!</v>
      </c>
      <c r="I15" s="67" t="e">
        <f t="shared" si="3"/>
        <v>#REF!</v>
      </c>
      <c r="J15" s="67" t="e">
        <f t="shared" si="3"/>
        <v>#REF!</v>
      </c>
      <c r="K15" s="67" t="e">
        <f t="shared" si="3"/>
        <v>#REF!</v>
      </c>
      <c r="L15" s="67" t="e">
        <f t="shared" si="3"/>
        <v>#REF!</v>
      </c>
      <c r="M15" s="67" t="e">
        <f t="shared" si="3"/>
        <v>#REF!</v>
      </c>
      <c r="N15" s="67" t="e">
        <f t="shared" si="3"/>
        <v>#REF!</v>
      </c>
      <c r="O15" s="67" t="e">
        <f t="shared" si="3"/>
        <v>#REF!</v>
      </c>
      <c r="P15" s="67" t="e">
        <f t="shared" si="3"/>
        <v>#REF!</v>
      </c>
      <c r="Q15" s="70"/>
      <c r="R15" s="67" t="e">
        <f>SUM(B15:P15)</f>
        <v>#REF!</v>
      </c>
    </row>
    <row r="16" spans="1:18" x14ac:dyDescent="0.15">
      <c r="A16" s="146" t="s">
        <v>503</v>
      </c>
      <c r="B16" s="67" t="e">
        <f>IncomeStatement!#REF!</f>
        <v>#REF!</v>
      </c>
      <c r="C16" s="67" t="e">
        <f>IncomeStatement!#REF!</f>
        <v>#REF!</v>
      </c>
      <c r="D16" s="67" t="e">
        <f>IncomeStatement!#REF!</f>
        <v>#REF!</v>
      </c>
      <c r="E16" s="67" t="e">
        <f>IncomeStatement!#REF!</f>
        <v>#REF!</v>
      </c>
      <c r="F16" s="67" t="e">
        <f>IncomeStatement!#REF!</f>
        <v>#REF!</v>
      </c>
      <c r="G16" s="67" t="e">
        <f>IncomeStatement!#REF!</f>
        <v>#REF!</v>
      </c>
      <c r="H16" s="67" t="e">
        <f>IncomeStatement!#REF!</f>
        <v>#REF!</v>
      </c>
      <c r="I16" s="67" t="e">
        <f>IncomeStatement!#REF!</f>
        <v>#REF!</v>
      </c>
      <c r="J16" s="67" t="e">
        <f>IncomeStatement!#REF!</f>
        <v>#REF!</v>
      </c>
      <c r="K16" s="67" t="e">
        <f>IncomeStatement!#REF!</f>
        <v>#REF!</v>
      </c>
      <c r="L16" s="67" t="e">
        <f>IncomeStatement!#REF!</f>
        <v>#REF!</v>
      </c>
      <c r="M16" s="67" t="e">
        <f>IncomeStatement!#REF!</f>
        <v>#REF!</v>
      </c>
      <c r="N16" s="67" t="e">
        <f>IncomeStatement!#REF!</f>
        <v>#REF!</v>
      </c>
      <c r="O16" s="67" t="e">
        <f>IncomeStatement!#REF!</f>
        <v>#REF!</v>
      </c>
      <c r="P16" s="67" t="e">
        <f>IncomeStatement!#REF!</f>
        <v>#REF!</v>
      </c>
      <c r="Q16" s="70"/>
      <c r="R16" s="67"/>
    </row>
    <row r="17" spans="1:18" x14ac:dyDescent="0.15">
      <c r="A17" s="68" t="s">
        <v>168</v>
      </c>
      <c r="B17" s="67" t="e">
        <f>IncomeStatement!#REF!</f>
        <v>#REF!</v>
      </c>
      <c r="C17" s="67" t="e">
        <f>IncomeStatement!#REF!</f>
        <v>#REF!</v>
      </c>
      <c r="D17" s="67" t="e">
        <f>IncomeStatement!#REF!</f>
        <v>#REF!</v>
      </c>
      <c r="E17" s="67" t="e">
        <f>IncomeStatement!#REF!</f>
        <v>#REF!</v>
      </c>
      <c r="F17" s="67" t="e">
        <f>IncomeStatement!#REF!</f>
        <v>#REF!</v>
      </c>
      <c r="G17" s="67" t="e">
        <f>IncomeStatement!#REF!</f>
        <v>#REF!</v>
      </c>
      <c r="H17" s="67" t="e">
        <f>IncomeStatement!#REF!</f>
        <v>#REF!</v>
      </c>
      <c r="I17" s="67" t="e">
        <f>IncomeStatement!#REF!</f>
        <v>#REF!</v>
      </c>
      <c r="J17" s="67" t="e">
        <f>IncomeStatement!#REF!</f>
        <v>#REF!</v>
      </c>
      <c r="K17" s="67" t="e">
        <f>IncomeStatement!#REF!</f>
        <v>#REF!</v>
      </c>
      <c r="L17" s="67" t="e">
        <f>IncomeStatement!#REF!</f>
        <v>#REF!</v>
      </c>
      <c r="M17" s="67" t="e">
        <f>IncomeStatement!#REF!</f>
        <v>#REF!</v>
      </c>
      <c r="N17" s="67" t="e">
        <f>IncomeStatement!#REF!</f>
        <v>#REF!</v>
      </c>
      <c r="O17" s="67" t="e">
        <f>IncomeStatement!#REF!</f>
        <v>#REF!</v>
      </c>
      <c r="P17" s="67" t="e">
        <f>IncomeStatement!#REF!</f>
        <v>#REF!</v>
      </c>
      <c r="Q17" s="70"/>
      <c r="R17" s="67" t="e">
        <f>SUM(B17:P17)</f>
        <v>#REF!</v>
      </c>
    </row>
    <row r="18" spans="1:18" x14ac:dyDescent="0.15">
      <c r="A18" s="68" t="s">
        <v>169</v>
      </c>
      <c r="B18" s="67" t="e">
        <f>B15+B17</f>
        <v>#REF!</v>
      </c>
      <c r="C18" s="67" t="e">
        <f t="shared" ref="C18:P18" si="4">C15+C17</f>
        <v>#REF!</v>
      </c>
      <c r="D18" s="67" t="e">
        <f t="shared" si="4"/>
        <v>#REF!</v>
      </c>
      <c r="E18" s="67" t="e">
        <f t="shared" si="4"/>
        <v>#REF!</v>
      </c>
      <c r="F18" s="67" t="e">
        <f t="shared" si="4"/>
        <v>#REF!</v>
      </c>
      <c r="G18" s="67" t="e">
        <f t="shared" si="4"/>
        <v>#REF!</v>
      </c>
      <c r="H18" s="67" t="e">
        <f t="shared" si="4"/>
        <v>#REF!</v>
      </c>
      <c r="I18" s="67" t="e">
        <f t="shared" si="4"/>
        <v>#REF!</v>
      </c>
      <c r="J18" s="67" t="e">
        <f t="shared" si="4"/>
        <v>#REF!</v>
      </c>
      <c r="K18" s="67" t="e">
        <f t="shared" si="4"/>
        <v>#REF!</v>
      </c>
      <c r="L18" s="67" t="e">
        <f t="shared" si="4"/>
        <v>#REF!</v>
      </c>
      <c r="M18" s="67" t="e">
        <f t="shared" si="4"/>
        <v>#REF!</v>
      </c>
      <c r="N18" s="67" t="e">
        <f t="shared" si="4"/>
        <v>#REF!</v>
      </c>
      <c r="O18" s="67" t="e">
        <f t="shared" si="4"/>
        <v>#REF!</v>
      </c>
      <c r="P18" s="67" t="e">
        <f t="shared" si="4"/>
        <v>#REF!</v>
      </c>
      <c r="Q18" s="70"/>
      <c r="R18" s="67" t="e">
        <f>SUM(B18:P18)</f>
        <v>#REF!</v>
      </c>
    </row>
    <row r="19" spans="1:18" x14ac:dyDescent="0.15">
      <c r="A19" s="68" t="s">
        <v>170</v>
      </c>
      <c r="B19" s="67" t="e">
        <f>IncomeStatement!#REF!</f>
        <v>#REF!</v>
      </c>
      <c r="C19" s="67" t="e">
        <f>IncomeStatement!#REF!</f>
        <v>#REF!</v>
      </c>
      <c r="D19" s="67" t="e">
        <f>IncomeStatement!#REF!</f>
        <v>#REF!</v>
      </c>
      <c r="E19" s="67" t="e">
        <f>IncomeStatement!#REF!</f>
        <v>#REF!</v>
      </c>
      <c r="F19" s="67" t="e">
        <f>IncomeStatement!#REF!</f>
        <v>#REF!</v>
      </c>
      <c r="G19" s="67" t="e">
        <f>IncomeStatement!#REF!</f>
        <v>#REF!</v>
      </c>
      <c r="H19" s="67" t="e">
        <f>IncomeStatement!#REF!</f>
        <v>#REF!</v>
      </c>
      <c r="I19" s="67" t="e">
        <f>IncomeStatement!#REF!</f>
        <v>#REF!</v>
      </c>
      <c r="J19" s="67" t="e">
        <f>IncomeStatement!#REF!</f>
        <v>#REF!</v>
      </c>
      <c r="K19" s="67" t="e">
        <f>IncomeStatement!#REF!</f>
        <v>#REF!</v>
      </c>
      <c r="L19" s="67" t="e">
        <f>IncomeStatement!#REF!</f>
        <v>#REF!</v>
      </c>
      <c r="M19" s="67" t="e">
        <f>IncomeStatement!#REF!</f>
        <v>#REF!</v>
      </c>
      <c r="N19" s="67" t="e">
        <f>IncomeStatement!#REF!</f>
        <v>#REF!</v>
      </c>
      <c r="O19" s="67" t="e">
        <f>IncomeStatement!#REF!</f>
        <v>#REF!</v>
      </c>
      <c r="P19" s="67" t="e">
        <f>IncomeStatement!#REF!</f>
        <v>#REF!</v>
      </c>
      <c r="Q19" s="70"/>
      <c r="R19" s="67" t="e">
        <f>SUM(B19:P19)</f>
        <v>#REF!</v>
      </c>
    </row>
    <row r="20" spans="1:18" x14ac:dyDescent="0.15">
      <c r="A20" s="68" t="s">
        <v>171</v>
      </c>
      <c r="B20" s="67" t="e">
        <f>B18+B19</f>
        <v>#REF!</v>
      </c>
      <c r="C20" s="67" t="e">
        <f t="shared" ref="C20:P20" si="5">C18+C19</f>
        <v>#REF!</v>
      </c>
      <c r="D20" s="67" t="e">
        <f t="shared" si="5"/>
        <v>#REF!</v>
      </c>
      <c r="E20" s="67" t="e">
        <f t="shared" si="5"/>
        <v>#REF!</v>
      </c>
      <c r="F20" s="67" t="e">
        <f t="shared" si="5"/>
        <v>#REF!</v>
      </c>
      <c r="G20" s="67" t="e">
        <f t="shared" si="5"/>
        <v>#REF!</v>
      </c>
      <c r="H20" s="67" t="e">
        <f t="shared" si="5"/>
        <v>#REF!</v>
      </c>
      <c r="I20" s="67" t="e">
        <f t="shared" si="5"/>
        <v>#REF!</v>
      </c>
      <c r="J20" s="67" t="e">
        <f t="shared" si="5"/>
        <v>#REF!</v>
      </c>
      <c r="K20" s="67" t="e">
        <f t="shared" si="5"/>
        <v>#REF!</v>
      </c>
      <c r="L20" s="67" t="e">
        <f t="shared" si="5"/>
        <v>#REF!</v>
      </c>
      <c r="M20" s="67" t="e">
        <f t="shared" si="5"/>
        <v>#REF!</v>
      </c>
      <c r="N20" s="67" t="e">
        <f t="shared" si="5"/>
        <v>#REF!</v>
      </c>
      <c r="O20" s="67" t="e">
        <f t="shared" si="5"/>
        <v>#REF!</v>
      </c>
      <c r="P20" s="67" t="e">
        <f t="shared" si="5"/>
        <v>#REF!</v>
      </c>
      <c r="Q20" s="70"/>
      <c r="R20" s="67" t="e">
        <f>SUM(B20:P20)</f>
        <v>#REF!</v>
      </c>
    </row>
    <row r="21" spans="1:18" x14ac:dyDescent="0.15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7"/>
      <c r="M21" s="77"/>
      <c r="N21" s="70"/>
      <c r="O21" s="77"/>
      <c r="P21" s="77"/>
      <c r="Q21" s="70"/>
      <c r="R21" s="77"/>
    </row>
    <row r="22" spans="1:18" x14ac:dyDescent="0.15">
      <c r="L22" s="67"/>
      <c r="O22" s="67"/>
      <c r="P22" s="67"/>
    </row>
    <row r="23" spans="1:18" x14ac:dyDescent="0.15">
      <c r="C23" s="67"/>
      <c r="L23" s="67"/>
      <c r="M23" s="67"/>
      <c r="O23" s="67"/>
      <c r="P23" s="67"/>
    </row>
    <row r="24" spans="1:18" x14ac:dyDescent="0.15">
      <c r="L24" s="67"/>
      <c r="M24" s="67"/>
      <c r="O24" s="67"/>
      <c r="P24" s="67"/>
    </row>
    <row r="25" spans="1:18" x14ac:dyDescent="0.15">
      <c r="L25" s="67"/>
      <c r="M25" s="67"/>
      <c r="N25" s="67"/>
      <c r="O25" s="67"/>
      <c r="P25" s="67"/>
    </row>
    <row r="26" spans="1:18" x14ac:dyDescent="0.15">
      <c r="L26" s="67"/>
    </row>
    <row r="27" spans="1:18" x14ac:dyDescent="0.15">
      <c r="L27" s="6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2"/>
  <sheetViews>
    <sheetView showGridLines="0" workbookViewId="0">
      <selection activeCell="V32" sqref="V32"/>
    </sheetView>
  </sheetViews>
  <sheetFormatPr defaultColWidth="9" defaultRowHeight="10.5" customHeight="1" x14ac:dyDescent="0.25"/>
  <cols>
    <col min="1" max="1" width="24.25" style="72" customWidth="1"/>
    <col min="2" max="3" width="5.25" style="72" bestFit="1" customWidth="1"/>
    <col min="4" max="18" width="6" style="72" bestFit="1" customWidth="1"/>
    <col min="19" max="16384" width="9" style="72"/>
  </cols>
  <sheetData>
    <row r="1" spans="1:18" x14ac:dyDescent="0.25">
      <c r="A1" s="85" t="str">
        <f>ProjectValuation!A1</f>
        <v>Bisnis Truk Thermoking</v>
      </c>
    </row>
    <row r="2" spans="1:18" x14ac:dyDescent="0.25">
      <c r="A2" s="85" t="str">
        <f>ProjectValuation!A2</f>
        <v>Financial Pre-Feasibility Study</v>
      </c>
    </row>
    <row r="3" spans="1:18" x14ac:dyDescent="0.25">
      <c r="A3" s="79" t="s">
        <v>270</v>
      </c>
    </row>
    <row r="6" spans="1:18" ht="10.5" customHeight="1" x14ac:dyDescent="0.15">
      <c r="A6" s="68" t="s">
        <v>393</v>
      </c>
    </row>
    <row r="7" spans="1:18" ht="20.100000000000001" customHeight="1" x14ac:dyDescent="0.25">
      <c r="A7" s="74" t="s">
        <v>238</v>
      </c>
      <c r="B7" s="75">
        <v>-1</v>
      </c>
      <c r="C7" s="75">
        <v>0</v>
      </c>
      <c r="D7" s="75">
        <v>1</v>
      </c>
      <c r="E7" s="75">
        <f>D7+1</f>
        <v>2</v>
      </c>
      <c r="F7" s="75">
        <f t="shared" ref="F7:R7" si="0">E7+1</f>
        <v>3</v>
      </c>
      <c r="G7" s="75">
        <f t="shared" si="0"/>
        <v>4</v>
      </c>
      <c r="H7" s="75">
        <f t="shared" si="0"/>
        <v>5</v>
      </c>
      <c r="I7" s="75">
        <f t="shared" si="0"/>
        <v>6</v>
      </c>
      <c r="J7" s="75">
        <f t="shared" si="0"/>
        <v>7</v>
      </c>
      <c r="K7" s="75">
        <f t="shared" si="0"/>
        <v>8</v>
      </c>
      <c r="L7" s="75">
        <f t="shared" si="0"/>
        <v>9</v>
      </c>
      <c r="M7" s="75">
        <f t="shared" si="0"/>
        <v>10</v>
      </c>
      <c r="N7" s="75">
        <f t="shared" si="0"/>
        <v>11</v>
      </c>
      <c r="O7" s="75">
        <f>N7+1</f>
        <v>12</v>
      </c>
      <c r="P7" s="75">
        <f t="shared" si="0"/>
        <v>13</v>
      </c>
      <c r="Q7" s="75">
        <f t="shared" si="0"/>
        <v>14</v>
      </c>
      <c r="R7" s="75">
        <f t="shared" si="0"/>
        <v>15</v>
      </c>
    </row>
    <row r="8" spans="1:18" ht="10.5" customHeight="1" x14ac:dyDescent="0.25">
      <c r="A8" s="72" t="s">
        <v>240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</row>
    <row r="9" spans="1:18" ht="10.5" customHeight="1" x14ac:dyDescent="0.25">
      <c r="A9" s="80" t="s">
        <v>246</v>
      </c>
      <c r="B9" s="73"/>
      <c r="C9" s="73"/>
      <c r="D9" s="73">
        <f>CashFlow!C10/10^6</f>
        <v>3456</v>
      </c>
      <c r="E9" s="73">
        <f>CashFlow!D10/10^6</f>
        <v>3525.12</v>
      </c>
      <c r="F9" s="73">
        <f>CashFlow!E10/10^6</f>
        <v>3595.6224000000002</v>
      </c>
      <c r="G9" s="73">
        <f>CashFlow!F10/10^6</f>
        <v>3667.5348479999998</v>
      </c>
      <c r="H9" s="73" t="e">
        <f>CashFlow!#REF!/10^6</f>
        <v>#REF!</v>
      </c>
      <c r="I9" s="73" t="e">
        <f>CashFlow!#REF!/10^6</f>
        <v>#REF!</v>
      </c>
      <c r="J9" s="73" t="e">
        <f>CashFlow!#REF!/10^6</f>
        <v>#REF!</v>
      </c>
      <c r="K9" s="73" t="e">
        <f>CashFlow!#REF!/10^6</f>
        <v>#REF!</v>
      </c>
      <c r="L9" s="73" t="e">
        <f>CashFlow!#REF!/10^6</f>
        <v>#REF!</v>
      </c>
      <c r="M9" s="73" t="e">
        <f>CashFlow!#REF!/10^6</f>
        <v>#REF!</v>
      </c>
      <c r="N9" s="73" t="e">
        <f>CashFlow!#REF!/10^6</f>
        <v>#REF!</v>
      </c>
      <c r="O9" s="73" t="e">
        <f>CashFlow!#REF!/10^6</f>
        <v>#REF!</v>
      </c>
      <c r="P9" s="73" t="e">
        <f>CashFlow!#REF!/10^6</f>
        <v>#REF!</v>
      </c>
      <c r="Q9" s="73" t="e">
        <f>CashFlow!#REF!/10^6</f>
        <v>#REF!</v>
      </c>
      <c r="R9" s="73" t="e">
        <f>CashFlow!#REF!/10^6</f>
        <v>#REF!</v>
      </c>
    </row>
    <row r="10" spans="1:18" ht="10.5" customHeight="1" x14ac:dyDescent="0.25">
      <c r="A10" s="155" t="s">
        <v>502</v>
      </c>
      <c r="B10" s="73"/>
      <c r="C10" s="73"/>
      <c r="D10" s="73" t="e">
        <f>CashFlow!#REF!/10^6</f>
        <v>#REF!</v>
      </c>
      <c r="E10" s="73" t="e">
        <f>CashFlow!#REF!/10^6</f>
        <v>#REF!</v>
      </c>
      <c r="F10" s="73" t="e">
        <f>CashFlow!#REF!/10^6</f>
        <v>#REF!</v>
      </c>
      <c r="G10" s="73" t="e">
        <f>CashFlow!#REF!/10^6</f>
        <v>#REF!</v>
      </c>
      <c r="H10" s="73" t="e">
        <f>CashFlow!#REF!/10^6</f>
        <v>#REF!</v>
      </c>
      <c r="I10" s="73" t="e">
        <f>CashFlow!#REF!/10^6</f>
        <v>#REF!</v>
      </c>
      <c r="J10" s="73" t="e">
        <f>CashFlow!#REF!/10^6</f>
        <v>#REF!</v>
      </c>
      <c r="K10" s="73" t="e">
        <f>CashFlow!#REF!/10^6</f>
        <v>#REF!</v>
      </c>
      <c r="L10" s="73" t="e">
        <f>CashFlow!#REF!/10^6</f>
        <v>#REF!</v>
      </c>
      <c r="M10" s="73" t="e">
        <f>CashFlow!#REF!/10^6</f>
        <v>#REF!</v>
      </c>
      <c r="N10" s="73" t="e">
        <f>CashFlow!#REF!/10^6</f>
        <v>#REF!</v>
      </c>
      <c r="O10" s="73" t="e">
        <f>CashFlow!#REF!/10^6</f>
        <v>#REF!</v>
      </c>
      <c r="P10" s="73" t="e">
        <f>CashFlow!#REF!/10^6</f>
        <v>#REF!</v>
      </c>
      <c r="Q10" s="73" t="e">
        <f>CashFlow!#REF!/10^6</f>
        <v>#REF!</v>
      </c>
      <c r="R10" s="73" t="e">
        <f>CashFlow!#REF!/10^6</f>
        <v>#REF!</v>
      </c>
    </row>
    <row r="11" spans="1:18" ht="10.5" customHeight="1" x14ac:dyDescent="0.25">
      <c r="A11" s="80" t="s">
        <v>247</v>
      </c>
      <c r="B11" s="73"/>
      <c r="C11" s="73"/>
      <c r="D11" s="73">
        <f>CashFlow!C13/10^6</f>
        <v>-2688.8496</v>
      </c>
      <c r="E11" s="73" t="e">
        <f>CashFlow!#REF!/10^6</f>
        <v>#REF!</v>
      </c>
      <c r="F11" s="73" t="e">
        <f>CashFlow!#REF!/10^6</f>
        <v>#REF!</v>
      </c>
      <c r="G11" s="73" t="e">
        <f>CashFlow!#REF!/10^6</f>
        <v>#REF!</v>
      </c>
      <c r="H11" s="73" t="e">
        <f>CashFlow!#REF!/10^6</f>
        <v>#REF!</v>
      </c>
      <c r="I11" s="73" t="e">
        <f>CashFlow!#REF!/10^6</f>
        <v>#REF!</v>
      </c>
      <c r="J11" s="73" t="e">
        <f>CashFlow!#REF!/10^6</f>
        <v>#REF!</v>
      </c>
      <c r="K11" s="73" t="e">
        <f>CashFlow!#REF!/10^6</f>
        <v>#REF!</v>
      </c>
      <c r="L11" s="73" t="e">
        <f>CashFlow!#REF!/10^6</f>
        <v>#REF!</v>
      </c>
      <c r="M11" s="73" t="e">
        <f>CashFlow!#REF!/10^6</f>
        <v>#REF!</v>
      </c>
      <c r="N11" s="73" t="e">
        <f>CashFlow!#REF!/10^6</f>
        <v>#REF!</v>
      </c>
      <c r="O11" s="73" t="e">
        <f>CashFlow!#REF!/10^6</f>
        <v>#REF!</v>
      </c>
      <c r="P11" s="73" t="e">
        <f>CashFlow!#REF!/10^6</f>
        <v>#REF!</v>
      </c>
      <c r="Q11" s="73" t="e">
        <f>CashFlow!#REF!/10^6</f>
        <v>#REF!</v>
      </c>
      <c r="R11" s="73" t="e">
        <f>CashFlow!#REF!/10^6</f>
        <v>#REF!</v>
      </c>
    </row>
    <row r="12" spans="1:18" ht="10.5" customHeight="1" x14ac:dyDescent="0.25">
      <c r="A12" s="81" t="s">
        <v>370</v>
      </c>
      <c r="B12" s="73"/>
      <c r="C12" s="73"/>
      <c r="D12" s="73" t="e">
        <f>CashFlow!#REF!/10^6</f>
        <v>#REF!</v>
      </c>
      <c r="E12" s="73" t="e">
        <f>CashFlow!#REF!/10^6</f>
        <v>#REF!</v>
      </c>
      <c r="F12" s="73" t="e">
        <f>CashFlow!#REF!/10^6</f>
        <v>#REF!</v>
      </c>
      <c r="G12" s="73" t="e">
        <f>CashFlow!#REF!/10^6</f>
        <v>#REF!</v>
      </c>
      <c r="H12" s="73" t="e">
        <f>CashFlow!#REF!/10^6</f>
        <v>#REF!</v>
      </c>
      <c r="I12" s="73" t="e">
        <f>CashFlow!#REF!/10^6</f>
        <v>#REF!</v>
      </c>
      <c r="J12" s="73" t="e">
        <f>CashFlow!#REF!/10^6</f>
        <v>#REF!</v>
      </c>
      <c r="K12" s="73" t="e">
        <f>CashFlow!#REF!/10^6</f>
        <v>#REF!</v>
      </c>
      <c r="L12" s="73" t="e">
        <f>CashFlow!#REF!/10^6</f>
        <v>#REF!</v>
      </c>
      <c r="M12" s="73" t="e">
        <f>CashFlow!#REF!/10^6</f>
        <v>#REF!</v>
      </c>
      <c r="N12" s="73" t="e">
        <f>CashFlow!#REF!/10^6</f>
        <v>#REF!</v>
      </c>
      <c r="O12" s="73" t="e">
        <f>CashFlow!#REF!/10^6</f>
        <v>#REF!</v>
      </c>
      <c r="P12" s="73" t="e">
        <f>CashFlow!#REF!/10^6</f>
        <v>#REF!</v>
      </c>
      <c r="Q12" s="73" t="e">
        <f>CashFlow!#REF!/10^6</f>
        <v>#REF!</v>
      </c>
      <c r="R12" s="73" t="e">
        <f>CashFlow!#REF!/10^6</f>
        <v>#REF!</v>
      </c>
    </row>
    <row r="13" spans="1:18" ht="10.5" customHeight="1" x14ac:dyDescent="0.25">
      <c r="A13" s="81" t="s">
        <v>371</v>
      </c>
      <c r="B13" s="73"/>
      <c r="C13" s="73"/>
      <c r="D13" s="73" t="e">
        <f>CashFlow!#REF!/10^6</f>
        <v>#REF!</v>
      </c>
      <c r="E13" s="73" t="e">
        <f>CashFlow!#REF!/10^6</f>
        <v>#REF!</v>
      </c>
      <c r="F13" s="73" t="e">
        <f>CashFlow!#REF!/10^6</f>
        <v>#REF!</v>
      </c>
      <c r="G13" s="73" t="e">
        <f>CashFlow!#REF!/10^6</f>
        <v>#REF!</v>
      </c>
      <c r="H13" s="73" t="e">
        <f>CashFlow!#REF!/10^6</f>
        <v>#REF!</v>
      </c>
      <c r="I13" s="73" t="e">
        <f>CashFlow!#REF!/10^6</f>
        <v>#REF!</v>
      </c>
      <c r="J13" s="73" t="e">
        <f>CashFlow!#REF!/10^6</f>
        <v>#REF!</v>
      </c>
      <c r="K13" s="73" t="e">
        <f>CashFlow!#REF!/10^6</f>
        <v>#REF!</v>
      </c>
      <c r="L13" s="73" t="e">
        <f>CashFlow!#REF!/10^6</f>
        <v>#REF!</v>
      </c>
      <c r="M13" s="73" t="e">
        <f>CashFlow!#REF!/10^6</f>
        <v>#REF!</v>
      </c>
      <c r="N13" s="73" t="e">
        <f>CashFlow!#REF!/10^6</f>
        <v>#REF!</v>
      </c>
      <c r="O13" s="73" t="e">
        <f>CashFlow!#REF!/10^6</f>
        <v>#REF!</v>
      </c>
      <c r="P13" s="73" t="e">
        <f>CashFlow!#REF!/10^6</f>
        <v>#REF!</v>
      </c>
      <c r="Q13" s="73" t="e">
        <f>CashFlow!#REF!/10^6</f>
        <v>#REF!</v>
      </c>
      <c r="R13" s="73" t="e">
        <f>CashFlow!#REF!/10^6</f>
        <v>#REF!</v>
      </c>
    </row>
    <row r="14" spans="1:18" ht="10.5" customHeight="1" x14ac:dyDescent="0.25">
      <c r="A14" s="81" t="s">
        <v>248</v>
      </c>
      <c r="B14" s="73"/>
      <c r="C14" s="73"/>
      <c r="D14" s="92">
        <f>CashFlow!C15/10^6</f>
        <v>-15.835644</v>
      </c>
      <c r="E14" s="92">
        <f>CashFlow!D15/10^6</f>
        <v>-69.372974880000001</v>
      </c>
      <c r="F14" s="92">
        <f>CashFlow!E15/10^6</f>
        <v>-80.065048377599979</v>
      </c>
      <c r="G14" s="92">
        <f>CashFlow!F15/10^6</f>
        <v>-90.812959345151995</v>
      </c>
      <c r="H14" s="92">
        <f>CashFlow!G15/10^6</f>
        <v>-101.61782453205507</v>
      </c>
      <c r="I14" s="92">
        <f>CashFlow!H15/10^6</f>
        <v>-100.61068302269612</v>
      </c>
      <c r="J14" s="92">
        <f>CashFlow!I15/10^6</f>
        <v>-103.47429668315004</v>
      </c>
      <c r="K14" s="92">
        <f>CashFlow!J15/10^6</f>
        <v>-106.39518261681306</v>
      </c>
      <c r="L14" s="92">
        <f>CashFlow!K15/10^6</f>
        <v>-109.37448626914932</v>
      </c>
      <c r="M14" s="92">
        <f>CashFlow!L15/10^6</f>
        <v>-112.41337599453229</v>
      </c>
      <c r="N14" s="92" t="e">
        <f>CashFlow!#REF!/10^6</f>
        <v>#REF!</v>
      </c>
      <c r="O14" s="92" t="e">
        <f>CashFlow!#REF!/10^6</f>
        <v>#REF!</v>
      </c>
      <c r="P14" s="92" t="e">
        <f>CashFlow!#REF!/10^6</f>
        <v>#REF!</v>
      </c>
      <c r="Q14" s="92" t="e">
        <f>CashFlow!#REF!/10^6</f>
        <v>#REF!</v>
      </c>
      <c r="R14" s="92" t="e">
        <f>CashFlow!#REF!/10^6</f>
        <v>#REF!</v>
      </c>
    </row>
    <row r="15" spans="1:18" ht="10.5" customHeight="1" x14ac:dyDescent="0.25">
      <c r="A15" s="78" t="s">
        <v>239</v>
      </c>
      <c r="D15" s="73" t="e">
        <f>SUM(D9:D14)</f>
        <v>#REF!</v>
      </c>
      <c r="E15" s="73" t="e">
        <f t="shared" ref="E15:R15" si="1">SUM(E9:E14)</f>
        <v>#REF!</v>
      </c>
      <c r="F15" s="73" t="e">
        <f t="shared" si="1"/>
        <v>#REF!</v>
      </c>
      <c r="G15" s="73" t="e">
        <f t="shared" si="1"/>
        <v>#REF!</v>
      </c>
      <c r="H15" s="73" t="e">
        <f t="shared" si="1"/>
        <v>#REF!</v>
      </c>
      <c r="I15" s="73" t="e">
        <f t="shared" si="1"/>
        <v>#REF!</v>
      </c>
      <c r="J15" s="73" t="e">
        <f t="shared" si="1"/>
        <v>#REF!</v>
      </c>
      <c r="K15" s="73" t="e">
        <f t="shared" si="1"/>
        <v>#REF!</v>
      </c>
      <c r="L15" s="73" t="e">
        <f t="shared" si="1"/>
        <v>#REF!</v>
      </c>
      <c r="M15" s="73" t="e">
        <f t="shared" si="1"/>
        <v>#REF!</v>
      </c>
      <c r="N15" s="73" t="e">
        <f t="shared" si="1"/>
        <v>#REF!</v>
      </c>
      <c r="O15" s="73" t="e">
        <f t="shared" si="1"/>
        <v>#REF!</v>
      </c>
      <c r="P15" s="73" t="e">
        <f t="shared" si="1"/>
        <v>#REF!</v>
      </c>
      <c r="Q15" s="73" t="e">
        <f t="shared" si="1"/>
        <v>#REF!</v>
      </c>
      <c r="R15" s="73" t="e">
        <f t="shared" si="1"/>
        <v>#REF!</v>
      </c>
    </row>
    <row r="16" spans="1:18" ht="10.5" customHeight="1" x14ac:dyDescent="0.2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</row>
    <row r="17" spans="1:18" ht="10.5" customHeight="1" x14ac:dyDescent="0.25">
      <c r="A17" s="72" t="s">
        <v>241</v>
      </c>
    </row>
    <row r="18" spans="1:18" ht="10.5" customHeight="1" x14ac:dyDescent="0.25">
      <c r="A18" s="72" t="s">
        <v>250</v>
      </c>
      <c r="B18" s="73" t="e">
        <f>CashFlow!#REF!/10^6</f>
        <v>#REF!</v>
      </c>
      <c r="C18" s="73">
        <f>CashFlow!B19/10^6</f>
        <v>3800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</row>
    <row r="19" spans="1:18" ht="10.5" customHeight="1" x14ac:dyDescent="0.25">
      <c r="A19" s="72" t="s">
        <v>265</v>
      </c>
      <c r="B19" s="92" t="e">
        <f>CashFlow!#REF!/10^6</f>
        <v>#REF!</v>
      </c>
      <c r="C19" s="92">
        <f>CashFlow!B20/10^6</f>
        <v>700</v>
      </c>
      <c r="D19" s="92">
        <f>CashFlow!C20/1000</f>
        <v>0</v>
      </c>
      <c r="E19" s="92">
        <f>CashFlow!D20/1000</f>
        <v>0</v>
      </c>
      <c r="F19" s="92">
        <f>CashFlow!E20/1000</f>
        <v>0</v>
      </c>
      <c r="G19" s="92">
        <f>CashFlow!F20/1000</f>
        <v>0</v>
      </c>
      <c r="H19" s="92"/>
      <c r="I19" s="92"/>
      <c r="J19" s="92"/>
      <c r="K19" s="92"/>
      <c r="L19" s="93"/>
      <c r="M19" s="93"/>
      <c r="N19" s="93"/>
      <c r="O19" s="93"/>
      <c r="P19" s="93"/>
      <c r="Q19" s="93"/>
      <c r="R19" s="93"/>
    </row>
    <row r="20" spans="1:18" ht="10.5" customHeight="1" x14ac:dyDescent="0.25">
      <c r="B20" s="73" t="e">
        <f t="shared" ref="B20:G20" si="2">SUM(B18:B19)</f>
        <v>#REF!</v>
      </c>
      <c r="C20" s="73">
        <f t="shared" si="2"/>
        <v>4500</v>
      </c>
      <c r="D20" s="73">
        <f t="shared" si="2"/>
        <v>0</v>
      </c>
      <c r="E20" s="73">
        <f t="shared" si="2"/>
        <v>0</v>
      </c>
      <c r="F20" s="73">
        <f t="shared" si="2"/>
        <v>0</v>
      </c>
      <c r="G20" s="73">
        <f t="shared" si="2"/>
        <v>0</v>
      </c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</row>
    <row r="21" spans="1:18" ht="10.5" customHeight="1" x14ac:dyDescent="0.25"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</row>
    <row r="22" spans="1:18" ht="10.5" customHeight="1" x14ac:dyDescent="0.25">
      <c r="A22" s="72" t="s">
        <v>242</v>
      </c>
    </row>
    <row r="23" spans="1:18" ht="10.5" customHeight="1" x14ac:dyDescent="0.25">
      <c r="A23" s="83" t="s">
        <v>243</v>
      </c>
      <c r="B23" s="73" t="e">
        <f>CashFlow!#REF!/10^6</f>
        <v>#REF!</v>
      </c>
      <c r="C23" s="73">
        <f>CashFlow!B24/10^6</f>
        <v>-3800</v>
      </c>
      <c r="D23" s="73">
        <f>CashFlow!C24/10^6</f>
        <v>0</v>
      </c>
      <c r="E23" s="73">
        <f>CashFlow!D24/10^6</f>
        <v>0</v>
      </c>
      <c r="F23" s="73">
        <f>CashFlow!E24/10^6</f>
        <v>0</v>
      </c>
      <c r="G23" s="73">
        <f>CashFlow!F24/10^6</f>
        <v>0</v>
      </c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</row>
    <row r="24" spans="1:18" ht="10.5" customHeight="1" x14ac:dyDescent="0.25">
      <c r="A24" s="72" t="s">
        <v>235</v>
      </c>
      <c r="B24" s="73" t="e">
        <f>CashFlow!#REF!/10^6</f>
        <v>#REF!</v>
      </c>
      <c r="C24" s="73" t="e">
        <f>CashFlow!#REF!/10^6</f>
        <v>#REF!</v>
      </c>
      <c r="D24" s="73" t="e">
        <f>CashFlow!#REF!/10^6</f>
        <v>#REF!</v>
      </c>
      <c r="E24" s="73" t="e">
        <f>CashFlow!#REF!/10^6</f>
        <v>#REF!</v>
      </c>
      <c r="F24" s="73" t="e">
        <f>CashFlow!#REF!/10^6</f>
        <v>#REF!</v>
      </c>
      <c r="G24" s="73" t="e">
        <f>CashFlow!#REF!/10^6</f>
        <v>#REF!</v>
      </c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0.5" customHeight="1" x14ac:dyDescent="0.25">
      <c r="A25" s="83" t="s">
        <v>245</v>
      </c>
      <c r="B25" s="73"/>
      <c r="C25" s="73"/>
      <c r="D25" s="73" t="e">
        <f>CashFlow!#REF!/10^6</f>
        <v>#REF!</v>
      </c>
      <c r="E25" s="73" t="e">
        <f>CashFlow!#REF!/10^6</f>
        <v>#REF!</v>
      </c>
      <c r="F25" s="73" t="e">
        <f>CashFlow!#REF!/10^6</f>
        <v>#REF!</v>
      </c>
      <c r="G25" s="73" t="e">
        <f>CashFlow!#REF!/10^6</f>
        <v>#REF!</v>
      </c>
      <c r="H25" s="73" t="e">
        <f>CashFlow!#REF!/10^6</f>
        <v>#REF!</v>
      </c>
      <c r="I25" s="73" t="e">
        <f>CashFlow!#REF!/10^6</f>
        <v>#REF!</v>
      </c>
      <c r="J25" s="73" t="e">
        <f>CashFlow!#REF!/10^6</f>
        <v>#REF!</v>
      </c>
      <c r="K25" s="73" t="e">
        <f>CashFlow!#REF!/10^6</f>
        <v>#REF!</v>
      </c>
      <c r="L25" s="73" t="e">
        <f>CashFlow!#REF!/10^6</f>
        <v>#REF!</v>
      </c>
      <c r="M25" s="73" t="e">
        <f>CashFlow!#REF!/10^6</f>
        <v>#REF!</v>
      </c>
      <c r="N25" s="73" t="e">
        <f>CashFlow!#REF!/10^6</f>
        <v>#REF!</v>
      </c>
      <c r="O25" s="73" t="e">
        <f>CashFlow!#REF!/10^6</f>
        <v>#REF!</v>
      </c>
      <c r="P25" s="73" t="e">
        <f>CashFlow!#REF!/10^6</f>
        <v>#REF!</v>
      </c>
      <c r="Q25" s="73" t="e">
        <f>CashFlow!#REF!/10^6</f>
        <v>#REF!</v>
      </c>
      <c r="R25" s="73" t="e">
        <f>CashFlow!#REF!/10^6</f>
        <v>#REF!</v>
      </c>
    </row>
    <row r="26" spans="1:18" ht="10.5" customHeight="1" x14ac:dyDescent="0.25">
      <c r="A26" s="83" t="s">
        <v>244</v>
      </c>
      <c r="B26" s="92"/>
      <c r="C26" s="92"/>
      <c r="D26" s="92" t="e">
        <f>CashFlow!#REF!/10^6</f>
        <v>#REF!</v>
      </c>
      <c r="E26" s="92" t="e">
        <f>CashFlow!#REF!/10^6</f>
        <v>#REF!</v>
      </c>
      <c r="F26" s="92" t="e">
        <f>CashFlow!#REF!/10^6</f>
        <v>#REF!</v>
      </c>
      <c r="G26" s="92" t="e">
        <f>CashFlow!#REF!/10^6</f>
        <v>#REF!</v>
      </c>
      <c r="H26" s="92" t="e">
        <f>CashFlow!#REF!/10^6</f>
        <v>#REF!</v>
      </c>
      <c r="I26" s="92" t="e">
        <f>CashFlow!#REF!/10^6</f>
        <v>#REF!</v>
      </c>
      <c r="J26" s="92" t="e">
        <f>CashFlow!#REF!/10^6</f>
        <v>#REF!</v>
      </c>
      <c r="K26" s="92" t="e">
        <f>CashFlow!#REF!/10^6</f>
        <v>#REF!</v>
      </c>
      <c r="L26" s="92" t="e">
        <f>CashFlow!#REF!/10^6</f>
        <v>#REF!</v>
      </c>
      <c r="M26" s="92" t="e">
        <f>CashFlow!#REF!/10^6</f>
        <v>#REF!</v>
      </c>
      <c r="N26" s="92" t="e">
        <f>CashFlow!#REF!/10^6</f>
        <v>#REF!</v>
      </c>
      <c r="O26" s="92" t="e">
        <f>CashFlow!#REF!/10^6</f>
        <v>#REF!</v>
      </c>
      <c r="P26" s="92" t="e">
        <f>CashFlow!#REF!/10^6</f>
        <v>#REF!</v>
      </c>
      <c r="Q26" s="92" t="e">
        <f>CashFlow!#REF!/10^6</f>
        <v>#REF!</v>
      </c>
      <c r="R26" s="92" t="e">
        <f>CashFlow!#REF!/10^6</f>
        <v>#REF!</v>
      </c>
    </row>
    <row r="27" spans="1:18" ht="10.5" customHeight="1" x14ac:dyDescent="0.25">
      <c r="B27" s="73" t="e">
        <f t="shared" ref="B27:D27" si="3">SUM(B23:B26)</f>
        <v>#REF!</v>
      </c>
      <c r="C27" s="73" t="e">
        <f t="shared" si="3"/>
        <v>#REF!</v>
      </c>
      <c r="D27" s="73" t="e">
        <f t="shared" si="3"/>
        <v>#REF!</v>
      </c>
      <c r="E27" s="73" t="e">
        <f t="shared" ref="E27:O27" si="4">SUM(E23:E26)</f>
        <v>#REF!</v>
      </c>
      <c r="F27" s="73" t="e">
        <f t="shared" si="4"/>
        <v>#REF!</v>
      </c>
      <c r="G27" s="73" t="e">
        <f t="shared" si="4"/>
        <v>#REF!</v>
      </c>
      <c r="H27" s="73" t="e">
        <f t="shared" si="4"/>
        <v>#REF!</v>
      </c>
      <c r="I27" s="73" t="e">
        <f t="shared" si="4"/>
        <v>#REF!</v>
      </c>
      <c r="J27" s="73" t="e">
        <f t="shared" si="4"/>
        <v>#REF!</v>
      </c>
      <c r="K27" s="73" t="e">
        <f t="shared" si="4"/>
        <v>#REF!</v>
      </c>
      <c r="L27" s="73" t="e">
        <f t="shared" si="4"/>
        <v>#REF!</v>
      </c>
      <c r="M27" s="73" t="e">
        <f t="shared" si="4"/>
        <v>#REF!</v>
      </c>
      <c r="N27" s="73" t="e">
        <f t="shared" si="4"/>
        <v>#REF!</v>
      </c>
      <c r="O27" s="73" t="e">
        <f t="shared" si="4"/>
        <v>#REF!</v>
      </c>
      <c r="P27" s="73" t="e">
        <f t="shared" ref="P27" si="5">SUM(P23:P26)</f>
        <v>#REF!</v>
      </c>
      <c r="Q27" s="73"/>
      <c r="R27" s="73"/>
    </row>
    <row r="28" spans="1:18" ht="10.5" customHeight="1" x14ac:dyDescent="0.25"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</row>
    <row r="29" spans="1:18" ht="10.5" customHeight="1" x14ac:dyDescent="0.25">
      <c r="A29" s="72" t="s">
        <v>249</v>
      </c>
      <c r="B29" s="73" t="e">
        <f>B14+B20+B27</f>
        <v>#REF!</v>
      </c>
      <c r="C29" s="73" t="e">
        <f>C14+C20+C27</f>
        <v>#REF!</v>
      </c>
      <c r="D29" s="73" t="e">
        <f>D15+D20+D27</f>
        <v>#REF!</v>
      </c>
      <c r="E29" s="73" t="e">
        <f t="shared" ref="E29:R29" si="6">E15+E20+E27</f>
        <v>#REF!</v>
      </c>
      <c r="F29" s="73" t="e">
        <f t="shared" si="6"/>
        <v>#REF!</v>
      </c>
      <c r="G29" s="73" t="e">
        <f t="shared" si="6"/>
        <v>#REF!</v>
      </c>
      <c r="H29" s="73" t="e">
        <f t="shared" si="6"/>
        <v>#REF!</v>
      </c>
      <c r="I29" s="73" t="e">
        <f t="shared" si="6"/>
        <v>#REF!</v>
      </c>
      <c r="J29" s="73" t="e">
        <f t="shared" si="6"/>
        <v>#REF!</v>
      </c>
      <c r="K29" s="73" t="e">
        <f t="shared" si="6"/>
        <v>#REF!</v>
      </c>
      <c r="L29" s="73" t="e">
        <f t="shared" si="6"/>
        <v>#REF!</v>
      </c>
      <c r="M29" s="73" t="e">
        <f t="shared" si="6"/>
        <v>#REF!</v>
      </c>
      <c r="N29" s="73" t="e">
        <f t="shared" si="6"/>
        <v>#REF!</v>
      </c>
      <c r="O29" s="73" t="e">
        <f t="shared" si="6"/>
        <v>#REF!</v>
      </c>
      <c r="P29" s="73" t="e">
        <f t="shared" si="6"/>
        <v>#REF!</v>
      </c>
      <c r="Q29" s="73" t="e">
        <f t="shared" si="6"/>
        <v>#REF!</v>
      </c>
      <c r="R29" s="73" t="e">
        <f t="shared" si="6"/>
        <v>#REF!</v>
      </c>
    </row>
    <row r="30" spans="1:18" ht="10.5" customHeight="1" x14ac:dyDescent="0.25">
      <c r="A30" s="72" t="s">
        <v>236</v>
      </c>
      <c r="B30" s="73">
        <v>0</v>
      </c>
      <c r="C30" s="73" t="e">
        <f t="shared" ref="C30:D30" si="7">B31</f>
        <v>#REF!</v>
      </c>
      <c r="D30" s="73" t="e">
        <f t="shared" si="7"/>
        <v>#REF!</v>
      </c>
      <c r="E30" s="73" t="e">
        <f t="shared" ref="E30" si="8">D31</f>
        <v>#REF!</v>
      </c>
      <c r="F30" s="73" t="e">
        <f t="shared" ref="F30" si="9">E31</f>
        <v>#REF!</v>
      </c>
      <c r="G30" s="73" t="e">
        <f t="shared" ref="G30" si="10">F31</f>
        <v>#REF!</v>
      </c>
      <c r="H30" s="73" t="e">
        <f t="shared" ref="H30" si="11">G31</f>
        <v>#REF!</v>
      </c>
      <c r="I30" s="73" t="e">
        <f t="shared" ref="I30" si="12">H31</f>
        <v>#REF!</v>
      </c>
      <c r="J30" s="73" t="e">
        <f t="shared" ref="J30" si="13">I31</f>
        <v>#REF!</v>
      </c>
      <c r="K30" s="73" t="e">
        <f t="shared" ref="K30" si="14">J31</f>
        <v>#REF!</v>
      </c>
      <c r="L30" s="73" t="e">
        <f t="shared" ref="L30" si="15">K31</f>
        <v>#REF!</v>
      </c>
      <c r="M30" s="73" t="e">
        <f t="shared" ref="M30" si="16">L31</f>
        <v>#REF!</v>
      </c>
      <c r="N30" s="73" t="e">
        <f t="shared" ref="N30" si="17">M31</f>
        <v>#REF!</v>
      </c>
      <c r="O30" s="73" t="e">
        <f t="shared" ref="O30" si="18">N31</f>
        <v>#REF!</v>
      </c>
      <c r="P30" s="73" t="e">
        <f t="shared" ref="P30" si="19">O31</f>
        <v>#REF!</v>
      </c>
      <c r="Q30" s="73" t="e">
        <f t="shared" ref="Q30" si="20">P31</f>
        <v>#REF!</v>
      </c>
      <c r="R30" s="73" t="e">
        <f t="shared" ref="R30" si="21">Q31</f>
        <v>#REF!</v>
      </c>
    </row>
    <row r="31" spans="1:18" ht="10.5" customHeight="1" x14ac:dyDescent="0.25">
      <c r="A31" s="72" t="s">
        <v>237</v>
      </c>
      <c r="B31" s="73" t="e">
        <f t="shared" ref="B31:D31" si="22">B30+B29</f>
        <v>#REF!</v>
      </c>
      <c r="C31" s="73" t="e">
        <f t="shared" si="22"/>
        <v>#REF!</v>
      </c>
      <c r="D31" s="73" t="e">
        <f t="shared" si="22"/>
        <v>#REF!</v>
      </c>
      <c r="E31" s="73" t="e">
        <f t="shared" ref="E31:P31" si="23">E30+E29</f>
        <v>#REF!</v>
      </c>
      <c r="F31" s="73" t="e">
        <f t="shared" si="23"/>
        <v>#REF!</v>
      </c>
      <c r="G31" s="73" t="e">
        <f t="shared" si="23"/>
        <v>#REF!</v>
      </c>
      <c r="H31" s="73" t="e">
        <f t="shared" si="23"/>
        <v>#REF!</v>
      </c>
      <c r="I31" s="73" t="e">
        <f t="shared" si="23"/>
        <v>#REF!</v>
      </c>
      <c r="J31" s="73" t="e">
        <f t="shared" si="23"/>
        <v>#REF!</v>
      </c>
      <c r="K31" s="73" t="e">
        <f t="shared" si="23"/>
        <v>#REF!</v>
      </c>
      <c r="L31" s="73" t="e">
        <f t="shared" si="23"/>
        <v>#REF!</v>
      </c>
      <c r="M31" s="73" t="e">
        <f t="shared" si="23"/>
        <v>#REF!</v>
      </c>
      <c r="N31" s="73" t="e">
        <f t="shared" si="23"/>
        <v>#REF!</v>
      </c>
      <c r="O31" s="73" t="e">
        <f t="shared" si="23"/>
        <v>#REF!</v>
      </c>
      <c r="P31" s="73" t="e">
        <f t="shared" si="23"/>
        <v>#REF!</v>
      </c>
      <c r="Q31" s="73" t="e">
        <f t="shared" ref="Q31:R31" si="24">Q30+Q29</f>
        <v>#REF!</v>
      </c>
      <c r="R31" s="73" t="e">
        <f t="shared" si="24"/>
        <v>#REF!</v>
      </c>
    </row>
    <row r="32" spans="1:18" ht="10.5" customHeight="1" x14ac:dyDescent="0.25">
      <c r="B32" s="82"/>
      <c r="C32" s="82"/>
      <c r="D32" s="84"/>
      <c r="E32" s="82"/>
      <c r="F32" s="82"/>
      <c r="G32" s="84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65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75" style="24" customWidth="1"/>
    <col min="2" max="2" width="5" style="24" customWidth="1"/>
    <col min="3" max="3" width="19" style="24" bestFit="1" customWidth="1"/>
    <col min="4" max="7" width="9" style="24"/>
    <col min="8" max="9" width="5.625" style="24" customWidth="1"/>
    <col min="10" max="11" width="23.25" style="24" customWidth="1"/>
    <col min="12" max="16384" width="9" style="24"/>
  </cols>
  <sheetData>
    <row r="1" spans="1:13" ht="14.25" x14ac:dyDescent="0.25">
      <c r="A1" s="23" t="s">
        <v>88</v>
      </c>
    </row>
    <row r="2" spans="1:13" ht="14.25" x14ac:dyDescent="0.25">
      <c r="A2" s="23" t="s">
        <v>142</v>
      </c>
    </row>
    <row r="3" spans="1:13" ht="14.25" x14ac:dyDescent="0.25">
      <c r="A3" s="23" t="s">
        <v>59</v>
      </c>
      <c r="C3" s="24" t="s">
        <v>147</v>
      </c>
    </row>
    <row r="4" spans="1:13" x14ac:dyDescent="0.15">
      <c r="C4" s="24" t="s">
        <v>148</v>
      </c>
    </row>
    <row r="7" spans="1:13" x14ac:dyDescent="0.15">
      <c r="A7" s="22" t="s">
        <v>137</v>
      </c>
      <c r="H7" s="22" t="s">
        <v>89</v>
      </c>
    </row>
    <row r="8" spans="1:13" x14ac:dyDescent="0.15">
      <c r="B8" s="24" t="s">
        <v>122</v>
      </c>
      <c r="D8" s="26" t="s">
        <v>129</v>
      </c>
      <c r="I8" s="24" t="s">
        <v>90</v>
      </c>
      <c r="M8" s="26" t="s">
        <v>129</v>
      </c>
    </row>
    <row r="9" spans="1:13" x14ac:dyDescent="0.15">
      <c r="B9" s="24" t="s">
        <v>123</v>
      </c>
      <c r="D9" s="27" t="s">
        <v>129</v>
      </c>
      <c r="I9" s="24" t="s">
        <v>91</v>
      </c>
      <c r="M9" s="26" t="s">
        <v>129</v>
      </c>
    </row>
    <row r="10" spans="1:13" x14ac:dyDescent="0.15">
      <c r="B10" s="24" t="s">
        <v>138</v>
      </c>
      <c r="D10" s="27" t="s">
        <v>129</v>
      </c>
      <c r="I10" s="24" t="s">
        <v>92</v>
      </c>
      <c r="M10" s="26" t="s">
        <v>129</v>
      </c>
    </row>
    <row r="11" spans="1:13" x14ac:dyDescent="0.15">
      <c r="D11" s="25"/>
      <c r="E11" s="25" t="s">
        <v>129</v>
      </c>
      <c r="I11" s="24" t="s">
        <v>93</v>
      </c>
    </row>
    <row r="12" spans="1:13" x14ac:dyDescent="0.15">
      <c r="A12" s="22" t="s">
        <v>139</v>
      </c>
      <c r="D12" s="25"/>
      <c r="J12" s="24" t="s">
        <v>78</v>
      </c>
      <c r="L12" s="26" t="s">
        <v>129</v>
      </c>
    </row>
    <row r="13" spans="1:13" x14ac:dyDescent="0.15">
      <c r="B13" s="24" t="s">
        <v>140</v>
      </c>
      <c r="D13" s="26" t="s">
        <v>129</v>
      </c>
      <c r="J13" s="24" t="s">
        <v>94</v>
      </c>
      <c r="L13" s="26" t="s">
        <v>129</v>
      </c>
    </row>
    <row r="14" spans="1:13" x14ac:dyDescent="0.15">
      <c r="B14" s="24" t="s">
        <v>141</v>
      </c>
      <c r="D14" s="27" t="s">
        <v>129</v>
      </c>
      <c r="J14" s="24" t="s">
        <v>95</v>
      </c>
      <c r="L14" s="26" t="s">
        <v>129</v>
      </c>
    </row>
    <row r="15" spans="1:13" x14ac:dyDescent="0.15">
      <c r="E15" s="26" t="s">
        <v>129</v>
      </c>
      <c r="J15" s="24" t="s">
        <v>96</v>
      </c>
      <c r="L15" s="26" t="s">
        <v>129</v>
      </c>
    </row>
    <row r="16" spans="1:13" x14ac:dyDescent="0.15">
      <c r="J16" s="24" t="s">
        <v>97</v>
      </c>
      <c r="L16" s="26" t="s">
        <v>129</v>
      </c>
    </row>
    <row r="17" spans="1:14" x14ac:dyDescent="0.15">
      <c r="A17" s="22" t="s">
        <v>143</v>
      </c>
      <c r="E17" s="28" t="s">
        <v>129</v>
      </c>
      <c r="J17" s="24" t="s">
        <v>98</v>
      </c>
      <c r="L17" s="26" t="s">
        <v>129</v>
      </c>
    </row>
    <row r="18" spans="1:14" x14ac:dyDescent="0.15">
      <c r="J18" s="24" t="s">
        <v>99</v>
      </c>
      <c r="L18" s="26" t="s">
        <v>129</v>
      </c>
    </row>
    <row r="19" spans="1:14" x14ac:dyDescent="0.15">
      <c r="L19" s="25"/>
      <c r="M19" s="26" t="s">
        <v>129</v>
      </c>
    </row>
    <row r="20" spans="1:14" x14ac:dyDescent="0.15">
      <c r="I20" s="24" t="s">
        <v>100</v>
      </c>
      <c r="M20" s="26" t="s">
        <v>129</v>
      </c>
    </row>
    <row r="21" spans="1:14" x14ac:dyDescent="0.15">
      <c r="I21" s="24" t="s">
        <v>101</v>
      </c>
      <c r="M21" s="26" t="s">
        <v>129</v>
      </c>
    </row>
    <row r="22" spans="1:14" x14ac:dyDescent="0.15">
      <c r="I22" s="24" t="s">
        <v>102</v>
      </c>
      <c r="M22" s="26" t="s">
        <v>129</v>
      </c>
    </row>
    <row r="23" spans="1:14" x14ac:dyDescent="0.15">
      <c r="I23" s="24" t="s">
        <v>103</v>
      </c>
      <c r="M23" s="26" t="s">
        <v>129</v>
      </c>
    </row>
    <row r="24" spans="1:14" x14ac:dyDescent="0.15">
      <c r="I24" s="24" t="s">
        <v>104</v>
      </c>
      <c r="M24" s="26" t="s">
        <v>129</v>
      </c>
    </row>
    <row r="25" spans="1:14" x14ac:dyDescent="0.15">
      <c r="N25" s="26" t="s">
        <v>129</v>
      </c>
    </row>
    <row r="26" spans="1:14" x14ac:dyDescent="0.15">
      <c r="H26" s="22" t="s">
        <v>105</v>
      </c>
    </row>
    <row r="27" spans="1:14" x14ac:dyDescent="0.15">
      <c r="I27" s="24" t="s">
        <v>63</v>
      </c>
      <c r="M27" s="26" t="s">
        <v>129</v>
      </c>
    </row>
    <row r="28" spans="1:14" x14ac:dyDescent="0.15">
      <c r="I28" s="24" t="s">
        <v>124</v>
      </c>
      <c r="M28" s="26" t="s">
        <v>129</v>
      </c>
    </row>
    <row r="29" spans="1:14" x14ac:dyDescent="0.15">
      <c r="I29" s="24" t="s">
        <v>125</v>
      </c>
      <c r="M29" s="26" t="s">
        <v>129</v>
      </c>
    </row>
    <row r="30" spans="1:14" x14ac:dyDescent="0.15">
      <c r="I30" s="24" t="s">
        <v>126</v>
      </c>
      <c r="M30" s="26" t="s">
        <v>129</v>
      </c>
    </row>
    <row r="31" spans="1:14" x14ac:dyDescent="0.15">
      <c r="I31" s="24" t="s">
        <v>127</v>
      </c>
      <c r="M31" s="26" t="s">
        <v>129</v>
      </c>
    </row>
    <row r="32" spans="1:14" x14ac:dyDescent="0.15">
      <c r="N32" s="26" t="s">
        <v>129</v>
      </c>
    </row>
    <row r="33" spans="8:15" x14ac:dyDescent="0.15">
      <c r="H33" s="22" t="s">
        <v>128</v>
      </c>
    </row>
    <row r="34" spans="8:15" x14ac:dyDescent="0.15">
      <c r="I34" s="24" t="s">
        <v>106</v>
      </c>
      <c r="M34" s="26" t="s">
        <v>129</v>
      </c>
    </row>
    <row r="35" spans="8:15" x14ac:dyDescent="0.15">
      <c r="I35" s="24" t="s">
        <v>107</v>
      </c>
      <c r="M35" s="26" t="s">
        <v>129</v>
      </c>
    </row>
    <row r="36" spans="8:15" x14ac:dyDescent="0.15">
      <c r="I36" s="24" t="s">
        <v>108</v>
      </c>
      <c r="M36" s="26" t="s">
        <v>129</v>
      </c>
    </row>
    <row r="37" spans="8:15" x14ac:dyDescent="0.15">
      <c r="I37" s="24" t="s">
        <v>109</v>
      </c>
      <c r="M37" s="26" t="s">
        <v>129</v>
      </c>
    </row>
    <row r="38" spans="8:15" x14ac:dyDescent="0.15">
      <c r="I38" s="24" t="s">
        <v>73</v>
      </c>
      <c r="M38" s="26" t="s">
        <v>129</v>
      </c>
    </row>
    <row r="39" spans="8:15" x14ac:dyDescent="0.15">
      <c r="I39" s="24" t="s">
        <v>110</v>
      </c>
      <c r="M39" s="26" t="s">
        <v>129</v>
      </c>
    </row>
    <row r="40" spans="8:15" x14ac:dyDescent="0.15">
      <c r="I40" s="24" t="s">
        <v>111</v>
      </c>
      <c r="M40" s="26" t="s">
        <v>129</v>
      </c>
    </row>
    <row r="41" spans="8:15" x14ac:dyDescent="0.15">
      <c r="I41" s="24" t="s">
        <v>112</v>
      </c>
      <c r="M41" s="26" t="s">
        <v>129</v>
      </c>
    </row>
    <row r="42" spans="8:15" x14ac:dyDescent="0.15">
      <c r="I42" s="24" t="s">
        <v>113</v>
      </c>
      <c r="M42" s="26" t="s">
        <v>129</v>
      </c>
    </row>
    <row r="43" spans="8:15" x14ac:dyDescent="0.15">
      <c r="I43" s="24" t="s">
        <v>114</v>
      </c>
      <c r="M43" s="26" t="s">
        <v>129</v>
      </c>
    </row>
    <row r="44" spans="8:15" x14ac:dyDescent="0.15">
      <c r="I44" s="24" t="s">
        <v>115</v>
      </c>
      <c r="M44" s="26" t="s">
        <v>129</v>
      </c>
    </row>
    <row r="45" spans="8:15" x14ac:dyDescent="0.15">
      <c r="N45" s="26" t="s">
        <v>129</v>
      </c>
    </row>
    <row r="46" spans="8:15" x14ac:dyDescent="0.15">
      <c r="H46" s="22" t="s">
        <v>146</v>
      </c>
      <c r="N46" s="25"/>
      <c r="O46" s="26" t="s">
        <v>129</v>
      </c>
    </row>
    <row r="48" spans="8:15" x14ac:dyDescent="0.15">
      <c r="H48" s="22" t="s">
        <v>116</v>
      </c>
    </row>
    <row r="49" spans="8:15" x14ac:dyDescent="0.15">
      <c r="I49" s="24" t="s">
        <v>130</v>
      </c>
      <c r="M49" s="26" t="s">
        <v>129</v>
      </c>
    </row>
    <row r="50" spans="8:15" x14ac:dyDescent="0.15">
      <c r="I50" s="24" t="s">
        <v>131</v>
      </c>
      <c r="M50" s="26" t="s">
        <v>129</v>
      </c>
    </row>
    <row r="51" spans="8:15" x14ac:dyDescent="0.15">
      <c r="I51" s="24" t="s">
        <v>132</v>
      </c>
      <c r="M51" s="26" t="s">
        <v>129</v>
      </c>
    </row>
    <row r="52" spans="8:15" x14ac:dyDescent="0.15">
      <c r="I52" s="24" t="s">
        <v>133</v>
      </c>
      <c r="M52" s="26" t="s">
        <v>129</v>
      </c>
    </row>
    <row r="53" spans="8:15" x14ac:dyDescent="0.15">
      <c r="I53" s="24" t="s">
        <v>134</v>
      </c>
      <c r="M53" s="26" t="s">
        <v>129</v>
      </c>
    </row>
    <row r="54" spans="8:15" x14ac:dyDescent="0.15">
      <c r="I54" s="24" t="s">
        <v>135</v>
      </c>
      <c r="M54" s="26" t="s">
        <v>129</v>
      </c>
    </row>
    <row r="55" spans="8:15" x14ac:dyDescent="0.15">
      <c r="N55" s="26" t="s">
        <v>129</v>
      </c>
    </row>
    <row r="56" spans="8:15" x14ac:dyDescent="0.15">
      <c r="H56" s="22" t="s">
        <v>136</v>
      </c>
    </row>
    <row r="57" spans="8:15" x14ac:dyDescent="0.15">
      <c r="I57" s="24" t="s">
        <v>117</v>
      </c>
      <c r="M57" s="26" t="s">
        <v>129</v>
      </c>
    </row>
    <row r="58" spans="8:15" x14ac:dyDescent="0.15">
      <c r="I58" s="24" t="s">
        <v>118</v>
      </c>
      <c r="M58" s="26" t="s">
        <v>129</v>
      </c>
    </row>
    <row r="59" spans="8:15" x14ac:dyDescent="0.15">
      <c r="I59" s="24" t="s">
        <v>119</v>
      </c>
      <c r="M59" s="26" t="s">
        <v>129</v>
      </c>
    </row>
    <row r="60" spans="8:15" x14ac:dyDescent="0.15">
      <c r="I60" s="24" t="s">
        <v>120</v>
      </c>
      <c r="M60" s="26" t="s">
        <v>129</v>
      </c>
    </row>
    <row r="61" spans="8:15" x14ac:dyDescent="0.15">
      <c r="I61" s="24" t="s">
        <v>121</v>
      </c>
      <c r="M61" s="26" t="s">
        <v>129</v>
      </c>
    </row>
    <row r="62" spans="8:15" x14ac:dyDescent="0.15">
      <c r="N62" s="26" t="s">
        <v>129</v>
      </c>
    </row>
    <row r="63" spans="8:15" x14ac:dyDescent="0.15">
      <c r="H63" s="22" t="s">
        <v>145</v>
      </c>
      <c r="O63" s="26" t="s">
        <v>129</v>
      </c>
    </row>
    <row r="65" spans="8:15" x14ac:dyDescent="0.15">
      <c r="H65" s="22" t="s">
        <v>144</v>
      </c>
      <c r="O65" s="26" t="s">
        <v>129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6"/>
  <sheetViews>
    <sheetView showGridLines="0" zoomScaleNormal="100" workbookViewId="0">
      <selection activeCell="V32" sqref="V32"/>
    </sheetView>
  </sheetViews>
  <sheetFormatPr defaultColWidth="9" defaultRowHeight="10.5" x14ac:dyDescent="0.15"/>
  <cols>
    <col min="1" max="1" width="4.625" style="29" customWidth="1"/>
    <col min="2" max="2" width="24" style="29" customWidth="1"/>
    <col min="3" max="5" width="9" style="29"/>
    <col min="6" max="6" width="2.25" style="29" customWidth="1"/>
    <col min="7" max="7" width="47.25" style="29" customWidth="1"/>
    <col min="8" max="8" width="11" style="29" customWidth="1"/>
    <col min="9" max="16384" width="9" style="29"/>
  </cols>
  <sheetData>
    <row r="1" spans="1:8" ht="14.25" x14ac:dyDescent="0.25">
      <c r="A1" s="23" t="s">
        <v>88</v>
      </c>
    </row>
    <row r="2" spans="1:8" ht="14.25" x14ac:dyDescent="0.25">
      <c r="A2" s="23" t="s">
        <v>305</v>
      </c>
    </row>
    <row r="3" spans="1:8" x14ac:dyDescent="0.15">
      <c r="A3" s="29" t="s">
        <v>271</v>
      </c>
    </row>
    <row r="6" spans="1:8" ht="14.25" x14ac:dyDescent="0.25">
      <c r="F6" s="23" t="s">
        <v>292</v>
      </c>
    </row>
    <row r="7" spans="1:8" x14ac:dyDescent="0.15">
      <c r="A7" s="29" t="s">
        <v>286</v>
      </c>
      <c r="C7" s="30"/>
      <c r="D7" s="30" t="s">
        <v>276</v>
      </c>
    </row>
    <row r="8" spans="1:8" x14ac:dyDescent="0.15">
      <c r="A8" s="29" t="s">
        <v>275</v>
      </c>
      <c r="C8" s="30"/>
      <c r="D8" s="30"/>
      <c r="F8" s="22" t="s">
        <v>89</v>
      </c>
    </row>
    <row r="9" spans="1:8" x14ac:dyDescent="0.15">
      <c r="B9" s="39" t="s">
        <v>272</v>
      </c>
      <c r="C9" s="30" t="s">
        <v>276</v>
      </c>
      <c r="D9" s="30"/>
      <c r="F9" s="22"/>
      <c r="G9" s="29" t="s">
        <v>90</v>
      </c>
      <c r="H9" s="33" t="s">
        <v>302</v>
      </c>
    </row>
    <row r="10" spans="1:8" x14ac:dyDescent="0.15">
      <c r="B10" s="39" t="s">
        <v>273</v>
      </c>
      <c r="C10" s="30" t="s">
        <v>276</v>
      </c>
      <c r="D10" s="30"/>
      <c r="F10" s="22"/>
      <c r="G10" s="29" t="s">
        <v>287</v>
      </c>
      <c r="H10" s="33" t="s">
        <v>302</v>
      </c>
    </row>
    <row r="11" spans="1:8" x14ac:dyDescent="0.15">
      <c r="B11" s="39" t="s">
        <v>77</v>
      </c>
      <c r="C11" s="30" t="s">
        <v>276</v>
      </c>
      <c r="D11" s="30"/>
      <c r="F11" s="22"/>
      <c r="G11" s="29" t="s">
        <v>54</v>
      </c>
      <c r="H11" s="33" t="s">
        <v>302</v>
      </c>
    </row>
    <row r="12" spans="1:8" x14ac:dyDescent="0.15">
      <c r="B12" s="39" t="s">
        <v>274</v>
      </c>
      <c r="C12" s="31" t="s">
        <v>277</v>
      </c>
      <c r="D12" s="30"/>
      <c r="F12" s="22"/>
      <c r="G12" s="46" t="s">
        <v>360</v>
      </c>
      <c r="H12" s="37" t="s">
        <v>302</v>
      </c>
    </row>
    <row r="13" spans="1:8" x14ac:dyDescent="0.15">
      <c r="A13" s="29" t="s">
        <v>165</v>
      </c>
      <c r="C13" s="30"/>
      <c r="D13" s="32" t="s">
        <v>277</v>
      </c>
      <c r="F13" s="22"/>
      <c r="H13" s="34"/>
    </row>
    <row r="14" spans="1:8" x14ac:dyDescent="0.15">
      <c r="A14" s="29" t="s">
        <v>285</v>
      </c>
      <c r="C14" s="30"/>
      <c r="D14" s="30" t="s">
        <v>276</v>
      </c>
      <c r="F14" s="22" t="s">
        <v>288</v>
      </c>
      <c r="H14" s="34"/>
    </row>
    <row r="15" spans="1:8" x14ac:dyDescent="0.15">
      <c r="A15" s="29" t="s">
        <v>278</v>
      </c>
      <c r="C15" s="30"/>
      <c r="D15" s="30"/>
      <c r="F15" s="22"/>
      <c r="G15" s="29" t="s">
        <v>176</v>
      </c>
      <c r="H15" s="33" t="s">
        <v>302</v>
      </c>
    </row>
    <row r="16" spans="1:8" x14ac:dyDescent="0.15">
      <c r="B16" s="39" t="s">
        <v>279</v>
      </c>
      <c r="C16" s="30" t="s">
        <v>276</v>
      </c>
      <c r="D16" s="30"/>
      <c r="F16" s="22"/>
      <c r="G16" s="29" t="s">
        <v>289</v>
      </c>
      <c r="H16" s="34" t="s">
        <v>301</v>
      </c>
    </row>
    <row r="17" spans="1:8" x14ac:dyDescent="0.15">
      <c r="B17" s="39" t="s">
        <v>280</v>
      </c>
      <c r="C17" s="30" t="s">
        <v>276</v>
      </c>
      <c r="F17" s="22"/>
      <c r="G17" s="40" t="s">
        <v>361</v>
      </c>
      <c r="H17" s="34" t="s">
        <v>301</v>
      </c>
    </row>
    <row r="18" spans="1:8" x14ac:dyDescent="0.15">
      <c r="A18" s="29" t="s">
        <v>281</v>
      </c>
      <c r="C18" s="30"/>
      <c r="D18" s="32" t="s">
        <v>277</v>
      </c>
      <c r="F18" s="22"/>
      <c r="G18" s="29" t="s">
        <v>290</v>
      </c>
      <c r="H18" s="35" t="s">
        <v>303</v>
      </c>
    </row>
    <row r="19" spans="1:8" x14ac:dyDescent="0.15">
      <c r="A19" s="29" t="s">
        <v>167</v>
      </c>
      <c r="C19" s="30"/>
      <c r="D19" s="30" t="s">
        <v>276</v>
      </c>
      <c r="F19" s="22"/>
      <c r="G19" s="29" t="s">
        <v>294</v>
      </c>
      <c r="H19" s="34" t="s">
        <v>301</v>
      </c>
    </row>
    <row r="20" spans="1:8" x14ac:dyDescent="0.15">
      <c r="A20" s="29" t="s">
        <v>282</v>
      </c>
      <c r="C20" s="30"/>
      <c r="D20" s="32" t="s">
        <v>277</v>
      </c>
      <c r="F20" s="22"/>
      <c r="G20" s="29" t="s">
        <v>101</v>
      </c>
      <c r="H20" s="34" t="s">
        <v>301</v>
      </c>
    </row>
    <row r="21" spans="1:8" x14ac:dyDescent="0.15">
      <c r="A21" s="29" t="s">
        <v>283</v>
      </c>
      <c r="C21" s="30"/>
      <c r="D21" s="30" t="s">
        <v>276</v>
      </c>
      <c r="F21" s="22"/>
      <c r="G21" s="36" t="s">
        <v>300</v>
      </c>
      <c r="H21" s="38" t="s">
        <v>301</v>
      </c>
    </row>
    <row r="22" spans="1:8" x14ac:dyDescent="0.15">
      <c r="A22" s="29" t="s">
        <v>284</v>
      </c>
      <c r="C22" s="30"/>
      <c r="D22" s="32" t="s">
        <v>277</v>
      </c>
      <c r="F22" s="22"/>
      <c r="H22" s="34"/>
    </row>
    <row r="23" spans="1:8" x14ac:dyDescent="0.15">
      <c r="A23" s="29" t="s">
        <v>171</v>
      </c>
      <c r="D23" s="30" t="s">
        <v>276</v>
      </c>
      <c r="F23" s="22" t="s">
        <v>291</v>
      </c>
      <c r="H23" s="34"/>
    </row>
    <row r="24" spans="1:8" x14ac:dyDescent="0.15">
      <c r="F24" s="22"/>
      <c r="G24" s="29" t="s">
        <v>176</v>
      </c>
      <c r="H24" s="33" t="s">
        <v>302</v>
      </c>
    </row>
    <row r="25" spans="1:8" x14ac:dyDescent="0.15">
      <c r="F25" s="22"/>
      <c r="G25" s="29" t="s">
        <v>293</v>
      </c>
      <c r="H25" s="34" t="s">
        <v>301</v>
      </c>
    </row>
    <row r="26" spans="1:8" x14ac:dyDescent="0.15">
      <c r="F26" s="22"/>
      <c r="G26" s="29" t="s">
        <v>295</v>
      </c>
      <c r="H26" s="34" t="s">
        <v>301</v>
      </c>
    </row>
    <row r="27" spans="1:8" x14ac:dyDescent="0.15">
      <c r="F27" s="22"/>
      <c r="G27" s="46" t="s">
        <v>362</v>
      </c>
      <c r="H27" s="38" t="s">
        <v>301</v>
      </c>
    </row>
    <row r="28" spans="1:8" x14ac:dyDescent="0.15">
      <c r="F28" s="22"/>
      <c r="H28" s="34"/>
    </row>
    <row r="29" spans="1:8" x14ac:dyDescent="0.15">
      <c r="F29" s="22" t="s">
        <v>296</v>
      </c>
      <c r="H29" s="34"/>
    </row>
    <row r="30" spans="1:8" x14ac:dyDescent="0.15">
      <c r="G30" s="29" t="s">
        <v>176</v>
      </c>
      <c r="H30" s="33" t="s">
        <v>302</v>
      </c>
    </row>
    <row r="31" spans="1:8" x14ac:dyDescent="0.15">
      <c r="G31" s="40" t="s">
        <v>363</v>
      </c>
      <c r="H31" s="34" t="s">
        <v>301</v>
      </c>
    </row>
    <row r="32" spans="1:8" x14ac:dyDescent="0.15">
      <c r="G32" s="29" t="s">
        <v>297</v>
      </c>
      <c r="H32" s="35" t="s">
        <v>303</v>
      </c>
    </row>
    <row r="33" spans="7:8" x14ac:dyDescent="0.15">
      <c r="G33" s="29" t="s">
        <v>298</v>
      </c>
      <c r="H33" s="34" t="s">
        <v>301</v>
      </c>
    </row>
    <row r="34" spans="7:8" x14ac:dyDescent="0.15">
      <c r="G34" s="29" t="s">
        <v>299</v>
      </c>
      <c r="H34" s="35" t="s">
        <v>303</v>
      </c>
    </row>
    <row r="35" spans="7:8" x14ac:dyDescent="0.15">
      <c r="G35" s="36" t="s">
        <v>304</v>
      </c>
      <c r="H35" s="38" t="s">
        <v>301</v>
      </c>
    </row>
    <row r="36" spans="7:8" x14ac:dyDescent="0.15">
      <c r="H36" s="3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4"/>
  <sheetViews>
    <sheetView showGridLines="0" workbookViewId="0">
      <selection activeCell="V32" sqref="V32"/>
    </sheetView>
  </sheetViews>
  <sheetFormatPr defaultColWidth="9" defaultRowHeight="10.5" x14ac:dyDescent="0.15"/>
  <cols>
    <col min="1" max="1" width="3.25" style="40" customWidth="1"/>
    <col min="2" max="2" width="2.75" style="40" customWidth="1"/>
    <col min="3" max="3" width="34.25" style="40" customWidth="1"/>
    <col min="4" max="4" width="9" style="40"/>
    <col min="5" max="5" width="3" style="40" customWidth="1"/>
    <col min="6" max="6" width="25.5" style="40" customWidth="1"/>
    <col min="7" max="10" width="9" style="40"/>
    <col min="11" max="11" width="22" style="40" customWidth="1"/>
    <col min="12" max="16384" width="9" style="40"/>
  </cols>
  <sheetData>
    <row r="1" spans="1:12" ht="14.25" x14ac:dyDescent="0.25">
      <c r="A1" s="23" t="s">
        <v>88</v>
      </c>
    </row>
    <row r="2" spans="1:12" ht="14.25" x14ac:dyDescent="0.25">
      <c r="A2" s="23" t="s">
        <v>306</v>
      </c>
    </row>
    <row r="5" spans="1:12" x14ac:dyDescent="0.15">
      <c r="A5" s="22" t="s">
        <v>307</v>
      </c>
      <c r="K5" s="22" t="s">
        <v>271</v>
      </c>
    </row>
    <row r="6" spans="1:12" x14ac:dyDescent="0.15">
      <c r="A6" s="40" t="s">
        <v>308</v>
      </c>
    </row>
    <row r="7" spans="1:12" x14ac:dyDescent="0.15">
      <c r="A7" s="40" t="s">
        <v>309</v>
      </c>
      <c r="K7" s="45" t="s">
        <v>355</v>
      </c>
      <c r="L7" s="43" t="s">
        <v>325</v>
      </c>
    </row>
    <row r="8" spans="1:12" x14ac:dyDescent="0.15">
      <c r="A8" s="40" t="s">
        <v>329</v>
      </c>
      <c r="K8" s="45" t="s">
        <v>165</v>
      </c>
      <c r="L8" s="44" t="s">
        <v>327</v>
      </c>
    </row>
    <row r="9" spans="1:12" x14ac:dyDescent="0.15">
      <c r="A9" s="40" t="s">
        <v>330</v>
      </c>
      <c r="K9" s="45" t="s">
        <v>285</v>
      </c>
      <c r="L9" s="43" t="s">
        <v>325</v>
      </c>
    </row>
    <row r="10" spans="1:12" x14ac:dyDescent="0.15">
      <c r="K10" s="45" t="s">
        <v>149</v>
      </c>
      <c r="L10" s="44" t="s">
        <v>327</v>
      </c>
    </row>
    <row r="11" spans="1:12" x14ac:dyDescent="0.15">
      <c r="A11" s="40" t="s">
        <v>311</v>
      </c>
      <c r="K11" s="45" t="s">
        <v>167</v>
      </c>
      <c r="L11" s="43" t="s">
        <v>325</v>
      </c>
    </row>
    <row r="12" spans="1:12" x14ac:dyDescent="0.15">
      <c r="B12" s="40" t="s">
        <v>273</v>
      </c>
      <c r="K12" s="45" t="s">
        <v>356</v>
      </c>
      <c r="L12" s="43" t="s">
        <v>325</v>
      </c>
    </row>
    <row r="13" spans="1:12" x14ac:dyDescent="0.15">
      <c r="C13" s="40" t="s">
        <v>312</v>
      </c>
      <c r="E13" s="22" t="s">
        <v>353</v>
      </c>
      <c r="K13" s="45" t="s">
        <v>357</v>
      </c>
      <c r="L13" s="43" t="s">
        <v>325</v>
      </c>
    </row>
    <row r="14" spans="1:12" x14ac:dyDescent="0.15">
      <c r="C14" s="40" t="s">
        <v>313</v>
      </c>
      <c r="E14" s="40" t="s">
        <v>321</v>
      </c>
      <c r="G14" s="41"/>
      <c r="H14" s="41" t="s">
        <v>325</v>
      </c>
      <c r="K14" s="45" t="s">
        <v>358</v>
      </c>
      <c r="L14" s="44" t="s">
        <v>327</v>
      </c>
    </row>
    <row r="15" spans="1:12" x14ac:dyDescent="0.15">
      <c r="C15" s="40" t="s">
        <v>314</v>
      </c>
      <c r="E15" s="40" t="s">
        <v>322</v>
      </c>
      <c r="G15" s="41"/>
      <c r="H15" s="41"/>
      <c r="K15" s="45" t="s">
        <v>283</v>
      </c>
      <c r="L15" s="43" t="s">
        <v>325</v>
      </c>
    </row>
    <row r="16" spans="1:12" x14ac:dyDescent="0.15">
      <c r="B16" s="40" t="s">
        <v>319</v>
      </c>
      <c r="F16" s="40" t="s">
        <v>310</v>
      </c>
      <c r="G16" s="41" t="s">
        <v>325</v>
      </c>
      <c r="H16" s="41"/>
      <c r="K16" s="45" t="s">
        <v>359</v>
      </c>
      <c r="L16" s="44" t="s">
        <v>327</v>
      </c>
    </row>
    <row r="17" spans="1:12" x14ac:dyDescent="0.15">
      <c r="C17" s="40" t="s">
        <v>332</v>
      </c>
      <c r="F17" s="40" t="s">
        <v>323</v>
      </c>
      <c r="G17" s="41" t="s">
        <v>325</v>
      </c>
      <c r="H17" s="41"/>
      <c r="K17" s="45" t="s">
        <v>171</v>
      </c>
      <c r="L17" s="43" t="s">
        <v>325</v>
      </c>
    </row>
    <row r="18" spans="1:12" x14ac:dyDescent="0.15">
      <c r="C18" s="40" t="s">
        <v>316</v>
      </c>
      <c r="E18" s="40" t="s">
        <v>324</v>
      </c>
      <c r="G18" s="41"/>
      <c r="H18" s="41" t="s">
        <v>325</v>
      </c>
    </row>
    <row r="19" spans="1:12" x14ac:dyDescent="0.15">
      <c r="C19" s="40" t="s">
        <v>315</v>
      </c>
      <c r="E19" s="40" t="s">
        <v>326</v>
      </c>
      <c r="G19" s="41"/>
      <c r="H19" s="42" t="s">
        <v>327</v>
      </c>
    </row>
    <row r="20" spans="1:12" x14ac:dyDescent="0.15">
      <c r="C20" s="40" t="s">
        <v>317</v>
      </c>
      <c r="E20" s="40" t="s">
        <v>328</v>
      </c>
      <c r="G20" s="41"/>
      <c r="H20" s="41" t="s">
        <v>325</v>
      </c>
    </row>
    <row r="21" spans="1:12" x14ac:dyDescent="0.15">
      <c r="C21" s="40" t="s">
        <v>318</v>
      </c>
    </row>
    <row r="22" spans="1:12" x14ac:dyDescent="0.15">
      <c r="C22" s="40" t="s">
        <v>101</v>
      </c>
    </row>
    <row r="24" spans="1:12" x14ac:dyDescent="0.15">
      <c r="A24" s="40" t="s">
        <v>320</v>
      </c>
    </row>
    <row r="25" spans="1:12" x14ac:dyDescent="0.15">
      <c r="B25" s="40" t="s">
        <v>331</v>
      </c>
    </row>
    <row r="26" spans="1:12" x14ac:dyDescent="0.15">
      <c r="C26" s="40" t="s">
        <v>344</v>
      </c>
    </row>
    <row r="27" spans="1:12" x14ac:dyDescent="0.15">
      <c r="C27" s="40" t="s">
        <v>333</v>
      </c>
    </row>
    <row r="28" spans="1:12" x14ac:dyDescent="0.15">
      <c r="C28" s="40" t="s">
        <v>337</v>
      </c>
    </row>
    <row r="29" spans="1:12" x14ac:dyDescent="0.15">
      <c r="C29" s="40" t="s">
        <v>338</v>
      </c>
    </row>
    <row r="30" spans="1:12" x14ac:dyDescent="0.15">
      <c r="C30" s="40" t="s">
        <v>341</v>
      </c>
    </row>
    <row r="31" spans="1:12" x14ac:dyDescent="0.15">
      <c r="C31" s="40" t="s">
        <v>336</v>
      </c>
      <c r="H31" s="41"/>
    </row>
    <row r="32" spans="1:12" x14ac:dyDescent="0.15">
      <c r="C32" s="40" t="s">
        <v>342</v>
      </c>
    </row>
    <row r="33" spans="2:8" x14ac:dyDescent="0.15">
      <c r="C33" s="40" t="s">
        <v>340</v>
      </c>
      <c r="E33" s="22" t="s">
        <v>352</v>
      </c>
    </row>
    <row r="34" spans="2:8" x14ac:dyDescent="0.15">
      <c r="C34" s="40" t="s">
        <v>334</v>
      </c>
      <c r="E34" s="40" t="s">
        <v>354</v>
      </c>
      <c r="G34" s="41" t="s">
        <v>325</v>
      </c>
    </row>
    <row r="35" spans="2:8" x14ac:dyDescent="0.15">
      <c r="C35" s="40" t="s">
        <v>335</v>
      </c>
      <c r="E35" s="40" t="s">
        <v>279</v>
      </c>
      <c r="G35" s="41" t="s">
        <v>325</v>
      </c>
    </row>
    <row r="36" spans="2:8" x14ac:dyDescent="0.15">
      <c r="C36" s="40" t="s">
        <v>339</v>
      </c>
      <c r="E36" s="40" t="s">
        <v>352</v>
      </c>
      <c r="H36" s="41" t="s">
        <v>325</v>
      </c>
    </row>
    <row r="37" spans="2:8" x14ac:dyDescent="0.15">
      <c r="C37" s="40" t="s">
        <v>349</v>
      </c>
    </row>
    <row r="38" spans="2:8" x14ac:dyDescent="0.15">
      <c r="C38" s="40" t="s">
        <v>350</v>
      </c>
    </row>
    <row r="39" spans="2:8" x14ac:dyDescent="0.15">
      <c r="C39" s="40" t="s">
        <v>351</v>
      </c>
    </row>
    <row r="40" spans="2:8" x14ac:dyDescent="0.15">
      <c r="B40" s="40" t="s">
        <v>343</v>
      </c>
    </row>
    <row r="41" spans="2:8" x14ac:dyDescent="0.15">
      <c r="C41" s="40" t="s">
        <v>345</v>
      </c>
    </row>
    <row r="42" spans="2:8" x14ac:dyDescent="0.15">
      <c r="C42" s="40" t="s">
        <v>346</v>
      </c>
    </row>
    <row r="43" spans="2:8" x14ac:dyDescent="0.15">
      <c r="C43" s="40" t="s">
        <v>347</v>
      </c>
    </row>
    <row r="44" spans="2:8" x14ac:dyDescent="0.15">
      <c r="C44" s="40" t="s">
        <v>348</v>
      </c>
    </row>
  </sheetData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showGridLines="0" workbookViewId="0">
      <selection activeCell="I15" sqref="I15"/>
    </sheetView>
  </sheetViews>
  <sheetFormatPr defaultColWidth="9.625" defaultRowHeight="10.5" x14ac:dyDescent="0.25"/>
  <cols>
    <col min="1" max="1" width="3.625" style="53" customWidth="1"/>
    <col min="2" max="2" width="18.5" style="53" customWidth="1"/>
    <col min="3" max="3" width="2.625" style="53" customWidth="1"/>
    <col min="4" max="4" width="8" style="53" customWidth="1"/>
    <col min="5" max="5" width="31.625" style="53" bestFit="1" customWidth="1"/>
    <col min="6" max="6" width="2.625" style="53" customWidth="1"/>
    <col min="7" max="8" width="9.625" style="53"/>
    <col min="9" max="9" width="24.75" style="52" bestFit="1" customWidth="1"/>
    <col min="10" max="10" width="4.5" style="53" customWidth="1"/>
    <col min="11" max="11" width="30.125" style="53" bestFit="1" customWidth="1"/>
    <col min="12" max="12" width="8.25" style="53" bestFit="1" customWidth="1"/>
    <col min="13" max="13" width="3.625" style="53" bestFit="1" customWidth="1"/>
    <col min="14" max="16384" width="9.625" style="53"/>
  </cols>
  <sheetData>
    <row r="1" spans="1:13" s="49" customFormat="1" ht="14.25" x14ac:dyDescent="0.25">
      <c r="A1" s="47" t="str">
        <f>Assumption!A1</f>
        <v>Bisnis Truk Thermoking</v>
      </c>
      <c r="B1" s="48"/>
      <c r="C1" s="48"/>
      <c r="D1" s="48"/>
      <c r="E1" s="48"/>
      <c r="F1" s="48"/>
      <c r="G1" s="48"/>
      <c r="I1" s="50"/>
    </row>
    <row r="2" spans="1:13" s="49" customFormat="1" ht="14.25" x14ac:dyDescent="0.25">
      <c r="A2" s="47" t="str">
        <f>Assumption!A2</f>
        <v>Financial Pre-Feasibility Study</v>
      </c>
      <c r="B2" s="48"/>
      <c r="C2" s="48"/>
      <c r="D2" s="48"/>
      <c r="E2" s="48"/>
      <c r="F2" s="48"/>
      <c r="G2" s="48"/>
      <c r="I2" s="50"/>
    </row>
    <row r="3" spans="1:13" s="49" customFormat="1" ht="14.25" x14ac:dyDescent="0.15">
      <c r="A3" s="51" t="s">
        <v>206</v>
      </c>
      <c r="B3" s="48"/>
      <c r="C3" s="48"/>
      <c r="D3" s="48"/>
      <c r="E3" s="48"/>
      <c r="F3" s="48"/>
      <c r="G3" s="48"/>
      <c r="I3" s="50"/>
    </row>
    <row r="4" spans="1:13" s="49" customFormat="1" x14ac:dyDescent="0.15">
      <c r="I4" s="50"/>
    </row>
    <row r="6" spans="1:13" ht="20.25" customHeight="1" x14ac:dyDescent="0.25">
      <c r="A6" s="54"/>
      <c r="B6" s="57"/>
      <c r="C6" s="57"/>
      <c r="D6" s="803" t="s">
        <v>221</v>
      </c>
      <c r="E6" s="803"/>
      <c r="F6" s="58"/>
      <c r="G6" s="804" t="s">
        <v>222</v>
      </c>
      <c r="H6" s="804"/>
      <c r="K6" s="57" t="s">
        <v>66</v>
      </c>
    </row>
    <row r="7" spans="1:13" x14ac:dyDescent="0.25">
      <c r="A7" s="52"/>
      <c r="D7" s="59" t="s">
        <v>220</v>
      </c>
      <c r="E7" s="59"/>
      <c r="F7" s="59"/>
      <c r="G7" s="59" t="s">
        <v>53</v>
      </c>
      <c r="H7" s="59" t="s">
        <v>220</v>
      </c>
    </row>
    <row r="8" spans="1:13" x14ac:dyDescent="0.25">
      <c r="A8" s="54" t="s">
        <v>215</v>
      </c>
      <c r="F8" s="59"/>
      <c r="K8" s="53" t="s">
        <v>218</v>
      </c>
      <c r="L8" s="60">
        <f>Assumption!E24</f>
        <v>4500000000</v>
      </c>
      <c r="M8" s="53" t="s">
        <v>53</v>
      </c>
    </row>
    <row r="9" spans="1:13" x14ac:dyDescent="0.25">
      <c r="B9" s="52" t="s">
        <v>90</v>
      </c>
      <c r="D9" s="59" t="s">
        <v>223</v>
      </c>
      <c r="E9" s="53" t="s">
        <v>183</v>
      </c>
      <c r="F9" s="59"/>
      <c r="G9" s="60" t="e">
        <f>#REF!</f>
        <v>#REF!</v>
      </c>
      <c r="H9" s="62" t="e">
        <f>G9/L9</f>
        <v>#REF!</v>
      </c>
      <c r="I9" s="52" t="s">
        <v>234</v>
      </c>
      <c r="K9" s="53" t="s">
        <v>217</v>
      </c>
      <c r="L9" s="60" t="e">
        <f>-1*(IncomeStatement!#REF!+IncomeStatement!#REF!)</f>
        <v>#REF!</v>
      </c>
      <c r="M9" s="53" t="s">
        <v>53</v>
      </c>
    </row>
    <row r="10" spans="1:13" x14ac:dyDescent="0.25">
      <c r="B10" s="52" t="s">
        <v>216</v>
      </c>
      <c r="F10" s="59"/>
      <c r="G10" s="60" t="e">
        <f>#REF!</f>
        <v>#REF!</v>
      </c>
      <c r="H10" s="63"/>
      <c r="I10" s="52" t="s">
        <v>234</v>
      </c>
      <c r="K10" s="53" t="s">
        <v>91</v>
      </c>
      <c r="L10" s="60" t="e">
        <f>#REF!</f>
        <v>#REF!</v>
      </c>
      <c r="M10" s="53" t="s">
        <v>53</v>
      </c>
    </row>
    <row r="11" spans="1:13" x14ac:dyDescent="0.25">
      <c r="B11" s="52" t="s">
        <v>54</v>
      </c>
      <c r="D11" s="64" t="s">
        <v>182</v>
      </c>
      <c r="E11" s="53" t="s">
        <v>183</v>
      </c>
      <c r="F11" s="59"/>
      <c r="G11" s="60" t="e">
        <f>#REF!</f>
        <v>#REF!</v>
      </c>
      <c r="H11" s="62" t="e">
        <f>G11/L9</f>
        <v>#REF!</v>
      </c>
      <c r="I11" s="52" t="s">
        <v>234</v>
      </c>
      <c r="K11" s="53" t="s">
        <v>219</v>
      </c>
      <c r="L11" s="60" t="e">
        <f>#REF!+#REF!+#REF!</f>
        <v>#REF!</v>
      </c>
      <c r="M11" s="53" t="s">
        <v>53</v>
      </c>
    </row>
    <row r="12" spans="1:13" x14ac:dyDescent="0.25">
      <c r="B12" s="52" t="s">
        <v>73</v>
      </c>
      <c r="F12" s="59"/>
      <c r="G12" s="60" t="e">
        <f>#REF!</f>
        <v>#REF!</v>
      </c>
      <c r="H12" s="63"/>
      <c r="I12" s="52" t="s">
        <v>234</v>
      </c>
      <c r="K12" s="53" t="s">
        <v>100</v>
      </c>
      <c r="L12" s="60" t="e">
        <f>#REF!</f>
        <v>#REF!</v>
      </c>
      <c r="M12" s="53" t="s">
        <v>53</v>
      </c>
    </row>
    <row r="13" spans="1:13" x14ac:dyDescent="0.25">
      <c r="A13" s="54" t="s">
        <v>76</v>
      </c>
      <c r="B13" s="52"/>
      <c r="F13" s="59"/>
      <c r="G13" s="60"/>
      <c r="H13" s="63"/>
    </row>
    <row r="14" spans="1:13" x14ac:dyDescent="0.25">
      <c r="B14" s="52" t="s">
        <v>91</v>
      </c>
      <c r="D14" s="59" t="s">
        <v>182</v>
      </c>
      <c r="E14" s="53" t="s">
        <v>183</v>
      </c>
      <c r="F14" s="59"/>
      <c r="G14" s="60" t="e">
        <f>#REF!</f>
        <v>#REF!</v>
      </c>
      <c r="H14" s="61" t="e">
        <f>G14/L9</f>
        <v>#REF!</v>
      </c>
      <c r="I14" s="52" t="s">
        <v>232</v>
      </c>
    </row>
    <row r="15" spans="1:13" x14ac:dyDescent="0.25">
      <c r="B15" s="52" t="s">
        <v>92</v>
      </c>
      <c r="D15" s="64" t="s">
        <v>182</v>
      </c>
      <c r="E15" s="53" t="s">
        <v>158</v>
      </c>
      <c r="F15" s="59"/>
      <c r="G15" s="60" t="e">
        <f>#REF!</f>
        <v>#REF!</v>
      </c>
      <c r="H15" s="62" t="e">
        <f>G15/L10</f>
        <v>#REF!</v>
      </c>
      <c r="I15" s="52" t="s">
        <v>232</v>
      </c>
    </row>
    <row r="16" spans="1:13" x14ac:dyDescent="0.25">
      <c r="B16" s="52" t="s">
        <v>100</v>
      </c>
      <c r="D16" s="65" t="s">
        <v>184</v>
      </c>
      <c r="E16" s="53" t="s">
        <v>156</v>
      </c>
      <c r="F16" s="59"/>
      <c r="G16" s="60" t="e">
        <f>#REF!</f>
        <v>#REF!</v>
      </c>
      <c r="H16" s="63" t="e">
        <f>G16/L8</f>
        <v>#REF!</v>
      </c>
      <c r="I16" s="52" t="s">
        <v>233</v>
      </c>
    </row>
    <row r="17" spans="1:9" x14ac:dyDescent="0.25">
      <c r="B17" s="52" t="s">
        <v>101</v>
      </c>
      <c r="D17" s="65" t="s">
        <v>185</v>
      </c>
      <c r="E17" s="53" t="s">
        <v>157</v>
      </c>
      <c r="F17" s="59"/>
      <c r="G17" s="60" t="e">
        <f>#REF!</f>
        <v>#REF!</v>
      </c>
      <c r="H17" s="62" t="e">
        <f>G17/L12</f>
        <v>#REF!</v>
      </c>
    </row>
    <row r="18" spans="1:9" x14ac:dyDescent="0.25">
      <c r="B18" s="52"/>
      <c r="D18" s="66" t="s">
        <v>186</v>
      </c>
      <c r="E18" s="53" t="s">
        <v>156</v>
      </c>
      <c r="F18" s="59"/>
      <c r="G18" s="60"/>
      <c r="H18" s="61" t="e">
        <f>G17/L8</f>
        <v>#REF!</v>
      </c>
    </row>
    <row r="19" spans="1:9" x14ac:dyDescent="0.25">
      <c r="B19" s="52" t="s">
        <v>102</v>
      </c>
      <c r="D19" s="65" t="s">
        <v>182</v>
      </c>
      <c r="E19" s="53" t="s">
        <v>158</v>
      </c>
      <c r="F19" s="59"/>
      <c r="G19" s="60" t="e">
        <f>#REF!</f>
        <v>#REF!</v>
      </c>
      <c r="H19" s="62" t="e">
        <f>G19/L10</f>
        <v>#REF!</v>
      </c>
      <c r="I19" s="52" t="s">
        <v>228</v>
      </c>
    </row>
    <row r="20" spans="1:9" x14ac:dyDescent="0.25">
      <c r="B20" s="52" t="s">
        <v>63</v>
      </c>
      <c r="D20" s="64"/>
      <c r="F20" s="59"/>
      <c r="G20" s="60"/>
      <c r="H20" s="63"/>
    </row>
    <row r="21" spans="1:9" x14ac:dyDescent="0.25">
      <c r="B21" s="52" t="s">
        <v>124</v>
      </c>
      <c r="D21" s="64" t="s">
        <v>187</v>
      </c>
      <c r="E21" s="53" t="s">
        <v>156</v>
      </c>
      <c r="F21" s="59"/>
      <c r="G21" s="60" t="e">
        <f>#REF!</f>
        <v>#REF!</v>
      </c>
      <c r="H21" s="61" t="e">
        <f>G21/L8</f>
        <v>#REF!</v>
      </c>
    </row>
    <row r="22" spans="1:9" x14ac:dyDescent="0.25">
      <c r="B22" s="52" t="s">
        <v>126</v>
      </c>
      <c r="D22" s="64" t="s">
        <v>188</v>
      </c>
      <c r="E22" s="53" t="s">
        <v>156</v>
      </c>
      <c r="F22" s="59"/>
      <c r="G22" s="60" t="e">
        <f>#REF!</f>
        <v>#REF!</v>
      </c>
      <c r="H22" s="61" t="e">
        <f>G22/L8</f>
        <v>#REF!</v>
      </c>
    </row>
    <row r="23" spans="1:9" x14ac:dyDescent="0.25">
      <c r="B23" s="52" t="s">
        <v>127</v>
      </c>
      <c r="D23" s="64" t="s">
        <v>189</v>
      </c>
      <c r="E23" s="53" t="s">
        <v>156</v>
      </c>
      <c r="F23" s="59"/>
      <c r="G23" s="60" t="e">
        <f>#REF!</f>
        <v>#REF!</v>
      </c>
      <c r="H23" s="61" t="e">
        <f>G23/L8</f>
        <v>#REF!</v>
      </c>
    </row>
    <row r="24" spans="1:9" x14ac:dyDescent="0.25">
      <c r="B24" s="52" t="s">
        <v>226</v>
      </c>
      <c r="D24" s="64" t="s">
        <v>191</v>
      </c>
      <c r="E24" s="53" t="s">
        <v>192</v>
      </c>
      <c r="F24" s="59"/>
      <c r="G24" s="60" t="e">
        <f>#REF!</f>
        <v>#REF!</v>
      </c>
      <c r="H24" s="61" t="e">
        <f>G24/L11</f>
        <v>#REF!</v>
      </c>
      <c r="I24" s="52" t="s">
        <v>231</v>
      </c>
    </row>
    <row r="25" spans="1:9" x14ac:dyDescent="0.25">
      <c r="B25" s="52"/>
      <c r="D25" s="64" t="s">
        <v>193</v>
      </c>
      <c r="E25" s="53" t="s">
        <v>183</v>
      </c>
      <c r="F25" s="59"/>
      <c r="G25" s="60"/>
      <c r="H25" s="61" t="e">
        <f>G24/L9</f>
        <v>#REF!</v>
      </c>
    </row>
    <row r="26" spans="1:9" x14ac:dyDescent="0.25">
      <c r="B26" s="52" t="s">
        <v>225</v>
      </c>
      <c r="D26" s="59" t="s">
        <v>195</v>
      </c>
      <c r="E26" s="53" t="s">
        <v>158</v>
      </c>
      <c r="F26" s="59"/>
      <c r="G26" s="60" t="e">
        <f>#REF!</f>
        <v>#REF!</v>
      </c>
      <c r="H26" s="62" t="e">
        <f>G26/L10</f>
        <v>#REF!</v>
      </c>
      <c r="I26" s="52" t="s">
        <v>227</v>
      </c>
    </row>
    <row r="27" spans="1:9" x14ac:dyDescent="0.25">
      <c r="B27" s="52"/>
      <c r="D27" s="59" t="s">
        <v>196</v>
      </c>
      <c r="E27" s="53" t="s">
        <v>183</v>
      </c>
      <c r="F27" s="59"/>
      <c r="G27" s="60"/>
      <c r="H27" s="61" t="e">
        <f>G26/L9</f>
        <v>#REF!</v>
      </c>
    </row>
    <row r="28" spans="1:9" x14ac:dyDescent="0.25">
      <c r="B28" s="52" t="s">
        <v>224</v>
      </c>
      <c r="D28" s="59" t="s">
        <v>198</v>
      </c>
      <c r="E28" s="53" t="s">
        <v>159</v>
      </c>
      <c r="F28" s="59"/>
      <c r="G28" s="60" t="e">
        <f>#REF!</f>
        <v>#REF!</v>
      </c>
      <c r="H28" s="61" t="e">
        <f>G28/L9</f>
        <v>#REF!</v>
      </c>
      <c r="I28" s="52" t="s">
        <v>229</v>
      </c>
    </row>
    <row r="31" spans="1:9" x14ac:dyDescent="0.25">
      <c r="A31" s="54" t="s">
        <v>66</v>
      </c>
    </row>
    <row r="32" spans="1:9" x14ac:dyDescent="0.25">
      <c r="A32" s="55" t="s">
        <v>190</v>
      </c>
      <c r="B32" s="56" t="s">
        <v>200</v>
      </c>
      <c r="C32" s="56"/>
    </row>
    <row r="33" spans="1:3" x14ac:dyDescent="0.25">
      <c r="A33" s="52"/>
      <c r="B33" s="53" t="s">
        <v>201</v>
      </c>
    </row>
    <row r="34" spans="1:3" x14ac:dyDescent="0.25">
      <c r="A34" s="55" t="s">
        <v>194</v>
      </c>
      <c r="B34" s="53" t="s">
        <v>202</v>
      </c>
    </row>
    <row r="35" spans="1:3" x14ac:dyDescent="0.25">
      <c r="A35" s="55" t="s">
        <v>197</v>
      </c>
      <c r="B35" s="53" t="s">
        <v>203</v>
      </c>
    </row>
    <row r="36" spans="1:3" x14ac:dyDescent="0.25">
      <c r="A36" s="52"/>
      <c r="B36" s="53" t="s">
        <v>204</v>
      </c>
    </row>
    <row r="37" spans="1:3" x14ac:dyDescent="0.25">
      <c r="A37" s="52"/>
      <c r="B37" s="53" t="s">
        <v>205</v>
      </c>
    </row>
    <row r="38" spans="1:3" x14ac:dyDescent="0.25">
      <c r="A38" s="55" t="s">
        <v>199</v>
      </c>
      <c r="B38" s="55" t="s">
        <v>207</v>
      </c>
      <c r="C38" s="55"/>
    </row>
    <row r="39" spans="1:3" x14ac:dyDescent="0.25">
      <c r="A39" s="52"/>
      <c r="B39" s="55" t="s">
        <v>212</v>
      </c>
      <c r="C39" s="55"/>
    </row>
    <row r="40" spans="1:3" x14ac:dyDescent="0.25">
      <c r="A40" s="55" t="s">
        <v>213</v>
      </c>
      <c r="B40" s="55" t="s">
        <v>208</v>
      </c>
      <c r="C40" s="55"/>
    </row>
    <row r="41" spans="1:3" x14ac:dyDescent="0.25">
      <c r="A41" s="52"/>
      <c r="B41" s="55" t="s">
        <v>209</v>
      </c>
      <c r="C41" s="55"/>
    </row>
    <row r="42" spans="1:3" x14ac:dyDescent="0.25">
      <c r="A42" s="55" t="s">
        <v>214</v>
      </c>
      <c r="B42" s="55" t="s">
        <v>210</v>
      </c>
      <c r="C42" s="55"/>
    </row>
    <row r="43" spans="1:3" x14ac:dyDescent="0.25">
      <c r="A43" s="52"/>
      <c r="B43" s="55" t="s">
        <v>211</v>
      </c>
      <c r="C43" s="55"/>
    </row>
    <row r="44" spans="1:3" x14ac:dyDescent="0.25">
      <c r="A44" s="55" t="s">
        <v>230</v>
      </c>
      <c r="B44" s="53" t="s">
        <v>173</v>
      </c>
    </row>
    <row r="45" spans="1:3" x14ac:dyDescent="0.25">
      <c r="A45" s="54"/>
      <c r="B45" s="53" t="s">
        <v>174</v>
      </c>
    </row>
    <row r="46" spans="1:3" x14ac:dyDescent="0.25">
      <c r="A46" s="54"/>
    </row>
    <row r="47" spans="1:3" x14ac:dyDescent="0.25">
      <c r="A47" s="54"/>
    </row>
  </sheetData>
  <mergeCells count="2">
    <mergeCell ref="D6:E6"/>
    <mergeCell ref="G6:H6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AB32"/>
  <sheetViews>
    <sheetView topLeftCell="A2" zoomScale="130" zoomScaleNormal="130" workbookViewId="0">
      <pane xSplit="3" ySplit="3" topLeftCell="L5" activePane="bottomRight" state="frozen"/>
      <selection activeCell="A2" sqref="A2"/>
      <selection pane="topRight" activeCell="D2" sqref="D2"/>
      <selection pane="bottomLeft" activeCell="A5" sqref="A5"/>
      <selection pane="bottomRight" activeCell="C12" sqref="C12"/>
    </sheetView>
  </sheetViews>
  <sheetFormatPr defaultColWidth="11" defaultRowHeight="15.75" x14ac:dyDescent="0.25"/>
  <cols>
    <col min="2" max="2" width="5.75" customWidth="1"/>
    <col min="3" max="3" width="60.75" customWidth="1"/>
    <col min="4" max="14" width="14.25" style="2" customWidth="1"/>
    <col min="15" max="15" width="15" style="2" bestFit="1" customWidth="1"/>
    <col min="16" max="22" width="14.25" customWidth="1"/>
    <col min="23" max="23" width="15.625" customWidth="1"/>
    <col min="24" max="24" width="16" customWidth="1"/>
    <col min="26" max="26" width="34" customWidth="1"/>
    <col min="27" max="27" width="10.75" style="2"/>
  </cols>
  <sheetData>
    <row r="2" spans="2:24" x14ac:dyDescent="0.25">
      <c r="B2" t="s">
        <v>0</v>
      </c>
    </row>
    <row r="4" spans="2:24" x14ac:dyDescent="0.25">
      <c r="B4" s="3" t="s">
        <v>1</v>
      </c>
      <c r="C4" s="4" t="s">
        <v>2</v>
      </c>
      <c r="D4" s="5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7" t="s">
        <v>21</v>
      </c>
      <c r="W4" s="7" t="s">
        <v>22</v>
      </c>
      <c r="X4" s="8" t="s">
        <v>23</v>
      </c>
    </row>
    <row r="5" spans="2:24" x14ac:dyDescent="0.25">
      <c r="B5" s="9">
        <v>1</v>
      </c>
      <c r="C5" t="s">
        <v>24</v>
      </c>
      <c r="D5" s="10">
        <v>1000000000</v>
      </c>
      <c r="X5" s="11">
        <f>SUM(D5:W5)</f>
        <v>1000000000</v>
      </c>
    </row>
    <row r="6" spans="2:24" x14ac:dyDescent="0.25">
      <c r="B6" s="9">
        <f>+B5+1</f>
        <v>2</v>
      </c>
      <c r="C6" t="s">
        <v>25</v>
      </c>
      <c r="E6" s="12">
        <v>150000000</v>
      </c>
      <c r="F6" s="12">
        <v>150000000</v>
      </c>
      <c r="G6" s="12">
        <v>150000000</v>
      </c>
      <c r="H6" s="12">
        <v>150000000</v>
      </c>
      <c r="I6" s="12">
        <v>150000000</v>
      </c>
      <c r="J6" s="12">
        <v>150000000</v>
      </c>
      <c r="K6" s="12">
        <v>150000000</v>
      </c>
      <c r="L6" s="12">
        <v>150000000</v>
      </c>
      <c r="M6" s="12">
        <v>150000000</v>
      </c>
      <c r="N6" s="12">
        <v>150000000</v>
      </c>
      <c r="O6" s="12">
        <v>150000000</v>
      </c>
      <c r="P6" s="12">
        <v>150000000</v>
      </c>
      <c r="Q6" s="12">
        <v>150000000</v>
      </c>
      <c r="R6" s="12">
        <v>150000000</v>
      </c>
      <c r="S6" s="12">
        <v>150000000</v>
      </c>
      <c r="T6" s="12">
        <v>150000000</v>
      </c>
      <c r="U6" s="12">
        <v>150000000</v>
      </c>
      <c r="V6" s="12">
        <v>150000000</v>
      </c>
      <c r="W6" s="12">
        <v>150000000</v>
      </c>
      <c r="X6" s="11">
        <f t="shared" ref="X6:X21" si="0">SUM(D6:W6)</f>
        <v>2850000000</v>
      </c>
    </row>
    <row r="7" spans="2:24" x14ac:dyDescent="0.25">
      <c r="B7" s="9">
        <f t="shared" ref="B7:B14" si="1">+B6+1</f>
        <v>3</v>
      </c>
      <c r="C7" t="s">
        <v>26</v>
      </c>
      <c r="E7" s="13">
        <v>50000000</v>
      </c>
      <c r="F7" s="13">
        <v>50000000</v>
      </c>
      <c r="G7" s="13">
        <v>50000000</v>
      </c>
      <c r="H7" s="13">
        <v>50000000</v>
      </c>
      <c r="I7" s="13">
        <v>50000000</v>
      </c>
      <c r="J7" s="13">
        <v>50000000</v>
      </c>
      <c r="K7" s="13">
        <v>50000000</v>
      </c>
      <c r="L7" s="13">
        <v>50000000</v>
      </c>
      <c r="M7" s="2">
        <v>100000000</v>
      </c>
      <c r="N7" s="2">
        <v>100000000</v>
      </c>
      <c r="O7" s="2">
        <v>100000000</v>
      </c>
      <c r="P7" s="2">
        <v>170000000</v>
      </c>
      <c r="Q7" s="2">
        <v>170000000</v>
      </c>
      <c r="R7" s="2">
        <v>170000000</v>
      </c>
      <c r="S7" s="2">
        <v>170000000</v>
      </c>
      <c r="T7" s="2">
        <v>170000000</v>
      </c>
      <c r="U7" s="2">
        <v>170000000</v>
      </c>
      <c r="V7" s="2">
        <v>170000000</v>
      </c>
      <c r="W7" s="2">
        <v>170000000</v>
      </c>
      <c r="X7" s="11">
        <f t="shared" si="0"/>
        <v>2060000000</v>
      </c>
    </row>
    <row r="8" spans="2:24" x14ac:dyDescent="0.25">
      <c r="B8" s="9">
        <f>+B7+1</f>
        <v>4</v>
      </c>
      <c r="C8" t="s">
        <v>27</v>
      </c>
      <c r="E8" s="13"/>
      <c r="F8" s="13"/>
      <c r="G8" s="13"/>
      <c r="H8" s="13"/>
      <c r="I8" s="13">
        <v>20000000</v>
      </c>
      <c r="J8" s="13">
        <v>20000000</v>
      </c>
      <c r="K8" s="13">
        <v>20000000</v>
      </c>
      <c r="L8" s="13">
        <v>20000000</v>
      </c>
      <c r="M8" s="13">
        <v>20000000</v>
      </c>
      <c r="N8" s="13">
        <v>20000000</v>
      </c>
      <c r="O8" s="13">
        <v>20000000</v>
      </c>
      <c r="P8" s="13">
        <v>20000000</v>
      </c>
      <c r="Q8" s="13">
        <v>20000000</v>
      </c>
      <c r="R8" s="13">
        <v>20000000</v>
      </c>
      <c r="S8" s="13">
        <v>20000000</v>
      </c>
      <c r="T8" s="13">
        <v>20000000</v>
      </c>
      <c r="U8" s="13">
        <v>20000000</v>
      </c>
      <c r="V8" s="13">
        <v>20000000</v>
      </c>
      <c r="W8" s="13">
        <v>20000000</v>
      </c>
      <c r="X8" s="11">
        <f t="shared" si="0"/>
        <v>300000000</v>
      </c>
    </row>
    <row r="9" spans="2:24" x14ac:dyDescent="0.25">
      <c r="B9" s="9">
        <f>+B8+1</f>
        <v>5</v>
      </c>
      <c r="C9" t="s">
        <v>28</v>
      </c>
      <c r="E9" s="2">
        <v>626784710</v>
      </c>
      <c r="G9" s="2">
        <v>629346630</v>
      </c>
      <c r="X9" s="11">
        <f t="shared" si="0"/>
        <v>1256131340</v>
      </c>
    </row>
    <row r="10" spans="2:24" x14ac:dyDescent="0.25">
      <c r="B10" s="9">
        <f t="shared" si="1"/>
        <v>6</v>
      </c>
      <c r="C10" t="s">
        <v>29</v>
      </c>
      <c r="E10" s="14">
        <v>400000000</v>
      </c>
      <c r="X10" s="15">
        <f t="shared" si="0"/>
        <v>400000000</v>
      </c>
    </row>
    <row r="11" spans="2:24" x14ac:dyDescent="0.25">
      <c r="B11" s="9">
        <f t="shared" si="1"/>
        <v>7</v>
      </c>
      <c r="C11" t="s">
        <v>30</v>
      </c>
      <c r="O11" s="14">
        <v>250000000</v>
      </c>
      <c r="X11" s="15">
        <f t="shared" si="0"/>
        <v>250000000</v>
      </c>
    </row>
    <row r="12" spans="2:24" x14ac:dyDescent="0.25">
      <c r="B12" s="9">
        <f t="shared" si="1"/>
        <v>8</v>
      </c>
      <c r="C12" t="s">
        <v>31</v>
      </c>
      <c r="P12" s="14">
        <v>467900000</v>
      </c>
      <c r="W12" s="2">
        <f>+P12*9</f>
        <v>4211100000</v>
      </c>
      <c r="X12" s="15">
        <f t="shared" si="0"/>
        <v>4679000000</v>
      </c>
    </row>
    <row r="13" spans="2:24" x14ac:dyDescent="0.25">
      <c r="B13" s="9">
        <f t="shared" si="1"/>
        <v>9</v>
      </c>
      <c r="C13" t="s">
        <v>32</v>
      </c>
      <c r="P13" s="14">
        <v>3000000000</v>
      </c>
      <c r="X13" s="15">
        <f t="shared" si="0"/>
        <v>3000000000</v>
      </c>
    </row>
    <row r="14" spans="2:24" x14ac:dyDescent="0.25">
      <c r="B14" s="9">
        <f t="shared" si="1"/>
        <v>10</v>
      </c>
      <c r="C14" t="s">
        <v>33</v>
      </c>
      <c r="O14" s="10">
        <v>7000000000</v>
      </c>
      <c r="R14" s="2"/>
      <c r="X14" s="15">
        <f t="shared" si="0"/>
        <v>7000000000</v>
      </c>
    </row>
    <row r="15" spans="2:24" x14ac:dyDescent="0.25">
      <c r="B15" s="9">
        <v>11</v>
      </c>
      <c r="C15" t="s">
        <v>34</v>
      </c>
      <c r="M15" s="2">
        <v>91119300</v>
      </c>
      <c r="O15" s="2">
        <v>200000000</v>
      </c>
      <c r="X15" s="11">
        <f t="shared" si="0"/>
        <v>291119300</v>
      </c>
    </row>
    <row r="16" spans="2:24" x14ac:dyDescent="0.25">
      <c r="B16" s="9">
        <v>12</v>
      </c>
      <c r="C16" t="s">
        <v>35</v>
      </c>
      <c r="E16" s="2">
        <v>300000000</v>
      </c>
      <c r="F16" s="2">
        <v>300000000</v>
      </c>
      <c r="G16" s="2">
        <v>300000000</v>
      </c>
      <c r="H16" s="2">
        <v>300000000</v>
      </c>
      <c r="I16" s="2">
        <v>300000000</v>
      </c>
      <c r="J16" s="2">
        <v>300000000</v>
      </c>
      <c r="K16" s="2">
        <v>300000000</v>
      </c>
      <c r="L16" s="2">
        <v>300000000</v>
      </c>
      <c r="M16" s="2">
        <v>300000000</v>
      </c>
      <c r="N16" s="2">
        <v>300000000</v>
      </c>
      <c r="O16" s="2">
        <v>300000000</v>
      </c>
      <c r="P16" s="2">
        <v>300000000</v>
      </c>
      <c r="Q16" s="2">
        <v>300000000</v>
      </c>
      <c r="R16" s="2">
        <v>300000000</v>
      </c>
      <c r="S16" s="2">
        <v>300000000</v>
      </c>
      <c r="T16" s="2">
        <v>300000000</v>
      </c>
      <c r="U16" s="2">
        <v>300000000</v>
      </c>
      <c r="V16" s="2">
        <v>300000000</v>
      </c>
      <c r="W16" s="2">
        <v>300000000</v>
      </c>
      <c r="X16" s="11">
        <f t="shared" si="0"/>
        <v>5700000000</v>
      </c>
    </row>
    <row r="17" spans="2:28" x14ac:dyDescent="0.25">
      <c r="B17" s="9"/>
      <c r="P17" s="2"/>
      <c r="Q17" s="2"/>
      <c r="R17" s="2"/>
      <c r="S17" s="2"/>
      <c r="T17" s="2"/>
      <c r="U17" s="2"/>
      <c r="V17" s="2"/>
      <c r="W17" s="2"/>
      <c r="X17" s="11"/>
    </row>
    <row r="18" spans="2:28" x14ac:dyDescent="0.25">
      <c r="B18" s="9">
        <v>13</v>
      </c>
      <c r="C18" t="s">
        <v>36</v>
      </c>
      <c r="N18" s="14">
        <v>420000000</v>
      </c>
      <c r="Q18" s="14">
        <f>420000000*2</f>
        <v>840000000</v>
      </c>
      <c r="S18" s="14">
        <f>420000000*2</f>
        <v>840000000</v>
      </c>
      <c r="T18" s="14">
        <f>+N18*4</f>
        <v>1680000000</v>
      </c>
      <c r="W18" s="15">
        <f>+N18</f>
        <v>420000000</v>
      </c>
      <c r="X18" s="11">
        <f t="shared" si="0"/>
        <v>4200000000</v>
      </c>
    </row>
    <row r="19" spans="2:28" x14ac:dyDescent="0.25">
      <c r="B19" s="9">
        <v>14</v>
      </c>
      <c r="C19" t="s">
        <v>37</v>
      </c>
      <c r="W19" s="2">
        <v>5000000000</v>
      </c>
      <c r="X19" s="11">
        <f t="shared" si="0"/>
        <v>5000000000</v>
      </c>
    </row>
    <row r="20" spans="2:28" x14ac:dyDescent="0.25">
      <c r="B20" s="9">
        <v>15</v>
      </c>
      <c r="C20" t="s">
        <v>38</v>
      </c>
      <c r="W20" s="2">
        <f>85000000000-X24+14000000000</f>
        <v>61573749360</v>
      </c>
      <c r="X20" s="11">
        <f t="shared" si="0"/>
        <v>61573749360</v>
      </c>
    </row>
    <row r="21" spans="2:28" x14ac:dyDescent="0.25">
      <c r="B21" s="9"/>
      <c r="X21" s="11">
        <f t="shared" si="0"/>
        <v>0</v>
      </c>
    </row>
    <row r="22" spans="2:28" x14ac:dyDescent="0.25">
      <c r="B22" s="16"/>
      <c r="C22" s="17" t="s">
        <v>23</v>
      </c>
      <c r="D22" s="18">
        <f t="shared" ref="D22:X22" si="2">SUM(D5:D21)</f>
        <v>1000000000</v>
      </c>
      <c r="E22" s="18">
        <f t="shared" si="2"/>
        <v>1526784710</v>
      </c>
      <c r="F22" s="18">
        <f t="shared" si="2"/>
        <v>500000000</v>
      </c>
      <c r="G22" s="18">
        <f t="shared" si="2"/>
        <v>1129346630</v>
      </c>
      <c r="H22" s="18">
        <f t="shared" si="2"/>
        <v>500000000</v>
      </c>
      <c r="I22" s="18">
        <f t="shared" si="2"/>
        <v>520000000</v>
      </c>
      <c r="J22" s="18">
        <f t="shared" si="2"/>
        <v>520000000</v>
      </c>
      <c r="K22" s="18">
        <f t="shared" si="2"/>
        <v>520000000</v>
      </c>
      <c r="L22" s="18">
        <f t="shared" si="2"/>
        <v>520000000</v>
      </c>
      <c r="M22" s="18">
        <f t="shared" si="2"/>
        <v>661119300</v>
      </c>
      <c r="N22" s="18">
        <f t="shared" si="2"/>
        <v>990000000</v>
      </c>
      <c r="O22" s="18">
        <f t="shared" si="2"/>
        <v>8020000000</v>
      </c>
      <c r="P22" s="18">
        <f t="shared" si="2"/>
        <v>4107900000</v>
      </c>
      <c r="Q22" s="18">
        <f t="shared" si="2"/>
        <v>1480000000</v>
      </c>
      <c r="R22" s="18">
        <f t="shared" si="2"/>
        <v>640000000</v>
      </c>
      <c r="S22" s="18">
        <f t="shared" si="2"/>
        <v>1480000000</v>
      </c>
      <c r="T22" s="18">
        <f t="shared" si="2"/>
        <v>2320000000</v>
      </c>
      <c r="U22" s="18">
        <f t="shared" si="2"/>
        <v>640000000</v>
      </c>
      <c r="V22" s="18">
        <f t="shared" si="2"/>
        <v>640000000</v>
      </c>
      <c r="W22" s="18">
        <f t="shared" si="2"/>
        <v>71844849360</v>
      </c>
      <c r="X22" s="19">
        <f t="shared" si="2"/>
        <v>99560000000</v>
      </c>
    </row>
    <row r="23" spans="2:28" x14ac:dyDescent="0.25">
      <c r="B23" s="9"/>
    </row>
    <row r="24" spans="2:28" x14ac:dyDescent="0.25">
      <c r="B24" s="9"/>
      <c r="X24" s="11">
        <v>37426250640</v>
      </c>
    </row>
    <row r="25" spans="2:28" x14ac:dyDescent="0.25">
      <c r="Z25" t="s">
        <v>39</v>
      </c>
      <c r="AA25" s="2">
        <v>14500</v>
      </c>
      <c r="AB25" t="s">
        <v>42</v>
      </c>
    </row>
    <row r="26" spans="2:28" x14ac:dyDescent="0.25">
      <c r="Z26" t="s">
        <v>40</v>
      </c>
      <c r="AA26" s="1">
        <v>6.61</v>
      </c>
      <c r="AB26" t="s">
        <v>41</v>
      </c>
    </row>
    <row r="27" spans="2:28" x14ac:dyDescent="0.25">
      <c r="Z27" t="s">
        <v>43</v>
      </c>
      <c r="AA27" s="1">
        <f>+[5]VPC!$O$28</f>
        <v>165.8725230666667</v>
      </c>
      <c r="AB27" t="s">
        <v>51</v>
      </c>
    </row>
    <row r="28" spans="2:28" x14ac:dyDescent="0.25">
      <c r="Z28" t="s">
        <v>44</v>
      </c>
      <c r="AA28" s="2">
        <v>20000</v>
      </c>
      <c r="AB28" s="20" t="s">
        <v>46</v>
      </c>
    </row>
    <row r="29" spans="2:28" x14ac:dyDescent="0.25">
      <c r="Z29" t="s">
        <v>49</v>
      </c>
      <c r="AA29" s="2">
        <v>420</v>
      </c>
      <c r="AB29" s="20" t="s">
        <v>50</v>
      </c>
    </row>
    <row r="30" spans="2:28" x14ac:dyDescent="0.25">
      <c r="Z30" t="s">
        <v>45</v>
      </c>
      <c r="AA30" s="2">
        <v>20000</v>
      </c>
      <c r="AB30" s="20" t="s">
        <v>46</v>
      </c>
    </row>
    <row r="31" spans="2:28" x14ac:dyDescent="0.25">
      <c r="Z31" t="s">
        <v>47</v>
      </c>
      <c r="AA31" s="21">
        <v>0.02</v>
      </c>
      <c r="AB31" s="20" t="s">
        <v>46</v>
      </c>
    </row>
    <row r="32" spans="2:28" x14ac:dyDescent="0.25">
      <c r="Z32" t="s">
        <v>48</v>
      </c>
      <c r="AA32" s="21">
        <v>0.05</v>
      </c>
      <c r="AB32" s="20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C4F1-07E8-4FFF-B839-CFBA20B3D101}">
  <sheetPr>
    <tabColor theme="9" tint="0.39997558519241921"/>
  </sheetPr>
  <dimension ref="A1:AF104"/>
  <sheetViews>
    <sheetView showGridLines="0" zoomScaleNormal="100" workbookViewId="0">
      <pane ySplit="7" topLeftCell="A23" activePane="bottomLeft" state="frozen"/>
      <selection pane="bottomLeft" activeCell="F86" sqref="F86"/>
    </sheetView>
  </sheetViews>
  <sheetFormatPr defaultColWidth="8.75" defaultRowHeight="11.25" x14ac:dyDescent="0.2"/>
  <cols>
    <col min="1" max="1" width="5" style="202" bestFit="1" customWidth="1"/>
    <col min="2" max="2" width="5" style="202" customWidth="1"/>
    <col min="3" max="5" width="6.625" style="223" customWidth="1"/>
    <col min="6" max="6" width="26.875" style="223" bestFit="1" customWidth="1"/>
    <col min="7" max="10" width="6.625" style="223" customWidth="1"/>
    <col min="11" max="11" width="1.625" style="223" customWidth="1"/>
    <col min="12" max="15" width="6.625" style="223" customWidth="1"/>
    <col min="16" max="16" width="1.625" style="223" customWidth="1"/>
    <col min="17" max="20" width="6.625" style="223" customWidth="1"/>
    <col min="21" max="16384" width="8.75" style="202"/>
  </cols>
  <sheetData>
    <row r="1" spans="1:32" x14ac:dyDescent="0.2">
      <c r="A1" s="274" t="str">
        <f>[6]Assumption!A1</f>
        <v>Bisnis Kapal Tangkap Beku</v>
      </c>
    </row>
    <row r="2" spans="1:32" x14ac:dyDescent="0.2">
      <c r="A2" s="274" t="str">
        <f>[6]Assumption!A2</f>
        <v>Financial Pre-Feasibility Study</v>
      </c>
    </row>
    <row r="3" spans="1:32" x14ac:dyDescent="0.2">
      <c r="A3" s="276" t="s">
        <v>722</v>
      </c>
    </row>
    <row r="5" spans="1:32" x14ac:dyDescent="0.2">
      <c r="C5" s="223" t="s">
        <v>1061</v>
      </c>
    </row>
    <row r="6" spans="1:32" s="418" customFormat="1" ht="15.4" customHeight="1" x14ac:dyDescent="0.25">
      <c r="A6" s="418" t="s">
        <v>723</v>
      </c>
      <c r="B6" s="277"/>
      <c r="C6" s="805" t="s">
        <v>724</v>
      </c>
      <c r="D6" s="805"/>
      <c r="E6" s="805"/>
      <c r="F6" s="419"/>
      <c r="G6" s="806" t="s">
        <v>725</v>
      </c>
      <c r="H6" s="806"/>
      <c r="I6" s="806"/>
      <c r="J6" s="806"/>
      <c r="K6" s="433"/>
      <c r="L6" s="807" t="s">
        <v>726</v>
      </c>
      <c r="M6" s="807"/>
      <c r="N6" s="807"/>
      <c r="O6" s="807"/>
      <c r="P6" s="433"/>
      <c r="Q6" s="808" t="s">
        <v>727</v>
      </c>
      <c r="R6" s="808"/>
      <c r="S6" s="808"/>
      <c r="T6" s="808"/>
      <c r="U6" s="307"/>
      <c r="V6" s="307"/>
      <c r="W6" s="307"/>
      <c r="X6" s="307"/>
      <c r="Y6" s="307"/>
      <c r="Z6" s="307"/>
      <c r="AA6" s="307"/>
      <c r="AB6" s="307"/>
      <c r="AC6" s="307"/>
      <c r="AD6" s="307"/>
      <c r="AE6" s="307"/>
      <c r="AF6" s="307"/>
    </row>
    <row r="7" spans="1:32" s="418" customFormat="1" ht="22.9" customHeight="1" x14ac:dyDescent="0.25">
      <c r="B7" s="419"/>
      <c r="C7" s="425" t="s">
        <v>718</v>
      </c>
      <c r="D7" s="425" t="s">
        <v>719</v>
      </c>
      <c r="E7" s="426" t="s">
        <v>721</v>
      </c>
      <c r="F7" s="419" t="s">
        <v>653</v>
      </c>
      <c r="G7" s="427" t="s">
        <v>718</v>
      </c>
      <c r="H7" s="427" t="s">
        <v>719</v>
      </c>
      <c r="I7" s="427" t="s">
        <v>720</v>
      </c>
      <c r="J7" s="428" t="s">
        <v>721</v>
      </c>
      <c r="K7" s="433"/>
      <c r="L7" s="429" t="s">
        <v>718</v>
      </c>
      <c r="M7" s="429" t="s">
        <v>719</v>
      </c>
      <c r="N7" s="429" t="s">
        <v>720</v>
      </c>
      <c r="O7" s="430" t="s">
        <v>721</v>
      </c>
      <c r="P7" s="433"/>
      <c r="Q7" s="431" t="s">
        <v>718</v>
      </c>
      <c r="R7" s="431" t="s">
        <v>719</v>
      </c>
      <c r="S7" s="431" t="s">
        <v>720</v>
      </c>
      <c r="T7" s="432" t="s">
        <v>721</v>
      </c>
      <c r="U7" s="307"/>
      <c r="V7" s="307"/>
      <c r="W7" s="307"/>
      <c r="X7" s="307"/>
      <c r="Y7" s="307"/>
      <c r="Z7" s="307"/>
      <c r="AA7" s="307"/>
      <c r="AB7" s="307"/>
      <c r="AC7" s="307"/>
      <c r="AD7" s="307"/>
      <c r="AE7" s="307"/>
      <c r="AF7" s="307"/>
    </row>
    <row r="8" spans="1:32" x14ac:dyDescent="0.2">
      <c r="A8" s="223">
        <v>1</v>
      </c>
      <c r="B8" s="223"/>
      <c r="C8" s="417">
        <v>0</v>
      </c>
      <c r="D8" s="417">
        <f>C8</f>
        <v>0</v>
      </c>
      <c r="E8" s="417">
        <v>0</v>
      </c>
      <c r="F8" s="223" t="s">
        <v>1062</v>
      </c>
      <c r="G8" s="223">
        <v>8</v>
      </c>
      <c r="H8" s="223">
        <f>G8</f>
        <v>8</v>
      </c>
      <c r="J8" s="223">
        <f>G8</f>
        <v>8</v>
      </c>
      <c r="L8" s="416">
        <v>4</v>
      </c>
      <c r="M8" s="416">
        <f>L8</f>
        <v>4</v>
      </c>
      <c r="N8" s="416"/>
      <c r="O8" s="416"/>
      <c r="Q8" s="417">
        <v>6</v>
      </c>
      <c r="R8" s="417">
        <f>Q8</f>
        <v>6</v>
      </c>
      <c r="S8" s="417"/>
      <c r="T8" s="417"/>
    </row>
    <row r="9" spans="1:32" x14ac:dyDescent="0.2">
      <c r="A9" s="421">
        <v>2</v>
      </c>
      <c r="B9" s="223"/>
      <c r="C9" s="422">
        <v>0</v>
      </c>
      <c r="D9" s="422">
        <f>C9+D8</f>
        <v>0</v>
      </c>
      <c r="E9" s="422">
        <f>E8+C9</f>
        <v>0</v>
      </c>
      <c r="F9" s="223" t="s">
        <v>1062</v>
      </c>
      <c r="G9" s="421">
        <v>8</v>
      </c>
      <c r="H9" s="421">
        <f>G9+H8</f>
        <v>16</v>
      </c>
      <c r="I9" s="421"/>
      <c r="J9" s="421">
        <f>J8+G9</f>
        <v>16</v>
      </c>
      <c r="L9" s="423">
        <v>4</v>
      </c>
      <c r="M9" s="423">
        <f>L9+M8</f>
        <v>8</v>
      </c>
      <c r="N9" s="423"/>
      <c r="O9" s="423"/>
      <c r="Q9" s="422">
        <f>Q8</f>
        <v>6</v>
      </c>
      <c r="R9" s="422">
        <f>Q9+R8</f>
        <v>12</v>
      </c>
      <c r="S9" s="422"/>
      <c r="T9" s="422"/>
    </row>
    <row r="10" spans="1:32" x14ac:dyDescent="0.2">
      <c r="A10" s="421">
        <v>3</v>
      </c>
      <c r="B10" s="223"/>
      <c r="C10" s="422">
        <f t="shared" ref="C10" si="0">C9</f>
        <v>0</v>
      </c>
      <c r="D10" s="422">
        <f t="shared" ref="D10:D73" si="1">C10+D9</f>
        <v>0</v>
      </c>
      <c r="E10" s="422">
        <f t="shared" ref="E10:E73" si="2">E9+C10</f>
        <v>0</v>
      </c>
      <c r="F10" s="223" t="s">
        <v>1062</v>
      </c>
      <c r="G10" s="421">
        <v>8</v>
      </c>
      <c r="H10" s="421">
        <f t="shared" ref="H10:H37" si="3">G10+H9</f>
        <v>24</v>
      </c>
      <c r="I10" s="421">
        <v>20</v>
      </c>
      <c r="J10" s="421">
        <f>H10-I10</f>
        <v>4</v>
      </c>
      <c r="L10" s="423">
        <v>4</v>
      </c>
      <c r="M10" s="423">
        <f t="shared" ref="M10:M37" si="4">L10+M9</f>
        <v>12</v>
      </c>
      <c r="N10" s="423"/>
      <c r="O10" s="423">
        <f>M10-N10</f>
        <v>12</v>
      </c>
      <c r="Q10" s="422">
        <f t="shared" ref="Q10:Q11" si="5">Q9</f>
        <v>6</v>
      </c>
      <c r="R10" s="422">
        <f t="shared" ref="R10:R37" si="6">Q10+R9</f>
        <v>18</v>
      </c>
      <c r="S10" s="422"/>
      <c r="T10" s="422">
        <f>R10-S10</f>
        <v>18</v>
      </c>
    </row>
    <row r="11" spans="1:32" x14ac:dyDescent="0.2">
      <c r="A11" s="421">
        <v>4</v>
      </c>
      <c r="B11" s="223"/>
      <c r="C11" s="422">
        <f>C10</f>
        <v>0</v>
      </c>
      <c r="D11" s="422">
        <f>C11+D10</f>
        <v>0</v>
      </c>
      <c r="E11" s="422">
        <f t="shared" si="2"/>
        <v>0</v>
      </c>
      <c r="F11" s="223" t="s">
        <v>1062</v>
      </c>
      <c r="G11" s="421">
        <v>8</v>
      </c>
      <c r="H11" s="421">
        <f t="shared" si="3"/>
        <v>32</v>
      </c>
      <c r="I11" s="421"/>
      <c r="J11" s="421">
        <f>J10+G11</f>
        <v>12</v>
      </c>
      <c r="L11" s="423">
        <v>4</v>
      </c>
      <c r="M11" s="423">
        <f t="shared" si="4"/>
        <v>16</v>
      </c>
      <c r="N11" s="423"/>
      <c r="O11" s="423">
        <f>O10+L11</f>
        <v>16</v>
      </c>
      <c r="Q11" s="422">
        <f t="shared" si="5"/>
        <v>6</v>
      </c>
      <c r="R11" s="422">
        <f t="shared" si="6"/>
        <v>24</v>
      </c>
      <c r="S11" s="422"/>
      <c r="T11" s="422">
        <f>T10+Q11</f>
        <v>24</v>
      </c>
    </row>
    <row r="12" spans="1:32" x14ac:dyDescent="0.2">
      <c r="A12" s="421">
        <v>5</v>
      </c>
      <c r="B12" s="223"/>
      <c r="C12" s="422">
        <v>0</v>
      </c>
      <c r="D12" s="422">
        <f t="shared" si="1"/>
        <v>0</v>
      </c>
      <c r="E12" s="422">
        <f t="shared" si="2"/>
        <v>0</v>
      </c>
      <c r="F12" s="223" t="s">
        <v>1062</v>
      </c>
      <c r="G12" s="421">
        <v>0</v>
      </c>
      <c r="H12" s="421">
        <f t="shared" si="3"/>
        <v>32</v>
      </c>
      <c r="I12" s="421"/>
      <c r="J12" s="421">
        <f t="shared" ref="J12:J13" si="7">J11+G12</f>
        <v>12</v>
      </c>
      <c r="L12" s="423">
        <v>0</v>
      </c>
      <c r="M12" s="423">
        <f t="shared" si="4"/>
        <v>16</v>
      </c>
      <c r="N12" s="423"/>
      <c r="O12" s="423">
        <f t="shared" ref="O12:O13" si="8">O11+L12</f>
        <v>16</v>
      </c>
      <c r="Q12" s="422">
        <v>0</v>
      </c>
      <c r="R12" s="422">
        <f t="shared" si="6"/>
        <v>24</v>
      </c>
      <c r="S12" s="422">
        <v>20</v>
      </c>
      <c r="T12" s="422">
        <f>T11-S12+Q12</f>
        <v>4</v>
      </c>
    </row>
    <row r="13" spans="1:32" x14ac:dyDescent="0.2">
      <c r="A13" s="421">
        <v>6</v>
      </c>
      <c r="B13" s="223"/>
      <c r="C13" s="422">
        <v>0</v>
      </c>
      <c r="D13" s="422">
        <f t="shared" si="1"/>
        <v>0</v>
      </c>
      <c r="E13" s="422">
        <f t="shared" si="2"/>
        <v>0</v>
      </c>
      <c r="F13" s="223" t="s">
        <v>1062</v>
      </c>
      <c r="G13" s="421">
        <v>8</v>
      </c>
      <c r="H13" s="421">
        <f t="shared" si="3"/>
        <v>40</v>
      </c>
      <c r="I13" s="421"/>
      <c r="J13" s="421">
        <f t="shared" si="7"/>
        <v>20</v>
      </c>
      <c r="L13" s="423">
        <v>4</v>
      </c>
      <c r="M13" s="423">
        <f t="shared" si="4"/>
        <v>20</v>
      </c>
      <c r="N13" s="423"/>
      <c r="O13" s="423">
        <f t="shared" si="8"/>
        <v>20</v>
      </c>
      <c r="Q13" s="422">
        <v>6</v>
      </c>
      <c r="R13" s="422">
        <f t="shared" si="6"/>
        <v>30</v>
      </c>
      <c r="S13" s="422"/>
      <c r="T13" s="422">
        <f>T12+Q13</f>
        <v>10</v>
      </c>
    </row>
    <row r="14" spans="1:32" x14ac:dyDescent="0.2">
      <c r="A14" s="421">
        <v>7</v>
      </c>
      <c r="B14" s="223"/>
      <c r="C14" s="422">
        <v>0</v>
      </c>
      <c r="D14" s="422">
        <f t="shared" si="1"/>
        <v>0</v>
      </c>
      <c r="E14" s="422">
        <f t="shared" si="2"/>
        <v>0</v>
      </c>
      <c r="F14" s="223" t="s">
        <v>1062</v>
      </c>
      <c r="G14" s="421">
        <v>8</v>
      </c>
      <c r="H14" s="421">
        <f t="shared" si="3"/>
        <v>48</v>
      </c>
      <c r="I14" s="421">
        <v>20</v>
      </c>
      <c r="J14" s="421">
        <f>G14</f>
        <v>8</v>
      </c>
      <c r="L14" s="423">
        <v>4</v>
      </c>
      <c r="M14" s="423">
        <f t="shared" si="4"/>
        <v>24</v>
      </c>
      <c r="N14" s="423">
        <v>20</v>
      </c>
      <c r="O14" s="423">
        <f>L14</f>
        <v>4</v>
      </c>
      <c r="Q14" s="422">
        <v>6</v>
      </c>
      <c r="R14" s="422">
        <f t="shared" si="6"/>
        <v>36</v>
      </c>
      <c r="S14" s="422"/>
      <c r="T14" s="422">
        <f t="shared" ref="T14:T15" si="9">T13+Q14</f>
        <v>16</v>
      </c>
    </row>
    <row r="15" spans="1:32" x14ac:dyDescent="0.2">
      <c r="A15" s="421">
        <v>8</v>
      </c>
      <c r="B15" s="223"/>
      <c r="C15" s="422">
        <v>0</v>
      </c>
      <c r="D15" s="422">
        <f t="shared" si="1"/>
        <v>0</v>
      </c>
      <c r="E15" s="422">
        <f t="shared" si="2"/>
        <v>0</v>
      </c>
      <c r="F15" s="223" t="s">
        <v>1062</v>
      </c>
      <c r="G15" s="421">
        <v>8</v>
      </c>
      <c r="H15" s="421">
        <f t="shared" si="3"/>
        <v>56</v>
      </c>
      <c r="I15" s="421"/>
      <c r="J15" s="421">
        <f>J14+G15</f>
        <v>16</v>
      </c>
      <c r="L15" s="423">
        <v>4</v>
      </c>
      <c r="M15" s="423">
        <f t="shared" si="4"/>
        <v>28</v>
      </c>
      <c r="N15" s="423"/>
      <c r="O15" s="423">
        <f>O14+L15</f>
        <v>8</v>
      </c>
      <c r="Q15" s="422">
        <v>6</v>
      </c>
      <c r="R15" s="422">
        <f t="shared" si="6"/>
        <v>42</v>
      </c>
      <c r="S15" s="422"/>
      <c r="T15" s="422">
        <f t="shared" si="9"/>
        <v>22</v>
      </c>
    </row>
    <row r="16" spans="1:32" x14ac:dyDescent="0.2">
      <c r="A16" s="421">
        <v>9</v>
      </c>
      <c r="B16" s="223"/>
      <c r="C16" s="422">
        <v>0</v>
      </c>
      <c r="D16" s="422">
        <f t="shared" si="1"/>
        <v>0</v>
      </c>
      <c r="E16" s="422">
        <f t="shared" si="2"/>
        <v>0</v>
      </c>
      <c r="F16" s="223" t="s">
        <v>1062</v>
      </c>
      <c r="G16" s="421">
        <v>8</v>
      </c>
      <c r="H16" s="421">
        <f t="shared" si="3"/>
        <v>64</v>
      </c>
      <c r="I16" s="421"/>
      <c r="J16" s="421">
        <f>J15+G16</f>
        <v>24</v>
      </c>
      <c r="L16" s="423">
        <v>4</v>
      </c>
      <c r="M16" s="423">
        <f t="shared" si="4"/>
        <v>32</v>
      </c>
      <c r="N16" s="423"/>
      <c r="O16" s="423">
        <f>O15+L16</f>
        <v>12</v>
      </c>
      <c r="Q16" s="422">
        <v>6</v>
      </c>
      <c r="R16" s="422">
        <f t="shared" si="6"/>
        <v>48</v>
      </c>
      <c r="S16" s="422">
        <v>20</v>
      </c>
      <c r="T16" s="422">
        <f>T15-S16+Q16</f>
        <v>8</v>
      </c>
    </row>
    <row r="17" spans="1:23" x14ac:dyDescent="0.2">
      <c r="A17" s="421">
        <v>10</v>
      </c>
      <c r="B17" s="223"/>
      <c r="C17" s="422">
        <v>0</v>
      </c>
      <c r="D17" s="422">
        <f t="shared" si="1"/>
        <v>0</v>
      </c>
      <c r="E17" s="422">
        <f t="shared" si="2"/>
        <v>0</v>
      </c>
      <c r="F17" s="223" t="s">
        <v>1062</v>
      </c>
      <c r="G17" s="421">
        <v>8</v>
      </c>
      <c r="H17" s="421">
        <f t="shared" si="3"/>
        <v>72</v>
      </c>
      <c r="I17" s="421">
        <v>20</v>
      </c>
      <c r="J17" s="421">
        <f>(J16-I17)+G17</f>
        <v>12</v>
      </c>
      <c r="L17" s="423">
        <v>4</v>
      </c>
      <c r="M17" s="423">
        <f t="shared" si="4"/>
        <v>36</v>
      </c>
      <c r="N17" s="423"/>
      <c r="O17" s="423">
        <f>(O16-N17)+L17</f>
        <v>16</v>
      </c>
      <c r="Q17" s="422">
        <v>6</v>
      </c>
      <c r="R17" s="422">
        <f t="shared" si="6"/>
        <v>54</v>
      </c>
      <c r="S17" s="422"/>
      <c r="T17" s="422">
        <f>(T16-S17)+Q17</f>
        <v>14</v>
      </c>
    </row>
    <row r="18" spans="1:23" x14ac:dyDescent="0.2">
      <c r="A18" s="421">
        <v>11</v>
      </c>
      <c r="B18" s="223"/>
      <c r="C18" s="422">
        <v>0</v>
      </c>
      <c r="D18" s="422">
        <f t="shared" si="1"/>
        <v>0</v>
      </c>
      <c r="E18" s="422">
        <f t="shared" si="2"/>
        <v>0</v>
      </c>
      <c r="F18" s="223" t="s">
        <v>1062</v>
      </c>
      <c r="G18" s="421">
        <v>8</v>
      </c>
      <c r="H18" s="421">
        <f t="shared" si="3"/>
        <v>80</v>
      </c>
      <c r="I18" s="421"/>
      <c r="J18" s="421">
        <f>J17+G18</f>
        <v>20</v>
      </c>
      <c r="L18" s="423">
        <v>4</v>
      </c>
      <c r="M18" s="423">
        <f t="shared" si="4"/>
        <v>40</v>
      </c>
      <c r="N18" s="423"/>
      <c r="O18" s="423">
        <f>O17+L18</f>
        <v>20</v>
      </c>
      <c r="Q18" s="422">
        <v>6</v>
      </c>
      <c r="R18" s="422">
        <f t="shared" si="6"/>
        <v>60</v>
      </c>
      <c r="S18" s="422"/>
      <c r="T18" s="422">
        <f>T17+Q18</f>
        <v>20</v>
      </c>
    </row>
    <row r="19" spans="1:23" x14ac:dyDescent="0.2">
      <c r="A19" s="421">
        <v>12</v>
      </c>
      <c r="B19" s="223"/>
      <c r="C19" s="422">
        <v>0</v>
      </c>
      <c r="D19" s="422">
        <f t="shared" si="1"/>
        <v>0</v>
      </c>
      <c r="E19" s="422">
        <f t="shared" si="2"/>
        <v>0</v>
      </c>
      <c r="F19" s="223" t="s">
        <v>1062</v>
      </c>
      <c r="G19" s="421">
        <v>0</v>
      </c>
      <c r="H19" s="421">
        <f t="shared" si="3"/>
        <v>80</v>
      </c>
      <c r="I19" s="421">
        <v>20</v>
      </c>
      <c r="J19" s="421">
        <v>0</v>
      </c>
      <c r="L19" s="423">
        <v>0</v>
      </c>
      <c r="M19" s="423">
        <f t="shared" si="4"/>
        <v>40</v>
      </c>
      <c r="N19" s="423">
        <v>20</v>
      </c>
      <c r="O19" s="423">
        <v>0</v>
      </c>
      <c r="Q19" s="422">
        <v>0</v>
      </c>
      <c r="R19" s="422">
        <f t="shared" si="6"/>
        <v>60</v>
      </c>
      <c r="S19" s="422">
        <v>20</v>
      </c>
      <c r="T19" s="422">
        <v>0</v>
      </c>
    </row>
    <row r="20" spans="1:23" x14ac:dyDescent="0.2">
      <c r="A20" s="421">
        <v>13</v>
      </c>
      <c r="B20" s="223"/>
      <c r="C20" s="422">
        <v>0</v>
      </c>
      <c r="D20" s="422">
        <f t="shared" si="1"/>
        <v>0</v>
      </c>
      <c r="E20" s="422">
        <f t="shared" si="2"/>
        <v>0</v>
      </c>
      <c r="F20" s="223" t="s">
        <v>1062</v>
      </c>
      <c r="G20" s="421">
        <v>8</v>
      </c>
      <c r="H20" s="421">
        <f t="shared" si="3"/>
        <v>88</v>
      </c>
      <c r="I20" s="421"/>
      <c r="J20" s="421">
        <f>G20</f>
        <v>8</v>
      </c>
      <c r="L20" s="423">
        <v>4</v>
      </c>
      <c r="M20" s="423">
        <f t="shared" si="4"/>
        <v>44</v>
      </c>
      <c r="N20" s="423"/>
      <c r="O20" s="423">
        <f>L20</f>
        <v>4</v>
      </c>
      <c r="Q20" s="422">
        <v>6</v>
      </c>
      <c r="R20" s="422">
        <f t="shared" si="6"/>
        <v>66</v>
      </c>
      <c r="S20" s="422"/>
      <c r="T20" s="422">
        <f>Q20</f>
        <v>6</v>
      </c>
    </row>
    <row r="21" spans="1:23" x14ac:dyDescent="0.2">
      <c r="A21" s="421">
        <v>14</v>
      </c>
      <c r="B21" s="223"/>
      <c r="C21" s="422">
        <v>0</v>
      </c>
      <c r="D21" s="422">
        <f t="shared" si="1"/>
        <v>0</v>
      </c>
      <c r="E21" s="422">
        <f t="shared" si="2"/>
        <v>0</v>
      </c>
      <c r="F21" s="223" t="s">
        <v>1062</v>
      </c>
      <c r="G21" s="421">
        <v>8</v>
      </c>
      <c r="H21" s="421">
        <f t="shared" si="3"/>
        <v>96</v>
      </c>
      <c r="I21" s="421"/>
      <c r="J21" s="421">
        <f>J20+G21</f>
        <v>16</v>
      </c>
      <c r="L21" s="423">
        <v>4</v>
      </c>
      <c r="M21" s="423">
        <f t="shared" si="4"/>
        <v>48</v>
      </c>
      <c r="N21" s="423"/>
      <c r="O21" s="423">
        <f>O20+L21</f>
        <v>8</v>
      </c>
      <c r="Q21" s="422">
        <v>6</v>
      </c>
      <c r="R21" s="422">
        <f t="shared" si="6"/>
        <v>72</v>
      </c>
      <c r="S21" s="422"/>
      <c r="T21" s="422">
        <f>T20+Q21</f>
        <v>12</v>
      </c>
    </row>
    <row r="22" spans="1:23" x14ac:dyDescent="0.2">
      <c r="A22" s="421">
        <v>15</v>
      </c>
      <c r="B22" s="223"/>
      <c r="C22" s="422">
        <v>0</v>
      </c>
      <c r="D22" s="422">
        <f t="shared" si="1"/>
        <v>0</v>
      </c>
      <c r="E22" s="422">
        <f t="shared" si="2"/>
        <v>0</v>
      </c>
      <c r="F22" s="223" t="s">
        <v>1062</v>
      </c>
      <c r="G22" s="421">
        <v>8</v>
      </c>
      <c r="H22" s="421">
        <f t="shared" si="3"/>
        <v>104</v>
      </c>
      <c r="I22" s="421"/>
      <c r="J22" s="421">
        <f>J21+G22</f>
        <v>24</v>
      </c>
      <c r="L22" s="423">
        <v>4</v>
      </c>
      <c r="M22" s="423">
        <f t="shared" si="4"/>
        <v>52</v>
      </c>
      <c r="N22" s="423"/>
      <c r="O22" s="423">
        <f>O21+L22</f>
        <v>12</v>
      </c>
      <c r="Q22" s="422">
        <v>6</v>
      </c>
      <c r="R22" s="422">
        <f t="shared" si="6"/>
        <v>78</v>
      </c>
      <c r="S22" s="422"/>
      <c r="T22" s="422">
        <f>T21+Q22</f>
        <v>18</v>
      </c>
    </row>
    <row r="23" spans="1:23" x14ac:dyDescent="0.2">
      <c r="A23" s="421">
        <v>16</v>
      </c>
      <c r="B23" s="223"/>
      <c r="C23" s="422">
        <v>0</v>
      </c>
      <c r="D23" s="422">
        <f t="shared" si="1"/>
        <v>0</v>
      </c>
      <c r="E23" s="422">
        <f t="shared" si="2"/>
        <v>0</v>
      </c>
      <c r="F23" s="223" t="s">
        <v>1063</v>
      </c>
      <c r="G23" s="421">
        <v>8</v>
      </c>
      <c r="H23" s="421">
        <f t="shared" si="3"/>
        <v>112</v>
      </c>
      <c r="I23" s="421">
        <v>20</v>
      </c>
      <c r="J23" s="421">
        <f>(J22-I23)+G23</f>
        <v>12</v>
      </c>
      <c r="L23" s="423">
        <v>4</v>
      </c>
      <c r="M23" s="423">
        <f t="shared" si="4"/>
        <v>56</v>
      </c>
      <c r="N23" s="423"/>
      <c r="O23" s="423">
        <f>(O22-N23)+L23</f>
        <v>16</v>
      </c>
      <c r="Q23" s="422">
        <v>6</v>
      </c>
      <c r="R23" s="422">
        <f t="shared" si="6"/>
        <v>84</v>
      </c>
      <c r="S23" s="422"/>
      <c r="T23" s="422">
        <f>(T22-S23)+Q23</f>
        <v>24</v>
      </c>
    </row>
    <row r="24" spans="1:23" x14ac:dyDescent="0.2">
      <c r="A24" s="421">
        <v>17</v>
      </c>
      <c r="B24" s="223"/>
      <c r="C24" s="422">
        <v>0</v>
      </c>
      <c r="D24" s="422">
        <f t="shared" si="1"/>
        <v>0</v>
      </c>
      <c r="E24" s="422">
        <f t="shared" si="2"/>
        <v>0</v>
      </c>
      <c r="F24" s="223" t="s">
        <v>1063</v>
      </c>
      <c r="G24" s="421">
        <v>8</v>
      </c>
      <c r="H24" s="421">
        <f t="shared" si="3"/>
        <v>120</v>
      </c>
      <c r="I24" s="421"/>
      <c r="J24" s="421">
        <f>J23+G24</f>
        <v>20</v>
      </c>
      <c r="L24" s="423">
        <v>4</v>
      </c>
      <c r="M24" s="423">
        <f t="shared" si="4"/>
        <v>60</v>
      </c>
      <c r="N24" s="423"/>
      <c r="O24" s="423">
        <f>O23+L24</f>
        <v>20</v>
      </c>
      <c r="Q24" s="422">
        <v>6</v>
      </c>
      <c r="R24" s="422">
        <f t="shared" si="6"/>
        <v>90</v>
      </c>
      <c r="S24" s="422">
        <v>20</v>
      </c>
      <c r="T24" s="422">
        <f>T23-S24+Q24</f>
        <v>10</v>
      </c>
    </row>
    <row r="25" spans="1:23" x14ac:dyDescent="0.2">
      <c r="A25" s="421">
        <v>18</v>
      </c>
      <c r="B25" s="223"/>
      <c r="C25" s="422">
        <v>0</v>
      </c>
      <c r="D25" s="422">
        <f t="shared" si="1"/>
        <v>0</v>
      </c>
      <c r="E25" s="422">
        <f t="shared" si="2"/>
        <v>0</v>
      </c>
      <c r="F25" s="223" t="s">
        <v>1063</v>
      </c>
      <c r="G25" s="421">
        <v>8</v>
      </c>
      <c r="H25" s="421">
        <f t="shared" si="3"/>
        <v>128</v>
      </c>
      <c r="I25" s="421">
        <v>20</v>
      </c>
      <c r="J25" s="421">
        <f>G25</f>
        <v>8</v>
      </c>
      <c r="L25" s="423">
        <v>4</v>
      </c>
      <c r="M25" s="423">
        <f t="shared" si="4"/>
        <v>64</v>
      </c>
      <c r="N25" s="423">
        <v>20</v>
      </c>
      <c r="O25" s="423">
        <f>L25</f>
        <v>4</v>
      </c>
      <c r="Q25" s="422">
        <v>6</v>
      </c>
      <c r="R25" s="422">
        <f t="shared" si="6"/>
        <v>96</v>
      </c>
      <c r="S25" s="422"/>
      <c r="T25" s="422">
        <f>T24+Q25</f>
        <v>16</v>
      </c>
    </row>
    <row r="26" spans="1:23" x14ac:dyDescent="0.2">
      <c r="A26" s="421">
        <v>19</v>
      </c>
      <c r="B26" s="223"/>
      <c r="C26" s="422">
        <v>0</v>
      </c>
      <c r="D26" s="422">
        <f t="shared" si="1"/>
        <v>0</v>
      </c>
      <c r="E26" s="422">
        <f t="shared" si="2"/>
        <v>0</v>
      </c>
      <c r="F26" s="223" t="s">
        <v>1063</v>
      </c>
      <c r="G26" s="421">
        <v>0</v>
      </c>
      <c r="H26" s="421">
        <f t="shared" si="3"/>
        <v>128</v>
      </c>
      <c r="I26" s="421"/>
      <c r="J26" s="421">
        <f>J25+G26</f>
        <v>8</v>
      </c>
      <c r="L26" s="423">
        <v>0</v>
      </c>
      <c r="M26" s="423">
        <f t="shared" si="4"/>
        <v>64</v>
      </c>
      <c r="N26" s="423"/>
      <c r="O26" s="423">
        <f>O25+L26</f>
        <v>4</v>
      </c>
      <c r="Q26" s="422">
        <v>0</v>
      </c>
      <c r="R26" s="422">
        <f t="shared" si="6"/>
        <v>96</v>
      </c>
      <c r="S26" s="422"/>
      <c r="T26" s="422">
        <f>T25+Q26</f>
        <v>16</v>
      </c>
    </row>
    <row r="27" spans="1:23" x14ac:dyDescent="0.2">
      <c r="A27" s="421">
        <v>20</v>
      </c>
      <c r="B27" s="223">
        <v>1</v>
      </c>
      <c r="C27" s="422">
        <v>0</v>
      </c>
      <c r="D27" s="422">
        <f t="shared" si="1"/>
        <v>0</v>
      </c>
      <c r="E27" s="422">
        <f t="shared" si="2"/>
        <v>0</v>
      </c>
      <c r="F27" s="223" t="s">
        <v>1064</v>
      </c>
      <c r="G27" s="421">
        <v>8</v>
      </c>
      <c r="H27" s="421">
        <f t="shared" si="3"/>
        <v>136</v>
      </c>
      <c r="I27" s="421"/>
      <c r="J27" s="421">
        <f>J26+G27</f>
        <v>16</v>
      </c>
      <c r="L27" s="423">
        <v>4</v>
      </c>
      <c r="M27" s="423">
        <f t="shared" si="4"/>
        <v>68</v>
      </c>
      <c r="N27" s="423"/>
      <c r="O27" s="423">
        <f>O26+L27</f>
        <v>8</v>
      </c>
      <c r="Q27" s="422">
        <v>6</v>
      </c>
      <c r="R27" s="422">
        <f t="shared" si="6"/>
        <v>102</v>
      </c>
      <c r="S27" s="422"/>
      <c r="T27" s="422">
        <f>T26+Q27</f>
        <v>22</v>
      </c>
      <c r="V27" s="202">
        <v>19</v>
      </c>
      <c r="W27" s="202" t="s">
        <v>1065</v>
      </c>
    </row>
    <row r="28" spans="1:23" x14ac:dyDescent="0.2">
      <c r="A28" s="421">
        <v>21</v>
      </c>
      <c r="B28" s="223">
        <v>2</v>
      </c>
      <c r="C28" s="422">
        <v>5</v>
      </c>
      <c r="D28" s="422">
        <f t="shared" si="1"/>
        <v>5</v>
      </c>
      <c r="E28" s="422">
        <f t="shared" si="2"/>
        <v>5</v>
      </c>
      <c r="F28" s="223" t="s">
        <v>1064</v>
      </c>
      <c r="G28" s="421">
        <v>8</v>
      </c>
      <c r="H28" s="421">
        <f t="shared" si="3"/>
        <v>144</v>
      </c>
      <c r="I28" s="421"/>
      <c r="J28" s="421">
        <f>J27+G28</f>
        <v>24</v>
      </c>
      <c r="L28" s="423">
        <v>4</v>
      </c>
      <c r="M28" s="423">
        <f t="shared" si="4"/>
        <v>72</v>
      </c>
      <c r="N28" s="423"/>
      <c r="O28" s="423">
        <f>O27+L28</f>
        <v>12</v>
      </c>
      <c r="Q28" s="422">
        <v>6</v>
      </c>
      <c r="R28" s="422">
        <f t="shared" si="6"/>
        <v>108</v>
      </c>
      <c r="S28" s="422">
        <v>20</v>
      </c>
      <c r="T28" s="422">
        <f>T27-S28+Q28</f>
        <v>8</v>
      </c>
      <c r="V28" s="202">
        <v>60</v>
      </c>
      <c r="W28" s="202" t="s">
        <v>1066</v>
      </c>
    </row>
    <row r="29" spans="1:23" x14ac:dyDescent="0.2">
      <c r="A29" s="421">
        <v>22</v>
      </c>
      <c r="B29" s="223">
        <v>3</v>
      </c>
      <c r="C29" s="422">
        <v>5</v>
      </c>
      <c r="D29" s="422">
        <f t="shared" si="1"/>
        <v>10</v>
      </c>
      <c r="E29" s="422">
        <f t="shared" si="2"/>
        <v>10</v>
      </c>
      <c r="F29" s="223" t="s">
        <v>1064</v>
      </c>
      <c r="G29" s="421">
        <v>8</v>
      </c>
      <c r="H29" s="421">
        <f t="shared" si="3"/>
        <v>152</v>
      </c>
      <c r="I29" s="421">
        <v>20</v>
      </c>
      <c r="J29" s="421">
        <f>(J28-I29)+G29</f>
        <v>12</v>
      </c>
      <c r="L29" s="423">
        <v>4</v>
      </c>
      <c r="M29" s="423">
        <f t="shared" si="4"/>
        <v>76</v>
      </c>
      <c r="N29" s="423"/>
      <c r="O29" s="423">
        <f>(O28-N29)+L29</f>
        <v>16</v>
      </c>
      <c r="Q29" s="422">
        <v>6</v>
      </c>
      <c r="R29" s="422">
        <f t="shared" si="6"/>
        <v>114</v>
      </c>
      <c r="S29" s="422"/>
      <c r="T29" s="422">
        <f>(T28-S29)+Q29</f>
        <v>14</v>
      </c>
      <c r="V29" s="202">
        <v>11</v>
      </c>
      <c r="W29" s="202" t="s">
        <v>1067</v>
      </c>
    </row>
    <row r="30" spans="1:23" x14ac:dyDescent="0.2">
      <c r="A30" s="421">
        <v>23</v>
      </c>
      <c r="B30" s="223">
        <v>4</v>
      </c>
      <c r="C30" s="422">
        <v>5</v>
      </c>
      <c r="D30" s="422">
        <f t="shared" si="1"/>
        <v>15</v>
      </c>
      <c r="E30" s="422">
        <f t="shared" si="2"/>
        <v>15</v>
      </c>
      <c r="F30" s="223" t="s">
        <v>1064</v>
      </c>
      <c r="G30" s="421">
        <v>8</v>
      </c>
      <c r="H30" s="421">
        <f t="shared" si="3"/>
        <v>160</v>
      </c>
      <c r="I30" s="421"/>
      <c r="J30" s="421">
        <f>J29+G30</f>
        <v>20</v>
      </c>
      <c r="L30" s="423">
        <v>4</v>
      </c>
      <c r="M30" s="423">
        <f t="shared" si="4"/>
        <v>80</v>
      </c>
      <c r="N30" s="423"/>
      <c r="O30" s="423">
        <f>O29+L30</f>
        <v>20</v>
      </c>
      <c r="Q30" s="422">
        <v>6</v>
      </c>
      <c r="R30" s="422">
        <f t="shared" si="6"/>
        <v>120</v>
      </c>
      <c r="S30" s="422"/>
      <c r="T30" s="422">
        <f>T29+Q30</f>
        <v>20</v>
      </c>
      <c r="V30" s="202">
        <f>SUM(V27:V29)</f>
        <v>90</v>
      </c>
    </row>
    <row r="31" spans="1:23" x14ac:dyDescent="0.2">
      <c r="A31" s="421">
        <v>24</v>
      </c>
      <c r="B31" s="223">
        <v>5</v>
      </c>
      <c r="C31" s="422">
        <v>5</v>
      </c>
      <c r="D31" s="422">
        <f t="shared" si="1"/>
        <v>20</v>
      </c>
      <c r="E31" s="422">
        <f t="shared" si="2"/>
        <v>20</v>
      </c>
      <c r="F31" s="223" t="s">
        <v>1064</v>
      </c>
      <c r="G31" s="421">
        <v>8</v>
      </c>
      <c r="H31" s="421">
        <f t="shared" si="3"/>
        <v>168</v>
      </c>
      <c r="I31" s="421">
        <v>20</v>
      </c>
      <c r="J31" s="421">
        <f>G31</f>
        <v>8</v>
      </c>
      <c r="L31" s="423">
        <v>4</v>
      </c>
      <c r="M31" s="423">
        <f t="shared" si="4"/>
        <v>84</v>
      </c>
      <c r="N31" s="423">
        <v>20</v>
      </c>
      <c r="O31" s="423">
        <f>L31</f>
        <v>4</v>
      </c>
      <c r="Q31" s="422">
        <v>6</v>
      </c>
      <c r="R31" s="422">
        <f t="shared" si="6"/>
        <v>126</v>
      </c>
      <c r="S31" s="422">
        <v>20</v>
      </c>
      <c r="T31" s="422">
        <f>Q31</f>
        <v>6</v>
      </c>
    </row>
    <row r="32" spans="1:23" x14ac:dyDescent="0.2">
      <c r="A32" s="421">
        <v>25</v>
      </c>
      <c r="B32" s="223">
        <v>6</v>
      </c>
      <c r="C32" s="422">
        <v>5</v>
      </c>
      <c r="D32" s="422">
        <f t="shared" si="1"/>
        <v>25</v>
      </c>
      <c r="E32" s="422">
        <f t="shared" si="2"/>
        <v>25</v>
      </c>
      <c r="F32" s="223" t="s">
        <v>1064</v>
      </c>
      <c r="G32" s="421">
        <v>8</v>
      </c>
      <c r="H32" s="421">
        <f t="shared" si="3"/>
        <v>176</v>
      </c>
      <c r="I32" s="421"/>
      <c r="J32" s="421">
        <f>J31+G32</f>
        <v>16</v>
      </c>
      <c r="L32" s="423">
        <v>4</v>
      </c>
      <c r="M32" s="423">
        <f t="shared" si="4"/>
        <v>88</v>
      </c>
      <c r="N32" s="423"/>
      <c r="O32" s="423">
        <f>O31+L32</f>
        <v>8</v>
      </c>
      <c r="Q32" s="422">
        <v>6</v>
      </c>
      <c r="R32" s="422">
        <f t="shared" si="6"/>
        <v>132</v>
      </c>
      <c r="S32" s="422"/>
      <c r="T32" s="422">
        <f>T31+Q32</f>
        <v>12</v>
      </c>
    </row>
    <row r="33" spans="1:20" x14ac:dyDescent="0.2">
      <c r="A33" s="421">
        <v>26</v>
      </c>
      <c r="B33" s="223">
        <v>7</v>
      </c>
      <c r="C33" s="422">
        <v>0</v>
      </c>
      <c r="D33" s="422">
        <f t="shared" si="1"/>
        <v>25</v>
      </c>
      <c r="E33" s="422">
        <f t="shared" si="2"/>
        <v>25</v>
      </c>
      <c r="F33" s="223" t="s">
        <v>1064</v>
      </c>
      <c r="G33" s="421">
        <v>0</v>
      </c>
      <c r="H33" s="421">
        <f t="shared" si="3"/>
        <v>176</v>
      </c>
      <c r="I33" s="421"/>
      <c r="J33" s="421">
        <f>J32+G33</f>
        <v>16</v>
      </c>
      <c r="L33" s="423">
        <v>0</v>
      </c>
      <c r="M33" s="423">
        <f t="shared" si="4"/>
        <v>88</v>
      </c>
      <c r="N33" s="423"/>
      <c r="O33" s="423">
        <f>O32+L33</f>
        <v>8</v>
      </c>
      <c r="Q33" s="422">
        <v>0</v>
      </c>
      <c r="R33" s="422">
        <f t="shared" si="6"/>
        <v>132</v>
      </c>
      <c r="S33" s="422"/>
      <c r="T33" s="422">
        <f>T32+Q33</f>
        <v>12</v>
      </c>
    </row>
    <row r="34" spans="1:20" x14ac:dyDescent="0.2">
      <c r="A34" s="421">
        <v>27</v>
      </c>
      <c r="B34" s="223">
        <v>8</v>
      </c>
      <c r="C34" s="422">
        <v>5</v>
      </c>
      <c r="D34" s="422">
        <f t="shared" si="1"/>
        <v>30</v>
      </c>
      <c r="E34" s="422">
        <f t="shared" si="2"/>
        <v>30</v>
      </c>
      <c r="F34" s="223" t="s">
        <v>1064</v>
      </c>
      <c r="G34" s="421">
        <v>8</v>
      </c>
      <c r="H34" s="421">
        <f t="shared" si="3"/>
        <v>184</v>
      </c>
      <c r="I34" s="421"/>
      <c r="J34" s="421">
        <f>J33+G34</f>
        <v>24</v>
      </c>
      <c r="L34" s="423">
        <v>4</v>
      </c>
      <c r="M34" s="423">
        <f t="shared" si="4"/>
        <v>92</v>
      </c>
      <c r="N34" s="423"/>
      <c r="O34" s="423">
        <f>O33+L34</f>
        <v>12</v>
      </c>
      <c r="Q34" s="422">
        <v>6</v>
      </c>
      <c r="R34" s="422">
        <f t="shared" si="6"/>
        <v>138</v>
      </c>
      <c r="S34" s="422"/>
      <c r="T34" s="422">
        <f>T33+Q34</f>
        <v>18</v>
      </c>
    </row>
    <row r="35" spans="1:20" x14ac:dyDescent="0.2">
      <c r="A35" s="421">
        <v>28</v>
      </c>
      <c r="B35" s="223">
        <v>9</v>
      </c>
      <c r="C35" s="422">
        <v>5</v>
      </c>
      <c r="D35" s="422">
        <f t="shared" si="1"/>
        <v>35</v>
      </c>
      <c r="E35" s="422">
        <f t="shared" si="2"/>
        <v>35</v>
      </c>
      <c r="F35" s="223" t="s">
        <v>1064</v>
      </c>
      <c r="G35" s="421">
        <v>8</v>
      </c>
      <c r="H35" s="421">
        <f t="shared" si="3"/>
        <v>192</v>
      </c>
      <c r="I35" s="421">
        <v>20</v>
      </c>
      <c r="J35" s="421">
        <f>J34-I35+G35</f>
        <v>12</v>
      </c>
      <c r="L35" s="423">
        <v>4</v>
      </c>
      <c r="M35" s="423">
        <f t="shared" si="4"/>
        <v>96</v>
      </c>
      <c r="N35" s="423"/>
      <c r="O35" s="423">
        <f>O34-N35+L35</f>
        <v>16</v>
      </c>
      <c r="Q35" s="422">
        <v>6</v>
      </c>
      <c r="R35" s="422">
        <f t="shared" si="6"/>
        <v>144</v>
      </c>
      <c r="S35" s="422"/>
      <c r="T35" s="422">
        <f>T34-S35+Q35</f>
        <v>24</v>
      </c>
    </row>
    <row r="36" spans="1:20" x14ac:dyDescent="0.2">
      <c r="A36" s="421">
        <v>29</v>
      </c>
      <c r="B36" s="223">
        <v>10</v>
      </c>
      <c r="C36" s="422">
        <v>0</v>
      </c>
      <c r="D36" s="422">
        <f t="shared" si="1"/>
        <v>35</v>
      </c>
      <c r="E36" s="422">
        <f t="shared" si="2"/>
        <v>35</v>
      </c>
      <c r="F36" s="223" t="s">
        <v>1064</v>
      </c>
      <c r="G36" s="421">
        <v>0</v>
      </c>
      <c r="H36" s="421">
        <f t="shared" si="3"/>
        <v>192</v>
      </c>
      <c r="I36" s="421"/>
      <c r="J36" s="421">
        <f>J35+G36</f>
        <v>12</v>
      </c>
      <c r="L36" s="423">
        <v>0</v>
      </c>
      <c r="M36" s="423">
        <f t="shared" si="4"/>
        <v>96</v>
      </c>
      <c r="N36" s="423"/>
      <c r="O36" s="423">
        <f>O35+L36</f>
        <v>16</v>
      </c>
      <c r="Q36" s="422">
        <v>0</v>
      </c>
      <c r="R36" s="422">
        <f t="shared" si="6"/>
        <v>144</v>
      </c>
      <c r="S36" s="422">
        <v>20</v>
      </c>
      <c r="T36" s="422">
        <f>T35-S36+Q36</f>
        <v>4</v>
      </c>
    </row>
    <row r="37" spans="1:20" x14ac:dyDescent="0.2">
      <c r="A37" s="421">
        <v>30</v>
      </c>
      <c r="B37" s="223">
        <v>11</v>
      </c>
      <c r="C37" s="422">
        <v>0</v>
      </c>
      <c r="D37" s="422">
        <f t="shared" si="1"/>
        <v>35</v>
      </c>
      <c r="E37" s="422">
        <f t="shared" si="2"/>
        <v>35</v>
      </c>
      <c r="F37" s="223" t="s">
        <v>1064</v>
      </c>
      <c r="G37" s="421">
        <v>0</v>
      </c>
      <c r="H37" s="421">
        <f t="shared" si="3"/>
        <v>192</v>
      </c>
      <c r="I37" s="421">
        <v>20</v>
      </c>
      <c r="J37" s="421">
        <f>G37</f>
        <v>0</v>
      </c>
      <c r="L37" s="423">
        <v>0</v>
      </c>
      <c r="M37" s="423">
        <f t="shared" si="4"/>
        <v>96</v>
      </c>
      <c r="N37" s="423">
        <v>20</v>
      </c>
      <c r="O37" s="423">
        <f>L37</f>
        <v>0</v>
      </c>
      <c r="Q37" s="422">
        <v>0</v>
      </c>
      <c r="R37" s="422">
        <f t="shared" si="6"/>
        <v>144</v>
      </c>
      <c r="S37" s="422"/>
      <c r="T37" s="422">
        <f>T36+Q37</f>
        <v>4</v>
      </c>
    </row>
    <row r="38" spans="1:20" x14ac:dyDescent="0.2">
      <c r="A38" s="421">
        <v>31</v>
      </c>
      <c r="B38" s="223">
        <v>12</v>
      </c>
      <c r="C38" s="422">
        <v>0</v>
      </c>
      <c r="D38" s="422">
        <f t="shared" si="1"/>
        <v>35</v>
      </c>
      <c r="E38" s="422">
        <f t="shared" si="2"/>
        <v>35</v>
      </c>
      <c r="F38" s="223" t="s">
        <v>1064</v>
      </c>
    </row>
    <row r="39" spans="1:20" x14ac:dyDescent="0.2">
      <c r="A39" s="421">
        <v>32</v>
      </c>
      <c r="B39" s="223">
        <v>13</v>
      </c>
      <c r="C39" s="422">
        <v>0</v>
      </c>
      <c r="D39" s="422">
        <f t="shared" si="1"/>
        <v>35</v>
      </c>
      <c r="E39" s="422">
        <f t="shared" si="2"/>
        <v>35</v>
      </c>
      <c r="F39" s="223" t="s">
        <v>1064</v>
      </c>
    </row>
    <row r="40" spans="1:20" x14ac:dyDescent="0.2">
      <c r="A40" s="421">
        <v>33</v>
      </c>
      <c r="B40" s="223">
        <v>14</v>
      </c>
      <c r="C40" s="422">
        <v>0</v>
      </c>
      <c r="D40" s="422">
        <f t="shared" si="1"/>
        <v>35</v>
      </c>
      <c r="E40" s="422">
        <f t="shared" si="2"/>
        <v>35</v>
      </c>
      <c r="F40" s="223" t="s">
        <v>1064</v>
      </c>
    </row>
    <row r="41" spans="1:20" x14ac:dyDescent="0.2">
      <c r="A41" s="421">
        <v>34</v>
      </c>
      <c r="B41" s="223">
        <v>15</v>
      </c>
      <c r="C41" s="422">
        <v>0</v>
      </c>
      <c r="D41" s="422">
        <f t="shared" si="1"/>
        <v>35</v>
      </c>
      <c r="E41" s="422">
        <f t="shared" si="2"/>
        <v>35</v>
      </c>
      <c r="F41" s="223" t="s">
        <v>1064</v>
      </c>
    </row>
    <row r="42" spans="1:20" x14ac:dyDescent="0.2">
      <c r="A42" s="421">
        <v>35</v>
      </c>
      <c r="B42" s="223">
        <v>16</v>
      </c>
      <c r="C42" s="422">
        <v>0</v>
      </c>
      <c r="D42" s="422">
        <f t="shared" si="1"/>
        <v>35</v>
      </c>
      <c r="E42" s="422">
        <f t="shared" si="2"/>
        <v>35</v>
      </c>
      <c r="F42" s="223" t="s">
        <v>1064</v>
      </c>
    </row>
    <row r="43" spans="1:20" x14ac:dyDescent="0.2">
      <c r="A43" s="421">
        <v>36</v>
      </c>
      <c r="B43" s="223">
        <v>17</v>
      </c>
      <c r="C43" s="422">
        <v>0</v>
      </c>
      <c r="D43" s="422">
        <f t="shared" si="1"/>
        <v>35</v>
      </c>
      <c r="E43" s="422">
        <f t="shared" si="2"/>
        <v>35</v>
      </c>
      <c r="F43" s="223" t="s">
        <v>1064</v>
      </c>
    </row>
    <row r="44" spans="1:20" x14ac:dyDescent="0.2">
      <c r="A44" s="421">
        <v>37</v>
      </c>
      <c r="B44" s="223">
        <v>18</v>
      </c>
      <c r="C44" s="422">
        <v>0</v>
      </c>
      <c r="D44" s="422">
        <f t="shared" si="1"/>
        <v>35</v>
      </c>
      <c r="E44" s="422">
        <f t="shared" si="2"/>
        <v>35</v>
      </c>
      <c r="F44" s="223" t="s">
        <v>1064</v>
      </c>
    </row>
    <row r="45" spans="1:20" x14ac:dyDescent="0.2">
      <c r="A45" s="421">
        <v>38</v>
      </c>
      <c r="B45" s="223">
        <v>19</v>
      </c>
      <c r="C45" s="422">
        <v>0</v>
      </c>
      <c r="D45" s="422">
        <f t="shared" si="1"/>
        <v>35</v>
      </c>
      <c r="E45" s="422">
        <f t="shared" si="2"/>
        <v>35</v>
      </c>
      <c r="F45" s="223" t="s">
        <v>1064</v>
      </c>
    </row>
    <row r="46" spans="1:20" x14ac:dyDescent="0.2">
      <c r="A46" s="421">
        <v>39</v>
      </c>
      <c r="B46" s="223">
        <v>20</v>
      </c>
      <c r="C46" s="422">
        <v>0</v>
      </c>
      <c r="D46" s="422">
        <f t="shared" si="1"/>
        <v>35</v>
      </c>
      <c r="E46" s="422">
        <f t="shared" si="2"/>
        <v>35</v>
      </c>
      <c r="F46" s="223" t="s">
        <v>1064</v>
      </c>
    </row>
    <row r="47" spans="1:20" x14ac:dyDescent="0.2">
      <c r="A47" s="421">
        <v>40</v>
      </c>
      <c r="B47" s="223">
        <v>21</v>
      </c>
      <c r="C47" s="422">
        <v>0</v>
      </c>
      <c r="D47" s="422">
        <f t="shared" si="1"/>
        <v>35</v>
      </c>
      <c r="E47" s="422">
        <f t="shared" si="2"/>
        <v>35</v>
      </c>
      <c r="F47" s="223" t="s">
        <v>1064</v>
      </c>
    </row>
    <row r="48" spans="1:20" x14ac:dyDescent="0.2">
      <c r="A48" s="421">
        <v>41</v>
      </c>
      <c r="B48" s="223">
        <v>22</v>
      </c>
      <c r="C48" s="422">
        <v>0</v>
      </c>
      <c r="D48" s="422">
        <f t="shared" si="1"/>
        <v>35</v>
      </c>
      <c r="E48" s="422">
        <f t="shared" si="2"/>
        <v>35</v>
      </c>
      <c r="F48" s="223" t="s">
        <v>1064</v>
      </c>
    </row>
    <row r="49" spans="1:6" x14ac:dyDescent="0.2">
      <c r="A49" s="421">
        <v>42</v>
      </c>
      <c r="B49" s="223">
        <v>23</v>
      </c>
      <c r="C49" s="422">
        <v>0</v>
      </c>
      <c r="D49" s="422">
        <f t="shared" si="1"/>
        <v>35</v>
      </c>
      <c r="E49" s="422">
        <f t="shared" si="2"/>
        <v>35</v>
      </c>
      <c r="F49" s="223" t="s">
        <v>1064</v>
      </c>
    </row>
    <row r="50" spans="1:6" x14ac:dyDescent="0.2">
      <c r="A50" s="421">
        <v>43</v>
      </c>
      <c r="B50" s="223">
        <v>24</v>
      </c>
      <c r="C50" s="422">
        <v>0</v>
      </c>
      <c r="D50" s="422">
        <f t="shared" si="1"/>
        <v>35</v>
      </c>
      <c r="E50" s="422">
        <f t="shared" si="2"/>
        <v>35</v>
      </c>
      <c r="F50" s="223" t="s">
        <v>1064</v>
      </c>
    </row>
    <row r="51" spans="1:6" x14ac:dyDescent="0.2">
      <c r="A51" s="421">
        <v>44</v>
      </c>
      <c r="B51" s="223">
        <v>25</v>
      </c>
      <c r="C51" s="422">
        <v>0</v>
      </c>
      <c r="D51" s="422">
        <f t="shared" si="1"/>
        <v>35</v>
      </c>
      <c r="E51" s="422">
        <f t="shared" si="2"/>
        <v>35</v>
      </c>
      <c r="F51" s="223" t="s">
        <v>1064</v>
      </c>
    </row>
    <row r="52" spans="1:6" x14ac:dyDescent="0.2">
      <c r="A52" s="421">
        <v>45</v>
      </c>
      <c r="B52" s="223">
        <v>26</v>
      </c>
      <c r="C52" s="422">
        <v>0</v>
      </c>
      <c r="D52" s="422">
        <f t="shared" si="1"/>
        <v>35</v>
      </c>
      <c r="E52" s="422">
        <f t="shared" si="2"/>
        <v>35</v>
      </c>
      <c r="F52" s="223" t="s">
        <v>1064</v>
      </c>
    </row>
    <row r="53" spans="1:6" x14ac:dyDescent="0.2">
      <c r="A53" s="421">
        <v>46</v>
      </c>
      <c r="B53" s="223">
        <v>27</v>
      </c>
      <c r="C53" s="422">
        <v>0</v>
      </c>
      <c r="D53" s="422">
        <f t="shared" si="1"/>
        <v>35</v>
      </c>
      <c r="E53" s="422">
        <f t="shared" si="2"/>
        <v>35</v>
      </c>
      <c r="F53" s="223" t="s">
        <v>1064</v>
      </c>
    </row>
    <row r="54" spans="1:6" x14ac:dyDescent="0.2">
      <c r="A54" s="421">
        <v>47</v>
      </c>
      <c r="B54" s="223">
        <v>28</v>
      </c>
      <c r="C54" s="422">
        <v>0</v>
      </c>
      <c r="D54" s="422">
        <f t="shared" si="1"/>
        <v>35</v>
      </c>
      <c r="E54" s="422">
        <f t="shared" si="2"/>
        <v>35</v>
      </c>
      <c r="F54" s="223" t="s">
        <v>1064</v>
      </c>
    </row>
    <row r="55" spans="1:6" x14ac:dyDescent="0.2">
      <c r="A55" s="421">
        <v>48</v>
      </c>
      <c r="B55" s="223">
        <v>29</v>
      </c>
      <c r="C55" s="422">
        <v>0</v>
      </c>
      <c r="D55" s="422">
        <f t="shared" si="1"/>
        <v>35</v>
      </c>
      <c r="E55" s="422">
        <f t="shared" si="2"/>
        <v>35</v>
      </c>
      <c r="F55" s="223" t="s">
        <v>1064</v>
      </c>
    </row>
    <row r="56" spans="1:6" x14ac:dyDescent="0.2">
      <c r="A56" s="421">
        <v>49</v>
      </c>
      <c r="B56" s="223">
        <v>30</v>
      </c>
      <c r="C56" s="422">
        <v>0</v>
      </c>
      <c r="D56" s="422">
        <f t="shared" si="1"/>
        <v>35</v>
      </c>
      <c r="E56" s="422">
        <f t="shared" si="2"/>
        <v>35</v>
      </c>
      <c r="F56" s="223" t="s">
        <v>1064</v>
      </c>
    </row>
    <row r="57" spans="1:6" x14ac:dyDescent="0.2">
      <c r="A57" s="421">
        <v>50</v>
      </c>
      <c r="B57" s="223">
        <v>31</v>
      </c>
      <c r="C57" s="422">
        <v>0</v>
      </c>
      <c r="D57" s="422">
        <f t="shared" si="1"/>
        <v>35</v>
      </c>
      <c r="E57" s="422">
        <f t="shared" si="2"/>
        <v>35</v>
      </c>
      <c r="F57" s="223" t="s">
        <v>1064</v>
      </c>
    </row>
    <row r="58" spans="1:6" x14ac:dyDescent="0.2">
      <c r="A58" s="421">
        <v>51</v>
      </c>
      <c r="B58" s="223">
        <v>32</v>
      </c>
      <c r="C58" s="422">
        <v>0</v>
      </c>
      <c r="D58" s="422">
        <f t="shared" si="1"/>
        <v>35</v>
      </c>
      <c r="E58" s="422">
        <f t="shared" si="2"/>
        <v>35</v>
      </c>
      <c r="F58" s="223" t="s">
        <v>1064</v>
      </c>
    </row>
    <row r="59" spans="1:6" x14ac:dyDescent="0.2">
      <c r="A59" s="421">
        <v>52</v>
      </c>
      <c r="B59" s="223">
        <v>33</v>
      </c>
      <c r="C59" s="422">
        <v>0</v>
      </c>
      <c r="D59" s="422">
        <f t="shared" si="1"/>
        <v>35</v>
      </c>
      <c r="E59" s="422">
        <f t="shared" si="2"/>
        <v>35</v>
      </c>
      <c r="F59" s="223" t="s">
        <v>1064</v>
      </c>
    </row>
    <row r="60" spans="1:6" x14ac:dyDescent="0.2">
      <c r="A60" s="421">
        <v>53</v>
      </c>
      <c r="B60" s="223">
        <v>34</v>
      </c>
      <c r="C60" s="422">
        <v>0</v>
      </c>
      <c r="D60" s="422">
        <f t="shared" si="1"/>
        <v>35</v>
      </c>
      <c r="E60" s="422">
        <f t="shared" si="2"/>
        <v>35</v>
      </c>
      <c r="F60" s="223" t="s">
        <v>1064</v>
      </c>
    </row>
    <row r="61" spans="1:6" x14ac:dyDescent="0.2">
      <c r="A61" s="421">
        <v>54</v>
      </c>
      <c r="B61" s="223">
        <v>35</v>
      </c>
      <c r="C61" s="422">
        <v>0</v>
      </c>
      <c r="D61" s="422">
        <f t="shared" si="1"/>
        <v>35</v>
      </c>
      <c r="E61" s="422">
        <f t="shared" si="2"/>
        <v>35</v>
      </c>
      <c r="F61" s="223" t="s">
        <v>1064</v>
      </c>
    </row>
    <row r="62" spans="1:6" x14ac:dyDescent="0.2">
      <c r="A62" s="421">
        <v>55</v>
      </c>
      <c r="B62" s="223">
        <v>36</v>
      </c>
      <c r="C62" s="422">
        <v>0</v>
      </c>
      <c r="D62" s="422">
        <f t="shared" si="1"/>
        <v>35</v>
      </c>
      <c r="E62" s="422">
        <f t="shared" si="2"/>
        <v>35</v>
      </c>
      <c r="F62" s="223" t="s">
        <v>1064</v>
      </c>
    </row>
    <row r="63" spans="1:6" x14ac:dyDescent="0.2">
      <c r="A63" s="421">
        <v>56</v>
      </c>
      <c r="B63" s="223">
        <v>37</v>
      </c>
      <c r="C63" s="422">
        <v>0</v>
      </c>
      <c r="D63" s="422">
        <f t="shared" si="1"/>
        <v>35</v>
      </c>
      <c r="E63" s="422">
        <f t="shared" si="2"/>
        <v>35</v>
      </c>
      <c r="F63" s="223" t="s">
        <v>1064</v>
      </c>
    </row>
    <row r="64" spans="1:6" x14ac:dyDescent="0.2">
      <c r="A64" s="421">
        <v>57</v>
      </c>
      <c r="B64" s="223">
        <v>38</v>
      </c>
      <c r="C64" s="422">
        <v>0</v>
      </c>
      <c r="D64" s="422">
        <f t="shared" si="1"/>
        <v>35</v>
      </c>
      <c r="E64" s="422">
        <f t="shared" si="2"/>
        <v>35</v>
      </c>
      <c r="F64" s="223" t="s">
        <v>1064</v>
      </c>
    </row>
    <row r="65" spans="1:20" x14ac:dyDescent="0.2">
      <c r="A65" s="421">
        <v>58</v>
      </c>
      <c r="B65" s="223">
        <v>39</v>
      </c>
      <c r="C65" s="422">
        <v>0</v>
      </c>
      <c r="D65" s="422">
        <f t="shared" si="1"/>
        <v>35</v>
      </c>
      <c r="E65" s="422">
        <f t="shared" si="2"/>
        <v>35</v>
      </c>
      <c r="F65" s="223" t="s">
        <v>1064</v>
      </c>
    </row>
    <row r="66" spans="1:20" x14ac:dyDescent="0.2">
      <c r="A66" s="421">
        <v>59</v>
      </c>
      <c r="B66" s="223">
        <v>40</v>
      </c>
      <c r="C66" s="422">
        <v>0</v>
      </c>
      <c r="D66" s="422">
        <f t="shared" si="1"/>
        <v>35</v>
      </c>
      <c r="E66" s="422">
        <f t="shared" si="2"/>
        <v>35</v>
      </c>
      <c r="F66" s="223" t="s">
        <v>1064</v>
      </c>
    </row>
    <row r="67" spans="1:20" x14ac:dyDescent="0.2">
      <c r="A67" s="421">
        <v>60</v>
      </c>
      <c r="B67" s="223">
        <v>41</v>
      </c>
      <c r="C67" s="422">
        <v>0</v>
      </c>
      <c r="D67" s="422">
        <f t="shared" si="1"/>
        <v>35</v>
      </c>
      <c r="E67" s="422">
        <f t="shared" si="2"/>
        <v>35</v>
      </c>
      <c r="F67" s="223" t="s">
        <v>1064</v>
      </c>
    </row>
    <row r="68" spans="1:20" x14ac:dyDescent="0.2">
      <c r="A68" s="421">
        <v>61</v>
      </c>
      <c r="B68" s="223">
        <v>42</v>
      </c>
      <c r="C68" s="422">
        <v>0</v>
      </c>
      <c r="D68" s="422">
        <f t="shared" si="1"/>
        <v>35</v>
      </c>
      <c r="E68" s="422">
        <f t="shared" si="2"/>
        <v>35</v>
      </c>
      <c r="F68" s="223" t="s">
        <v>1064</v>
      </c>
    </row>
    <row r="69" spans="1:20" x14ac:dyDescent="0.2">
      <c r="A69" s="421">
        <v>62</v>
      </c>
      <c r="B69" s="223">
        <v>43</v>
      </c>
      <c r="C69" s="422">
        <v>0</v>
      </c>
      <c r="D69" s="422">
        <f t="shared" si="1"/>
        <v>35</v>
      </c>
      <c r="E69" s="422">
        <f t="shared" si="2"/>
        <v>35</v>
      </c>
      <c r="F69" s="223" t="s">
        <v>1064</v>
      </c>
    </row>
    <row r="70" spans="1:20" x14ac:dyDescent="0.2">
      <c r="A70" s="421">
        <v>63</v>
      </c>
      <c r="B70" s="223">
        <v>44</v>
      </c>
      <c r="C70" s="422">
        <v>0</v>
      </c>
      <c r="D70" s="422">
        <f t="shared" si="1"/>
        <v>35</v>
      </c>
      <c r="E70" s="422">
        <f t="shared" si="2"/>
        <v>35</v>
      </c>
      <c r="F70" s="223" t="s">
        <v>1064</v>
      </c>
    </row>
    <row r="71" spans="1:20" x14ac:dyDescent="0.2">
      <c r="A71" s="421">
        <v>64</v>
      </c>
      <c r="B71" s="223">
        <v>45</v>
      </c>
      <c r="C71" s="422">
        <v>0</v>
      </c>
      <c r="D71" s="422">
        <f t="shared" si="1"/>
        <v>35</v>
      </c>
      <c r="E71" s="422">
        <f t="shared" si="2"/>
        <v>35</v>
      </c>
      <c r="F71" s="223" t="s">
        <v>1064</v>
      </c>
    </row>
    <row r="72" spans="1:20" x14ac:dyDescent="0.2">
      <c r="A72" s="421">
        <v>65</v>
      </c>
      <c r="B72" s="223">
        <v>46</v>
      </c>
      <c r="C72" s="422">
        <v>0</v>
      </c>
      <c r="D72" s="422">
        <f t="shared" si="1"/>
        <v>35</v>
      </c>
      <c r="E72" s="422">
        <f t="shared" si="2"/>
        <v>35</v>
      </c>
      <c r="F72" s="223" t="s">
        <v>1064</v>
      </c>
    </row>
    <row r="73" spans="1:20" x14ac:dyDescent="0.2">
      <c r="A73" s="421">
        <v>66</v>
      </c>
      <c r="B73" s="223">
        <v>47</v>
      </c>
      <c r="C73" s="422">
        <v>0</v>
      </c>
      <c r="D73" s="422">
        <f t="shared" si="1"/>
        <v>35</v>
      </c>
      <c r="E73" s="422">
        <f t="shared" si="2"/>
        <v>35</v>
      </c>
      <c r="F73" s="223" t="s">
        <v>1064</v>
      </c>
    </row>
    <row r="74" spans="1:20" x14ac:dyDescent="0.2">
      <c r="A74" s="421">
        <v>67</v>
      </c>
      <c r="B74" s="223">
        <v>48</v>
      </c>
      <c r="C74" s="422">
        <v>0</v>
      </c>
      <c r="D74" s="422">
        <f t="shared" ref="D74:D98" si="10">C74+D73</f>
        <v>35</v>
      </c>
      <c r="E74" s="422">
        <f t="shared" ref="E74:E98" si="11">E73+C74</f>
        <v>35</v>
      </c>
      <c r="F74" s="223" t="s">
        <v>1064</v>
      </c>
    </row>
    <row r="75" spans="1:20" x14ac:dyDescent="0.2">
      <c r="A75" s="421">
        <v>68</v>
      </c>
      <c r="B75" s="223">
        <v>49</v>
      </c>
      <c r="C75" s="422">
        <v>0</v>
      </c>
      <c r="D75" s="422">
        <f t="shared" si="10"/>
        <v>35</v>
      </c>
      <c r="E75" s="422">
        <f t="shared" si="11"/>
        <v>35</v>
      </c>
      <c r="F75" s="223" t="s">
        <v>1064</v>
      </c>
    </row>
    <row r="76" spans="1:20" x14ac:dyDescent="0.2">
      <c r="A76" s="421">
        <v>69</v>
      </c>
      <c r="B76" s="223">
        <v>50</v>
      </c>
      <c r="C76" s="422">
        <v>0</v>
      </c>
      <c r="D76" s="422">
        <f t="shared" si="10"/>
        <v>35</v>
      </c>
      <c r="E76" s="422">
        <f t="shared" si="11"/>
        <v>35</v>
      </c>
      <c r="F76" s="223" t="s">
        <v>1064</v>
      </c>
    </row>
    <row r="77" spans="1:20" x14ac:dyDescent="0.2">
      <c r="A77" s="421">
        <v>70</v>
      </c>
      <c r="B77" s="223">
        <v>51</v>
      </c>
      <c r="C77" s="422">
        <v>0</v>
      </c>
      <c r="D77" s="422">
        <f t="shared" si="10"/>
        <v>35</v>
      </c>
      <c r="E77" s="422">
        <f t="shared" si="11"/>
        <v>35</v>
      </c>
      <c r="F77" s="223" t="s">
        <v>1064</v>
      </c>
    </row>
    <row r="78" spans="1:20" x14ac:dyDescent="0.2">
      <c r="A78" s="421">
        <v>71</v>
      </c>
      <c r="B78" s="223">
        <v>52</v>
      </c>
      <c r="C78" s="422">
        <v>0</v>
      </c>
      <c r="D78" s="422">
        <f t="shared" si="10"/>
        <v>35</v>
      </c>
      <c r="E78" s="422">
        <f t="shared" si="11"/>
        <v>35</v>
      </c>
      <c r="F78" s="223" t="s">
        <v>1064</v>
      </c>
    </row>
    <row r="79" spans="1:20" x14ac:dyDescent="0.2">
      <c r="A79" s="421">
        <v>72</v>
      </c>
      <c r="B79" s="223">
        <v>53</v>
      </c>
      <c r="C79" s="422">
        <v>0</v>
      </c>
      <c r="D79" s="422">
        <f t="shared" si="10"/>
        <v>35</v>
      </c>
      <c r="E79" s="422">
        <f t="shared" si="11"/>
        <v>35</v>
      </c>
      <c r="F79" s="223" t="s">
        <v>1064</v>
      </c>
    </row>
    <row r="80" spans="1:20" x14ac:dyDescent="0.2">
      <c r="A80" s="421">
        <v>73</v>
      </c>
      <c r="B80" s="223">
        <v>54</v>
      </c>
      <c r="C80" s="422">
        <v>0</v>
      </c>
      <c r="D80" s="422">
        <f t="shared" si="10"/>
        <v>35</v>
      </c>
      <c r="E80" s="422">
        <f t="shared" si="11"/>
        <v>35</v>
      </c>
      <c r="F80" s="223" t="s">
        <v>1064</v>
      </c>
      <c r="G80" s="436"/>
      <c r="H80" s="436"/>
      <c r="I80" s="436"/>
      <c r="J80" s="436"/>
      <c r="K80" s="436"/>
      <c r="L80" s="436"/>
      <c r="M80" s="436"/>
      <c r="N80" s="436"/>
      <c r="O80" s="436"/>
      <c r="P80" s="436"/>
      <c r="Q80" s="436"/>
      <c r="R80" s="436"/>
      <c r="S80" s="436"/>
      <c r="T80" s="436"/>
    </row>
    <row r="81" spans="1:6" x14ac:dyDescent="0.2">
      <c r="A81" s="421">
        <v>74</v>
      </c>
      <c r="B81" s="223">
        <v>55</v>
      </c>
      <c r="C81" s="422">
        <v>0</v>
      </c>
      <c r="D81" s="422">
        <f t="shared" si="10"/>
        <v>35</v>
      </c>
      <c r="E81" s="422">
        <f t="shared" si="11"/>
        <v>35</v>
      </c>
      <c r="F81" s="223" t="s">
        <v>1064</v>
      </c>
    </row>
    <row r="82" spans="1:6" x14ac:dyDescent="0.2">
      <c r="A82" s="421">
        <v>75</v>
      </c>
      <c r="B82" s="223">
        <v>56</v>
      </c>
      <c r="C82" s="422">
        <v>0</v>
      </c>
      <c r="D82" s="422">
        <f t="shared" si="10"/>
        <v>35</v>
      </c>
      <c r="E82" s="422">
        <f t="shared" si="11"/>
        <v>35</v>
      </c>
      <c r="F82" s="223" t="s">
        <v>1064</v>
      </c>
    </row>
    <row r="83" spans="1:6" x14ac:dyDescent="0.2">
      <c r="A83" s="421">
        <v>76</v>
      </c>
      <c r="B83" s="223">
        <v>57</v>
      </c>
      <c r="C83" s="422">
        <v>0</v>
      </c>
      <c r="D83" s="422">
        <f t="shared" si="10"/>
        <v>35</v>
      </c>
      <c r="E83" s="422">
        <f t="shared" si="11"/>
        <v>35</v>
      </c>
      <c r="F83" s="223" t="s">
        <v>1064</v>
      </c>
    </row>
    <row r="84" spans="1:6" x14ac:dyDescent="0.2">
      <c r="A84" s="421">
        <v>77</v>
      </c>
      <c r="B84" s="223">
        <v>58</v>
      </c>
      <c r="C84" s="422">
        <v>0</v>
      </c>
      <c r="D84" s="422">
        <f t="shared" si="10"/>
        <v>35</v>
      </c>
      <c r="E84" s="422">
        <f t="shared" si="11"/>
        <v>35</v>
      </c>
      <c r="F84" s="223" t="s">
        <v>1064</v>
      </c>
    </row>
    <row r="85" spans="1:6" x14ac:dyDescent="0.2">
      <c r="A85" s="421">
        <v>78</v>
      </c>
      <c r="B85" s="223">
        <v>59</v>
      </c>
      <c r="C85" s="422">
        <v>0</v>
      </c>
      <c r="D85" s="422">
        <f t="shared" si="10"/>
        <v>35</v>
      </c>
      <c r="E85" s="422">
        <f t="shared" si="11"/>
        <v>35</v>
      </c>
      <c r="F85" s="223" t="s">
        <v>1064</v>
      </c>
    </row>
    <row r="86" spans="1:6" x14ac:dyDescent="0.2">
      <c r="A86" s="421">
        <v>79</v>
      </c>
      <c r="B86" s="223">
        <v>60</v>
      </c>
      <c r="C86" s="422">
        <v>0</v>
      </c>
      <c r="D86" s="422">
        <f t="shared" si="10"/>
        <v>35</v>
      </c>
      <c r="E86" s="422">
        <f t="shared" si="11"/>
        <v>35</v>
      </c>
      <c r="F86" s="223" t="s">
        <v>1064</v>
      </c>
    </row>
    <row r="87" spans="1:6" x14ac:dyDescent="0.2">
      <c r="A87" s="421">
        <v>80</v>
      </c>
      <c r="B87" s="223"/>
      <c r="C87" s="422">
        <v>0</v>
      </c>
      <c r="D87" s="422">
        <f t="shared" si="10"/>
        <v>35</v>
      </c>
      <c r="E87" s="422">
        <f t="shared" si="11"/>
        <v>35</v>
      </c>
      <c r="F87" s="223" t="s">
        <v>1068</v>
      </c>
    </row>
    <row r="88" spans="1:6" x14ac:dyDescent="0.2">
      <c r="A88" s="421">
        <v>81</v>
      </c>
      <c r="B88" s="223"/>
      <c r="C88" s="422">
        <v>0</v>
      </c>
      <c r="D88" s="422">
        <f t="shared" si="10"/>
        <v>35</v>
      </c>
      <c r="E88" s="422">
        <f t="shared" si="11"/>
        <v>35</v>
      </c>
      <c r="F88" s="223" t="s">
        <v>1068</v>
      </c>
    </row>
    <row r="89" spans="1:6" x14ac:dyDescent="0.2">
      <c r="A89" s="421">
        <v>82</v>
      </c>
      <c r="B89" s="223"/>
      <c r="C89" s="422">
        <v>0</v>
      </c>
      <c r="D89" s="422">
        <f t="shared" si="10"/>
        <v>35</v>
      </c>
      <c r="E89" s="422">
        <f t="shared" si="11"/>
        <v>35</v>
      </c>
      <c r="F89" s="223" t="s">
        <v>1068</v>
      </c>
    </row>
    <row r="90" spans="1:6" x14ac:dyDescent="0.2">
      <c r="A90" s="421">
        <v>83</v>
      </c>
      <c r="B90" s="223"/>
      <c r="C90" s="422">
        <v>0</v>
      </c>
      <c r="D90" s="422">
        <f t="shared" si="10"/>
        <v>35</v>
      </c>
      <c r="E90" s="422">
        <f t="shared" si="11"/>
        <v>35</v>
      </c>
      <c r="F90" s="223" t="s">
        <v>1068</v>
      </c>
    </row>
    <row r="91" spans="1:6" x14ac:dyDescent="0.2">
      <c r="A91" s="421">
        <v>84</v>
      </c>
      <c r="B91" s="223"/>
      <c r="C91" s="422">
        <v>0</v>
      </c>
      <c r="D91" s="422">
        <f t="shared" si="10"/>
        <v>35</v>
      </c>
      <c r="E91" s="422">
        <f t="shared" si="11"/>
        <v>35</v>
      </c>
      <c r="F91" s="223" t="s">
        <v>1069</v>
      </c>
    </row>
    <row r="92" spans="1:6" x14ac:dyDescent="0.2">
      <c r="A92" s="421">
        <v>85</v>
      </c>
      <c r="B92" s="223"/>
      <c r="C92" s="422">
        <v>0</v>
      </c>
      <c r="D92" s="422">
        <f t="shared" si="10"/>
        <v>35</v>
      </c>
      <c r="E92" s="422">
        <f t="shared" si="11"/>
        <v>35</v>
      </c>
      <c r="F92" s="223" t="s">
        <v>1069</v>
      </c>
    </row>
    <row r="93" spans="1:6" x14ac:dyDescent="0.2">
      <c r="A93" s="421">
        <v>86</v>
      </c>
      <c r="B93" s="223"/>
      <c r="C93" s="422">
        <v>0</v>
      </c>
      <c r="D93" s="422">
        <f t="shared" si="10"/>
        <v>35</v>
      </c>
      <c r="E93" s="422">
        <f t="shared" si="11"/>
        <v>35</v>
      </c>
      <c r="F93" s="223" t="s">
        <v>1069</v>
      </c>
    </row>
    <row r="94" spans="1:6" x14ac:dyDescent="0.2">
      <c r="A94" s="421">
        <v>87</v>
      </c>
      <c r="B94" s="223"/>
      <c r="C94" s="422">
        <v>0</v>
      </c>
      <c r="D94" s="422">
        <f t="shared" si="10"/>
        <v>35</v>
      </c>
      <c r="E94" s="422">
        <f t="shared" si="11"/>
        <v>35</v>
      </c>
      <c r="F94" s="223" t="s">
        <v>1069</v>
      </c>
    </row>
    <row r="95" spans="1:6" x14ac:dyDescent="0.2">
      <c r="A95" s="421">
        <v>88</v>
      </c>
      <c r="B95" s="223"/>
      <c r="C95" s="422">
        <v>0</v>
      </c>
      <c r="D95" s="422">
        <f t="shared" si="10"/>
        <v>35</v>
      </c>
      <c r="E95" s="422">
        <f t="shared" si="11"/>
        <v>35</v>
      </c>
      <c r="F95" s="223" t="s">
        <v>1069</v>
      </c>
    </row>
    <row r="96" spans="1:6" x14ac:dyDescent="0.2">
      <c r="A96" s="421">
        <v>89</v>
      </c>
      <c r="B96" s="223"/>
      <c r="C96" s="422">
        <v>0</v>
      </c>
      <c r="D96" s="422">
        <f t="shared" si="10"/>
        <v>35</v>
      </c>
      <c r="E96" s="422">
        <f t="shared" si="11"/>
        <v>35</v>
      </c>
      <c r="F96" s="223" t="s">
        <v>1069</v>
      </c>
    </row>
    <row r="97" spans="1:20" x14ac:dyDescent="0.2">
      <c r="A97" s="421">
        <v>90</v>
      </c>
      <c r="C97" s="422">
        <v>0</v>
      </c>
      <c r="D97" s="422">
        <f t="shared" si="10"/>
        <v>35</v>
      </c>
      <c r="E97" s="422">
        <f t="shared" si="11"/>
        <v>35</v>
      </c>
      <c r="F97" s="223" t="s">
        <v>1069</v>
      </c>
    </row>
    <row r="98" spans="1:20" x14ac:dyDescent="0.2">
      <c r="C98" s="422">
        <v>0</v>
      </c>
      <c r="D98" s="422">
        <f t="shared" si="10"/>
        <v>35</v>
      </c>
      <c r="E98" s="422">
        <f t="shared" si="11"/>
        <v>35</v>
      </c>
      <c r="G98" s="223" t="s">
        <v>1070</v>
      </c>
    </row>
    <row r="102" spans="1:20" x14ac:dyDescent="0.2">
      <c r="A102" s="435"/>
      <c r="B102" s="436"/>
      <c r="C102" s="437"/>
      <c r="D102" s="437"/>
      <c r="E102" s="437"/>
      <c r="F102" s="436"/>
      <c r="G102" s="435"/>
      <c r="H102" s="435"/>
      <c r="I102" s="435"/>
      <c r="J102" s="435"/>
      <c r="K102" s="436"/>
      <c r="L102" s="437"/>
      <c r="M102" s="437"/>
      <c r="N102" s="437"/>
      <c r="O102" s="437"/>
      <c r="P102" s="436"/>
      <c r="Q102" s="437"/>
      <c r="R102" s="437"/>
      <c r="S102" s="437"/>
      <c r="T102" s="437"/>
    </row>
    <row r="103" spans="1:20" x14ac:dyDescent="0.2">
      <c r="A103" s="424" t="s">
        <v>728</v>
      </c>
      <c r="B103" s="274"/>
      <c r="C103" s="434"/>
      <c r="D103" s="434"/>
      <c r="E103" s="434"/>
      <c r="F103" s="420"/>
      <c r="G103" s="434"/>
      <c r="H103" s="434"/>
      <c r="I103" s="434">
        <f>H37</f>
        <v>192</v>
      </c>
      <c r="J103" s="434"/>
      <c r="K103" s="420"/>
      <c r="L103" s="434"/>
      <c r="M103" s="434"/>
      <c r="N103" s="434">
        <f>M37</f>
        <v>96</v>
      </c>
      <c r="O103" s="434"/>
      <c r="P103" s="420"/>
      <c r="Q103" s="434"/>
      <c r="R103" s="434"/>
      <c r="S103" s="434">
        <f>R37</f>
        <v>144</v>
      </c>
      <c r="T103" s="421"/>
    </row>
    <row r="104" spans="1:20" x14ac:dyDescent="0.2">
      <c r="A104" s="424" t="s">
        <v>729</v>
      </c>
      <c r="B104" s="274"/>
      <c r="C104" s="434"/>
      <c r="D104" s="434"/>
      <c r="E104" s="434"/>
      <c r="F104" s="420"/>
      <c r="G104" s="434"/>
      <c r="H104" s="434"/>
      <c r="I104" s="434">
        <v>11</v>
      </c>
      <c r="J104" s="434"/>
      <c r="K104" s="420"/>
      <c r="L104" s="434"/>
      <c r="M104" s="434"/>
      <c r="N104" s="434">
        <v>5</v>
      </c>
      <c r="O104" s="434"/>
      <c r="P104" s="420"/>
      <c r="Q104" s="434"/>
      <c r="R104" s="434"/>
      <c r="S104" s="434">
        <v>7</v>
      </c>
      <c r="T104" s="421"/>
    </row>
  </sheetData>
  <mergeCells count="4">
    <mergeCell ref="C6:E6"/>
    <mergeCell ref="G6:J6"/>
    <mergeCell ref="L6:O6"/>
    <mergeCell ref="Q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Assumption</vt:lpstr>
      <vt:lpstr>Rincian Tarif Toll</vt:lpstr>
      <vt:lpstr>ProjectValuation</vt:lpstr>
      <vt:lpstr>Sensitivity</vt:lpstr>
      <vt:lpstr>IncomeStatement</vt:lpstr>
      <vt:lpstr>CashFlow</vt:lpstr>
      <vt:lpstr>Variable Cost</vt:lpstr>
      <vt:lpstr>OVH Expenses</vt:lpstr>
      <vt:lpstr>Revenue</vt:lpstr>
      <vt:lpstr>Dividen</vt:lpstr>
      <vt:lpstr>EquityChange</vt:lpstr>
      <vt:lpstr>CapitalInvestment</vt:lpstr>
      <vt:lpstr>WorkingCapital</vt:lpstr>
      <vt:lpstr>CostofCapital</vt:lpstr>
      <vt:lpstr>SG&amp;A</vt:lpstr>
      <vt:lpstr>FreightCost</vt:lpstr>
      <vt:lpstr>Salary</vt:lpstr>
      <vt:lpstr>LoanInterest (2)</vt:lpstr>
      <vt:lpstr>LoanInterest</vt:lpstr>
      <vt:lpstr>Depreciation</vt:lpstr>
      <vt:lpstr>TransportReference</vt:lpstr>
      <vt:lpstr>Lamp P&amp;L</vt:lpstr>
      <vt:lpstr>Lamp CF</vt:lpstr>
      <vt:lpstr>Theory</vt:lpstr>
      <vt:lpstr>FullCosting</vt:lpstr>
      <vt:lpstr>Costs&amp;Expenses</vt:lpstr>
      <vt:lpstr>CostChecking</vt:lpstr>
      <vt:lpstr>Cost</vt:lpstr>
      <vt:lpstr>Supply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pt pema</cp:lastModifiedBy>
  <cp:lastPrinted>2023-12-01T09:21:10Z</cp:lastPrinted>
  <dcterms:created xsi:type="dcterms:W3CDTF">2020-06-20T11:38:45Z</dcterms:created>
  <dcterms:modified xsi:type="dcterms:W3CDTF">2023-12-14T10:32:46Z</dcterms:modified>
</cp:coreProperties>
</file>